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ssanchez\Box\Public\AFFORDABLE HOUSING\12. WESTVIEW\Finance\Funding Sources\Westview 2 Funding Sources\9% TCAC_Westview 2_2021\Drafts\"/>
    </mc:Choice>
  </mc:AlternateContent>
  <xr:revisionPtr revIDLastSave="0" documentId="13_ncr:1_{1597A25A-21FC-413C-AED3-84372D3CDCA4}" xr6:coauthVersionLast="47" xr6:coauthVersionMax="47" xr10:uidLastSave="{00000000-0000-0000-0000-000000000000}"/>
  <bookViews>
    <workbookView xWindow="-14700" yWindow="-3720" windowWidth="14070" windowHeight="15750" tabRatio="786"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Forma'!$A$1:$AH$82</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Forma'!$A$1:$AH$82</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4" l="1"/>
  <c r="O636" i="3" l="1"/>
  <c r="AO645" i="3"/>
  <c r="AM567" i="3"/>
  <c r="E72" i="9" l="1"/>
  <c r="G72" i="9"/>
  <c r="E59" i="9"/>
  <c r="E9" i="10"/>
  <c r="E13" i="10"/>
  <c r="L922" i="3"/>
  <c r="O715" i="3"/>
  <c r="O711" i="3"/>
  <c r="T21" i="5" l="1"/>
  <c r="S94" i="4"/>
  <c r="S64" i="4"/>
  <c r="E94" i="4"/>
  <c r="E83" i="4"/>
  <c r="E84" i="4"/>
  <c r="E85" i="4"/>
  <c r="E86" i="4"/>
  <c r="E87" i="4"/>
  <c r="E88" i="4"/>
  <c r="E89" i="4"/>
  <c r="E90" i="4"/>
  <c r="E91" i="4"/>
  <c r="E92" i="4"/>
  <c r="E93" i="4"/>
  <c r="E82" i="4"/>
  <c r="E60" i="4"/>
  <c r="E57" i="4"/>
  <c r="E56" i="4"/>
  <c r="E6" i="4"/>
  <c r="F30" i="4"/>
  <c r="E98" i="4"/>
  <c r="M98" i="4"/>
  <c r="C93" i="4"/>
  <c r="C60" i="4"/>
  <c r="C52" i="4"/>
  <c r="C94" i="4"/>
  <c r="AJ982" i="3"/>
  <c r="L923" i="3"/>
  <c r="AA911" i="3"/>
  <c r="AC864" i="3"/>
  <c r="W852" i="3"/>
  <c r="AO639" i="3"/>
  <c r="AO634" i="3"/>
  <c r="U634" i="3"/>
  <c r="E79" i="4" l="1"/>
  <c r="S79" i="4"/>
  <c r="C64" i="9"/>
  <c r="G52" i="9"/>
  <c r="G55" i="9"/>
  <c r="I55" i="9" s="1"/>
  <c r="K55" i="9" s="1"/>
  <c r="M55" i="9" s="1"/>
  <c r="O55" i="9" s="1"/>
  <c r="Q55" i="9" s="1"/>
  <c r="S55" i="9" s="1"/>
  <c r="U55" i="9" s="1"/>
  <c r="W55" i="9" s="1"/>
  <c r="Y55" i="9" s="1"/>
  <c r="AA55" i="9" s="1"/>
  <c r="AC55" i="9" s="1"/>
  <c r="AE55" i="9" s="1"/>
  <c r="AG55" i="9" s="1"/>
  <c r="E4" i="10"/>
  <c r="O709" i="3"/>
  <c r="O708" i="3"/>
  <c r="O707" i="3"/>
  <c r="E91" i="25"/>
  <c r="E93" i="25"/>
  <c r="S47" i="4"/>
  <c r="S52" i="4"/>
  <c r="S98" i="4"/>
  <c r="S93" i="4"/>
  <c r="S68" i="4"/>
  <c r="S88" i="4"/>
  <c r="S51" i="4"/>
  <c r="S50" i="4"/>
  <c r="S49" i="4"/>
  <c r="S83" i="4"/>
  <c r="S85" i="4"/>
  <c r="S78" i="4"/>
  <c r="E52" i="4"/>
  <c r="E51" i="4"/>
  <c r="E50" i="4"/>
  <c r="E49" i="4"/>
  <c r="E47" i="4"/>
  <c r="E45" i="4"/>
  <c r="E43" i="4"/>
  <c r="E41" i="4"/>
  <c r="E40" i="4"/>
  <c r="E37" i="4"/>
  <c r="E36" i="4"/>
  <c r="E35" i="4"/>
  <c r="E33" i="4"/>
  <c r="E32" i="4"/>
  <c r="E31" i="4"/>
  <c r="E13" i="4"/>
  <c r="E10" i="4"/>
  <c r="E5" i="4"/>
  <c r="R5" i="4" s="1"/>
  <c r="S41" i="4"/>
  <c r="S43" i="4"/>
  <c r="S40" i="4"/>
  <c r="S33" i="4"/>
  <c r="S34" i="4"/>
  <c r="S35" i="4"/>
  <c r="S36" i="4"/>
  <c r="S37" i="4"/>
  <c r="S32" i="4"/>
  <c r="S31" i="4"/>
  <c r="S30" i="4"/>
  <c r="S29" i="4"/>
  <c r="R6" i="4"/>
  <c r="K29" i="4"/>
  <c r="K30" i="4" s="1"/>
  <c r="E30" i="4" s="1"/>
  <c r="E78" i="4"/>
  <c r="E74" i="4"/>
  <c r="E68" i="4"/>
  <c r="E65" i="4"/>
  <c r="M79" i="4" l="1"/>
  <c r="O638" i="3"/>
  <c r="O637" i="3"/>
  <c r="O635" i="3"/>
  <c r="O634" i="3"/>
  <c r="O632" i="3"/>
  <c r="O633" i="3"/>
  <c r="AO633" i="3"/>
  <c r="S10" i="4"/>
  <c r="E55" i="4"/>
  <c r="G4" i="4"/>
  <c r="R4" i="4" s="1"/>
  <c r="E64" i="4" l="1"/>
  <c r="E12" i="10"/>
  <c r="E11" i="10"/>
  <c r="E10" i="10"/>
  <c r="E8" i="10"/>
  <c r="E7" i="10"/>
  <c r="E6" i="10"/>
  <c r="E5" i="10"/>
  <c r="O706" i="3"/>
  <c r="F15" i="7"/>
  <c r="H309" i="6"/>
  <c r="AA300" i="6"/>
  <c r="H300" i="6"/>
  <c r="AA291" i="6"/>
  <c r="AA895" i="3"/>
  <c r="O714" i="3"/>
  <c r="O713" i="3"/>
  <c r="O712" i="3"/>
  <c r="O710" i="3"/>
  <c r="G676" i="3"/>
  <c r="Z668" i="3"/>
  <c r="Z667" i="3"/>
  <c r="Z666" i="3"/>
  <c r="Z665" i="3"/>
  <c r="G668" i="3"/>
  <c r="G667" i="3"/>
  <c r="G666" i="3"/>
  <c r="G665" i="3"/>
  <c r="Z660" i="3"/>
  <c r="Z659" i="3"/>
  <c r="Z658" i="3"/>
  <c r="Z657" i="3"/>
  <c r="G660" i="3"/>
  <c r="G659" i="3"/>
  <c r="G658" i="3"/>
  <c r="G657" i="3"/>
  <c r="AO637" i="3"/>
  <c r="AO636" i="3"/>
  <c r="AO635" i="3"/>
  <c r="C637" i="3"/>
  <c r="C636" i="3"/>
  <c r="C635" i="3"/>
  <c r="C634" i="3"/>
  <c r="C633" i="3"/>
  <c r="G602" i="3"/>
  <c r="G601" i="3"/>
  <c r="G600" i="3"/>
  <c r="G599" i="3"/>
  <c r="G594" i="3"/>
  <c r="G593" i="3"/>
  <c r="G592" i="3"/>
  <c r="G591" i="3"/>
  <c r="Z584" i="3"/>
  <c r="G586" i="3"/>
  <c r="G585" i="3"/>
  <c r="G584" i="3"/>
  <c r="G583" i="3"/>
  <c r="AH514" i="3"/>
  <c r="AH513" i="3"/>
  <c r="AH512" i="3"/>
  <c r="AD490" i="3"/>
  <c r="AG441" i="3"/>
  <c r="J379" i="3"/>
  <c r="AC379" i="3"/>
  <c r="Z249" i="3"/>
  <c r="H332" i="3"/>
  <c r="H305" i="3"/>
  <c r="AA291" i="3"/>
  <c r="H295" i="3"/>
  <c r="H294" i="3"/>
  <c r="H293" i="3"/>
  <c r="H292" i="3"/>
  <c r="H290" i="3"/>
  <c r="H289" i="3"/>
  <c r="L280" i="3"/>
  <c r="AB278" i="3"/>
  <c r="V278" i="3"/>
  <c r="L278" i="3"/>
  <c r="L277" i="3"/>
  <c r="M250" i="3"/>
  <c r="M249" i="3"/>
  <c r="M248" i="3"/>
  <c r="AC247" i="3"/>
  <c r="W247" i="3"/>
  <c r="M247" i="3"/>
  <c r="M246" i="3"/>
  <c r="R9" i="4" l="1"/>
  <c r="T25" i="5" l="1"/>
  <c r="R10" i="4" l="1"/>
  <c r="R30" i="28" l="1"/>
  <c r="AC706" i="3" l="1"/>
  <c r="AM706" i="3" s="1"/>
  <c r="AC707" i="3"/>
  <c r="AC708" i="3"/>
  <c r="AC709" i="3"/>
  <c r="AC710" i="3"/>
  <c r="AC711" i="3"/>
  <c r="AC712" i="3"/>
  <c r="AC713" i="3"/>
  <c r="AC714" i="3"/>
  <c r="AC715" i="3"/>
  <c r="AC716" i="3"/>
  <c r="AC717" i="3"/>
  <c r="AC718" i="3"/>
  <c r="BA689" i="3"/>
  <c r="BG690" i="3" l="1"/>
  <c r="H35" i="18" l="1"/>
  <c r="E35" i="18"/>
  <c r="F35" i="18" s="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E85" i="15" s="1"/>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93" i="15"/>
  <c r="D83" i="15"/>
  <c r="C83" i="15"/>
  <c r="B83" i="15"/>
  <c r="B80" i="15"/>
  <c r="C80" i="15"/>
  <c r="D80" i="15"/>
  <c r="D79" i="15"/>
  <c r="C79" i="15"/>
  <c r="B79" i="15"/>
  <c r="B73" i="15"/>
  <c r="C73" i="15"/>
  <c r="D73" i="15"/>
  <c r="B74" i="15"/>
  <c r="E74" i="15" s="1"/>
  <c r="C74" i="15"/>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80" i="15" l="1"/>
  <c r="E32" i="15"/>
  <c r="E49" i="15"/>
  <c r="E75" i="15"/>
  <c r="E101" i="15"/>
  <c r="E34" i="15"/>
  <c r="E66" i="15"/>
  <c r="E25" i="15"/>
  <c r="E76" i="15"/>
  <c r="E94"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F64" i="18" s="1"/>
  <c r="E65" i="18"/>
  <c r="F65" i="18" s="1"/>
  <c r="E66" i="18"/>
  <c r="F66" i="18" s="1"/>
  <c r="B64" i="18"/>
  <c r="C64" i="18" s="1"/>
  <c r="B65" i="18"/>
  <c r="C65" i="18" s="1"/>
  <c r="B66" i="18"/>
  <c r="C66" i="18" s="1"/>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6" i="9"/>
  <c r="I56" i="9" s="1"/>
  <c r="K56" i="9" s="1"/>
  <c r="M56" i="9" s="1"/>
  <c r="O56" i="9" s="1"/>
  <c r="Q56" i="9" s="1"/>
  <c r="S56" i="9" s="1"/>
  <c r="U56" i="9" s="1"/>
  <c r="W56" i="9" s="1"/>
  <c r="Y56" i="9" s="1"/>
  <c r="AA56" i="9" s="1"/>
  <c r="AC56" i="9" s="1"/>
  <c r="AE56" i="9" s="1"/>
  <c r="AG56" i="9" s="1"/>
  <c r="I52" i="9"/>
  <c r="K52" i="9" s="1"/>
  <c r="M52" i="9" s="1"/>
  <c r="O52" i="9" s="1"/>
  <c r="Q52" i="9" s="1"/>
  <c r="S52" i="9" s="1"/>
  <c r="U52" i="9" s="1"/>
  <c r="W52" i="9" s="1"/>
  <c r="Y52" i="9" s="1"/>
  <c r="AA52" i="9" s="1"/>
  <c r="AC52" i="9" s="1"/>
  <c r="AE52" i="9" s="1"/>
  <c r="AG52" i="9" s="1"/>
  <c r="E29" i="9"/>
  <c r="E30" i="9"/>
  <c r="E28" i="9"/>
  <c r="G23" i="9"/>
  <c r="I23" i="9" s="1"/>
  <c r="K23" i="9" s="1"/>
  <c r="M23" i="9" s="1"/>
  <c r="O23" i="9" s="1"/>
  <c r="Q23" i="9" s="1"/>
  <c r="S23" i="9" s="1"/>
  <c r="U23" i="9" s="1"/>
  <c r="W23" i="9" s="1"/>
  <c r="Y23" i="9" s="1"/>
  <c r="AA23" i="9" s="1"/>
  <c r="AC23" i="9" s="1"/>
  <c r="AE23" i="9" s="1"/>
  <c r="AG23" i="9" s="1"/>
  <c r="G30" i="9" l="1"/>
  <c r="I30" i="9" s="1"/>
  <c r="K30" i="9" s="1"/>
  <c r="M30" i="9" s="1"/>
  <c r="O30" i="9" s="1"/>
  <c r="Q30" i="9" s="1"/>
  <c r="S30" i="9" s="1"/>
  <c r="U30" i="9" s="1"/>
  <c r="W30" i="9" s="1"/>
  <c r="Y30" i="9" s="1"/>
  <c r="AA30" i="9" s="1"/>
  <c r="AC30" i="9" s="1"/>
  <c r="AE30" i="9" s="1"/>
  <c r="AG30" i="9" s="1"/>
  <c r="AG28" i="9"/>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1" i="18" s="1"/>
  <c r="C53" i="4"/>
  <c r="B52" i="18" s="1"/>
  <c r="C61" i="4"/>
  <c r="C69" i="4"/>
  <c r="C76" i="4"/>
  <c r="C80" i="4"/>
  <c r="B79" i="18" s="1"/>
  <c r="C95" i="4"/>
  <c r="B94" i="18" s="1"/>
  <c r="C103" i="4"/>
  <c r="C65" i="25"/>
  <c r="C66" i="25"/>
  <c r="G67" i="25" s="1"/>
  <c r="Y20" i="5"/>
  <c r="Y22" i="5" s="1"/>
  <c r="AI20" i="5"/>
  <c r="S26" i="4"/>
  <c r="S38" i="4"/>
  <c r="S42" i="4"/>
  <c r="S53" i="4"/>
  <c r="S69" i="4"/>
  <c r="E68" i="18" s="1"/>
  <c r="S80" i="4"/>
  <c r="E79" i="18" s="1"/>
  <c r="S103" i="4"/>
  <c r="E102" i="18" s="1"/>
  <c r="F25"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20" i="27" s="1"/>
  <c r="Y22" i="27" s="1"/>
  <c r="Y17" i="27"/>
  <c r="Y18" i="27"/>
  <c r="Y19" i="27"/>
  <c r="AD13" i="27"/>
  <c r="AI13" i="27"/>
  <c r="AI14" i="27"/>
  <c r="AI20" i="27" s="1"/>
  <c r="AI22" i="27" s="1"/>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E78" i="18"/>
  <c r="H78" i="18"/>
  <c r="B79" i="4"/>
  <c r="B78" i="4"/>
  <c r="R79" i="4"/>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102" i="18" s="1"/>
  <c r="E93" i="18"/>
  <c r="E92" i="18"/>
  <c r="E91" i="18"/>
  <c r="E90" i="18"/>
  <c r="E89" i="18"/>
  <c r="E88" i="18"/>
  <c r="E87" i="18"/>
  <c r="E85" i="18"/>
  <c r="F85" i="18" s="1"/>
  <c r="E84" i="18"/>
  <c r="E82" i="18"/>
  <c r="E77" i="18"/>
  <c r="F79" i="18" s="1"/>
  <c r="E67" i="18"/>
  <c r="E63" i="18"/>
  <c r="E51" i="18"/>
  <c r="E50" i="18"/>
  <c r="E49" i="18"/>
  <c r="E48" i="18"/>
  <c r="E47" i="18"/>
  <c r="E46" i="18"/>
  <c r="E45" i="18"/>
  <c r="F45" i="18" s="1"/>
  <c r="E44" i="18"/>
  <c r="E42" i="18"/>
  <c r="E40" i="18"/>
  <c r="F40" i="18" s="1"/>
  <c r="E39" i="18"/>
  <c r="E36" i="18"/>
  <c r="F36" i="18" s="1"/>
  <c r="E34" i="18"/>
  <c r="E33" i="18"/>
  <c r="F33" i="18" s="1"/>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C74" i="18" s="1"/>
  <c r="B73" i="18"/>
  <c r="B72" i="18"/>
  <c r="C72" i="18" s="1"/>
  <c r="B71" i="18"/>
  <c r="C71" i="18" s="1"/>
  <c r="B70" i="18"/>
  <c r="C70" i="18" s="1"/>
  <c r="B67" i="18"/>
  <c r="B63" i="18"/>
  <c r="B59" i="18"/>
  <c r="B58" i="18"/>
  <c r="C58" i="18" s="1"/>
  <c r="B57" i="18"/>
  <c r="C57" i="18" s="1"/>
  <c r="B56" i="18"/>
  <c r="B55" i="18"/>
  <c r="B54" i="18"/>
  <c r="C54" i="18" s="1"/>
  <c r="B51" i="18"/>
  <c r="B50" i="18"/>
  <c r="B49" i="18"/>
  <c r="B48" i="18"/>
  <c r="B47" i="18"/>
  <c r="B46" i="18"/>
  <c r="B45" i="18"/>
  <c r="B44" i="18"/>
  <c r="B42" i="18"/>
  <c r="B40" i="18"/>
  <c r="C40" i="18" s="1"/>
  <c r="B39" i="18"/>
  <c r="B36" i="18"/>
  <c r="B34" i="18"/>
  <c r="B33" i="18"/>
  <c r="B32" i="18"/>
  <c r="B31" i="18"/>
  <c r="B30" i="18"/>
  <c r="B29" i="18"/>
  <c r="B28" i="18"/>
  <c r="B26" i="18"/>
  <c r="B24" i="18"/>
  <c r="B23" i="18"/>
  <c r="B22" i="18"/>
  <c r="B21" i="18"/>
  <c r="B20" i="18"/>
  <c r="B19" i="18"/>
  <c r="B18" i="18"/>
  <c r="B17" i="18"/>
  <c r="B4" i="18"/>
  <c r="D102" i="18"/>
  <c r="C102" i="18"/>
  <c r="D94" i="18"/>
  <c r="D75" i="18"/>
  <c r="D68" i="18"/>
  <c r="D60" i="18"/>
  <c r="D52" i="18"/>
  <c r="D41" i="18"/>
  <c r="D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D5" i="15"/>
  <c r="D6" i="15"/>
  <c r="D7" i="15"/>
  <c r="D8" i="15"/>
  <c r="D10" i="15"/>
  <c r="D11" i="15"/>
  <c r="D14" i="15"/>
  <c r="D15" i="15"/>
  <c r="D16" i="15"/>
  <c r="D18" i="15"/>
  <c r="E37" i="18"/>
  <c r="E41" i="18"/>
  <c r="E52" i="18"/>
  <c r="H25" i="18"/>
  <c r="H37" i="18"/>
  <c r="H52" i="18"/>
  <c r="H94" i="18"/>
  <c r="H102" i="18"/>
  <c r="B37"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S84" i="4" s="1"/>
  <c r="S95" i="4" s="1"/>
  <c r="E94" i="18"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E14" i="9"/>
  <c r="G14" i="9" s="1"/>
  <c r="B26" i="4"/>
  <c r="B80" i="4"/>
  <c r="D12" i="4"/>
  <c r="C60" i="18" l="1"/>
  <c r="E83" i="18"/>
  <c r="B95" i="4"/>
  <c r="AI22" i="26"/>
  <c r="B61" i="4"/>
  <c r="C75" i="18"/>
  <c r="C41" i="18"/>
  <c r="C94" i="18"/>
  <c r="C68" i="18"/>
  <c r="B53" i="4"/>
  <c r="T20" i="26"/>
  <c r="T22" i="26" s="1"/>
  <c r="T20" i="27"/>
  <c r="T22" i="27" s="1"/>
  <c r="F68" i="18"/>
  <c r="F52" i="18"/>
  <c r="F94" i="18"/>
  <c r="F41" i="18"/>
  <c r="F37" i="18"/>
  <c r="F12" i="4"/>
  <c r="C79" i="18"/>
  <c r="C52" i="18"/>
  <c r="C37" i="18"/>
  <c r="B60" i="18"/>
  <c r="AE922" i="3"/>
  <c r="AE923" i="3" s="1"/>
  <c r="G98" i="25"/>
  <c r="D100" i="25" s="1"/>
  <c r="D102" i="25" s="1"/>
  <c r="D104" i="25" s="1"/>
  <c r="D110" i="25" s="1"/>
  <c r="G38" i="25" s="1"/>
  <c r="B43" i="15"/>
  <c r="C43" i="15"/>
  <c r="D43" i="15"/>
  <c r="G12" i="4"/>
  <c r="C104" i="15"/>
  <c r="B104" i="15"/>
  <c r="D104" i="15"/>
  <c r="C39" i="15"/>
  <c r="D39" i="15"/>
  <c r="B39" i="15"/>
  <c r="B96" i="15"/>
  <c r="C96" i="15"/>
  <c r="D96" i="15"/>
  <c r="D27" i="15"/>
  <c r="B27" i="15"/>
  <c r="C27" i="15"/>
  <c r="AC42" i="9"/>
  <c r="B81" i="15"/>
  <c r="C81" i="15"/>
  <c r="D81" i="15"/>
  <c r="B11" i="4"/>
  <c r="B76" i="4"/>
  <c r="B77" i="15"/>
  <c r="C77" i="15"/>
  <c r="D77" i="15"/>
  <c r="B8" i="4"/>
  <c r="R80" i="4"/>
  <c r="T62" i="4"/>
  <c r="T96" i="4" s="1"/>
  <c r="B68" i="18"/>
  <c r="B70" i="15"/>
  <c r="C70" i="15"/>
  <c r="D70" i="15"/>
  <c r="C62" i="15"/>
  <c r="D62" i="15"/>
  <c r="B62" i="15"/>
  <c r="U69" i="25"/>
  <c r="B54" i="15"/>
  <c r="C54" i="15"/>
  <c r="D54" i="15"/>
  <c r="BN627" i="3"/>
  <c r="L26" i="28" s="1"/>
  <c r="B11" i="18"/>
  <c r="E50" i="25"/>
  <c r="G52" i="25" s="1"/>
  <c r="AB47" i="5"/>
  <c r="AM709" i="3"/>
  <c r="BI724" i="3" s="1"/>
  <c r="AM707" i="3"/>
  <c r="BI722" i="3" s="1"/>
  <c r="BI733" i="3"/>
  <c r="AM718" i="3"/>
  <c r="BI732" i="3"/>
  <c r="AM717" i="3"/>
  <c r="BI731" i="3"/>
  <c r="AM716" i="3"/>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12" i="18"/>
  <c r="E12" i="4"/>
  <c r="M62" i="4"/>
  <c r="M96" i="4" s="1"/>
  <c r="M104" i="4" s="1"/>
  <c r="J62" i="4"/>
  <c r="J96" i="4" s="1"/>
  <c r="J104" i="4" s="1"/>
  <c r="C12" i="4"/>
  <c r="B12" i="18" s="1"/>
  <c r="R53" i="4"/>
  <c r="R61" i="4"/>
  <c r="F62"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70" i="15" l="1"/>
  <c r="H61" i="18"/>
  <c r="E77" i="15"/>
  <c r="E27" i="15"/>
  <c r="E104" i="15"/>
  <c r="F61" i="18"/>
  <c r="F95" i="18" s="1"/>
  <c r="F103" i="18" s="1"/>
  <c r="F105" i="18" s="1"/>
  <c r="C61" i="18"/>
  <c r="C95" i="18" s="1"/>
  <c r="C103" i="18" s="1"/>
  <c r="E81" i="15"/>
  <c r="B12" i="4"/>
  <c r="E96" i="15"/>
  <c r="E43" i="15"/>
  <c r="E39" i="15"/>
  <c r="G53" i="25"/>
  <c r="AY924" i="3"/>
  <c r="AY928" i="3" s="1"/>
  <c r="AJ973" i="3"/>
  <c r="BI746" i="3"/>
  <c r="AM731" i="3" s="1"/>
  <c r="O612" i="6"/>
  <c r="AU578" i="6" s="1"/>
  <c r="E54" i="15"/>
  <c r="E62"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E5" i="9" s="1"/>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AK618" i="6"/>
  <c r="K8" i="9"/>
  <c r="I9" i="9"/>
  <c r="T689" i="6"/>
  <c r="AO683" i="6"/>
  <c r="AF689" i="6" s="1"/>
  <c r="M14" i="9"/>
  <c r="K21" i="9"/>
  <c r="K34" i="9" s="1"/>
  <c r="E7" i="9"/>
  <c r="G6" i="9"/>
  <c r="E97" i="15" l="1"/>
  <c r="BE576" i="6"/>
  <c r="AP586" i="6" s="1"/>
  <c r="BW530" i="6"/>
  <c r="BW533" i="6" s="1"/>
  <c r="BU534" i="6" s="1"/>
  <c r="B104" i="4"/>
  <c r="J58" i="25"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AC447" i="3" l="1"/>
  <c r="AB46" i="5"/>
  <c r="AB48" i="5" s="1"/>
  <c r="AB53" i="5" s="1"/>
  <c r="AB54" i="5" s="1"/>
  <c r="AB46" i="26"/>
  <c r="AB48" i="26" s="1"/>
  <c r="AB53" i="26" s="1"/>
  <c r="AB54" i="26" s="1"/>
  <c r="AB46" i="27"/>
  <c r="AB48" i="27" s="1"/>
  <c r="AB53" i="27" s="1"/>
  <c r="AB54" i="27" s="1"/>
  <c r="BU539" i="6"/>
  <c r="BY535" i="6"/>
  <c r="BY537" i="6"/>
  <c r="E105" i="15"/>
  <c r="BM549" i="6"/>
  <c r="BM552" i="6" s="1"/>
  <c r="CD577" i="6"/>
  <c r="CD579" i="6" s="1"/>
  <c r="BT579" i="6"/>
  <c r="BJ592" i="6"/>
  <c r="AV556" i="6" s="1"/>
  <c r="E44" i="9"/>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E47" i="9" l="1"/>
  <c r="T23" i="5"/>
  <c r="Q71" i="25" s="1"/>
  <c r="O75" i="25" s="1"/>
  <c r="R75" i="25" s="1"/>
  <c r="BE16" i="28"/>
  <c r="BY539" i="6"/>
  <c r="CC536" i="6"/>
  <c r="CC539" i="6" s="1"/>
  <c r="E46" i="9"/>
  <c r="BQ550" i="6"/>
  <c r="BQ552" i="6"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E66" i="9" l="1"/>
  <c r="E69" i="9"/>
  <c r="E65" i="9"/>
  <c r="E67" i="9"/>
  <c r="E68" i="9"/>
  <c r="T26" i="5"/>
  <c r="T28" i="5" s="1"/>
  <c r="Y63" i="5" s="1"/>
  <c r="Y67" i="5" s="1"/>
  <c r="AD38" i="5"/>
  <c r="AD40" i="5" s="1"/>
  <c r="CG539" i="6"/>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E70" i="9" l="1"/>
  <c r="G67" i="9"/>
  <c r="G68" i="9"/>
  <c r="G69" i="9"/>
  <c r="G65" i="9"/>
  <c r="G66" i="9"/>
  <c r="I65" i="9"/>
  <c r="I67" i="9"/>
  <c r="I72" i="9"/>
  <c r="I66" i="9"/>
  <c r="I69" i="9"/>
  <c r="I68" i="9"/>
  <c r="Y38" i="5"/>
  <c r="Y40" i="5" s="1"/>
  <c r="AR43" i="5" s="1"/>
  <c r="T29" i="5"/>
  <c r="M10" i="9"/>
  <c r="M36" i="9" s="1"/>
  <c r="M48" i="9" s="1"/>
  <c r="F59" i="27"/>
  <c r="AB75" i="26"/>
  <c r="AB76" i="26" s="1"/>
  <c r="AB77" i="26" s="1"/>
  <c r="AB79" i="26" s="1"/>
  <c r="J80" i="26" s="1"/>
  <c r="I61" i="9"/>
  <c r="K48" i="9"/>
  <c r="G61" i="9"/>
  <c r="Q4" i="9"/>
  <c r="O5" i="9"/>
  <c r="U8" i="9"/>
  <c r="S9" i="9"/>
  <c r="Q6" i="9"/>
  <c r="O7" i="9"/>
  <c r="U21" i="9"/>
  <c r="U34" i="9" s="1"/>
  <c r="W14" i="9"/>
  <c r="K59" i="9"/>
  <c r="K46" i="9"/>
  <c r="K47" i="9"/>
  <c r="I70" i="9" l="1"/>
  <c r="G70" i="9"/>
  <c r="K68" i="9"/>
  <c r="K67" i="9"/>
  <c r="K69" i="9"/>
  <c r="K66" i="9"/>
  <c r="K72" i="9"/>
  <c r="K65" i="9"/>
  <c r="AR42" i="5"/>
  <c r="Y41" i="5" s="1"/>
  <c r="AB55" i="5" s="1"/>
  <c r="M25" i="3" s="1"/>
  <c r="P203" i="3" s="1"/>
  <c r="M44" i="9"/>
  <c r="M59" i="9" s="1"/>
  <c r="O10" i="9"/>
  <c r="O36" i="9" s="1"/>
  <c r="O44" i="9" s="1"/>
  <c r="K61" i="9"/>
  <c r="G77" i="9"/>
  <c r="I77" i="9"/>
  <c r="Q5" i="9"/>
  <c r="S4" i="9"/>
  <c r="W8" i="9"/>
  <c r="U9" i="9"/>
  <c r="S6" i="9"/>
  <c r="Q7" i="9"/>
  <c r="W21" i="9"/>
  <c r="W34" i="9" s="1"/>
  <c r="Y14" i="9"/>
  <c r="K70" i="9" l="1"/>
  <c r="M72" i="9"/>
  <c r="M68" i="9"/>
  <c r="M67" i="9"/>
  <c r="M69" i="9"/>
  <c r="M66" i="9"/>
  <c r="M65" i="9"/>
  <c r="BE15" i="28"/>
  <c r="U17" i="28" s="1"/>
  <c r="AB56" i="5"/>
  <c r="AB58" i="5" s="1"/>
  <c r="AB75" i="5" s="1"/>
  <c r="AB76" i="5" s="1"/>
  <c r="AB77" i="5" s="1"/>
  <c r="AB79" i="5" s="1"/>
  <c r="J80" i="5" s="1"/>
  <c r="Q22" i="28"/>
  <c r="V33" i="28" s="1"/>
  <c r="V35" i="28" s="1"/>
  <c r="M47" i="9"/>
  <c r="M46" i="9"/>
  <c r="O48" i="9"/>
  <c r="M61" i="9"/>
  <c r="Q10" i="9"/>
  <c r="Q36" i="9" s="1"/>
  <c r="Q48" i="9" s="1"/>
  <c r="K77" i="9"/>
  <c r="S5" i="9"/>
  <c r="U4" i="9"/>
  <c r="Y8" i="9"/>
  <c r="W9" i="9"/>
  <c r="U6" i="9"/>
  <c r="S7" i="9"/>
  <c r="AA14" i="9"/>
  <c r="Y21" i="9"/>
  <c r="Y34" i="9" s="1"/>
  <c r="O47" i="9"/>
  <c r="O46" i="9"/>
  <c r="O59" i="9"/>
  <c r="M70" i="9" l="1"/>
  <c r="M77" i="9" s="1"/>
  <c r="O66" i="9"/>
  <c r="O72" i="9"/>
  <c r="O65" i="9"/>
  <c r="O67" i="9"/>
  <c r="O69" i="9"/>
  <c r="O68" i="9"/>
  <c r="M27" i="3"/>
  <c r="D203" i="3" s="1"/>
  <c r="F59" i="5"/>
  <c r="Q44" i="9"/>
  <c r="Q47" i="9" s="1"/>
  <c r="O61" i="9"/>
  <c r="S10" i="9"/>
  <c r="S36" i="9" s="1"/>
  <c r="S48" i="9" s="1"/>
  <c r="U5" i="9"/>
  <c r="W4" i="9"/>
  <c r="AA8" i="9"/>
  <c r="Y9" i="9"/>
  <c r="W6" i="9"/>
  <c r="U7" i="9"/>
  <c r="AC14" i="9"/>
  <c r="AA21" i="9"/>
  <c r="AA34" i="9" s="1"/>
  <c r="O70" i="9" l="1"/>
  <c r="W203" i="3"/>
  <c r="U10" i="9"/>
  <c r="U36" i="9" s="1"/>
  <c r="U44" i="9" s="1"/>
  <c r="Q46" i="9"/>
  <c r="Q59" i="9"/>
  <c r="S44" i="9"/>
  <c r="S47" i="9" s="1"/>
  <c r="O77" i="9"/>
  <c r="Y4" i="9"/>
  <c r="W5" i="9"/>
  <c r="AA9" i="9"/>
  <c r="AC8" i="9"/>
  <c r="Y6" i="9"/>
  <c r="W7" i="9"/>
  <c r="AC21" i="9"/>
  <c r="AC34" i="9" s="1"/>
  <c r="AE14" i="9"/>
  <c r="Q69" i="9" l="1"/>
  <c r="Q72" i="9"/>
  <c r="Q68" i="9"/>
  <c r="Q65" i="9"/>
  <c r="Q67" i="9"/>
  <c r="Q66" i="9"/>
  <c r="Q61" i="9"/>
  <c r="S59" i="9"/>
  <c r="S46" i="9"/>
  <c r="W10" i="9"/>
  <c r="W36" i="9" s="1"/>
  <c r="W44" i="9" s="1"/>
  <c r="U48" i="9"/>
  <c r="AA4" i="9"/>
  <c r="Y5" i="9"/>
  <c r="AE8" i="9"/>
  <c r="AC9" i="9"/>
  <c r="AE21" i="9"/>
  <c r="AE34" i="9" s="1"/>
  <c r="AG14" i="9"/>
  <c r="AG21" i="9" s="1"/>
  <c r="AG34" i="9" s="1"/>
  <c r="U59" i="9"/>
  <c r="U47" i="9"/>
  <c r="U46" i="9"/>
  <c r="Y7" i="9"/>
  <c r="AA6" i="9"/>
  <c r="Q70" i="9" l="1"/>
  <c r="U67" i="9"/>
  <c r="U66" i="9"/>
  <c r="U65" i="9"/>
  <c r="U72" i="9"/>
  <c r="U68" i="9"/>
  <c r="U69" i="9"/>
  <c r="S69" i="9"/>
  <c r="S72" i="9"/>
  <c r="S65" i="9"/>
  <c r="S68" i="9"/>
  <c r="S67" i="9"/>
  <c r="S66" i="9"/>
  <c r="Q77" i="9"/>
  <c r="S61" i="9"/>
  <c r="W48" i="9"/>
  <c r="Y10" i="9"/>
  <c r="Y36" i="9" s="1"/>
  <c r="Y48" i="9" s="1"/>
  <c r="U61" i="9"/>
  <c r="AA5" i="9"/>
  <c r="AC4" i="9"/>
  <c r="AE9" i="9"/>
  <c r="AG8" i="9"/>
  <c r="AG9" i="9" s="1"/>
  <c r="AC6" i="9"/>
  <c r="AA7" i="9"/>
  <c r="W46" i="9"/>
  <c r="W47" i="9"/>
  <c r="W59" i="9"/>
  <c r="U70" i="9" l="1"/>
  <c r="S70" i="9"/>
  <c r="S77" i="9" s="1"/>
  <c r="W69" i="9"/>
  <c r="W68" i="9"/>
  <c r="W66" i="9"/>
  <c r="W72" i="9"/>
  <c r="W65" i="9"/>
  <c r="W67" i="9"/>
  <c r="Y44" i="9"/>
  <c r="Y47" i="9" s="1"/>
  <c r="AA10" i="9"/>
  <c r="AA36" i="9" s="1"/>
  <c r="AA48" i="9" s="1"/>
  <c r="U77" i="9"/>
  <c r="W61" i="9"/>
  <c r="AC5" i="9"/>
  <c r="AE4" i="9"/>
  <c r="AE6" i="9"/>
  <c r="AC7" i="9"/>
  <c r="W70" i="9" l="1"/>
  <c r="AC10" i="9"/>
  <c r="AC36" i="9" s="1"/>
  <c r="AC44" i="9" s="1"/>
  <c r="Y46" i="9"/>
  <c r="Y59" i="9"/>
  <c r="AA44" i="9"/>
  <c r="AA47" i="9" s="1"/>
  <c r="W77" i="9"/>
  <c r="AE5" i="9"/>
  <c r="AG4" i="9"/>
  <c r="AG5" i="9" s="1"/>
  <c r="AE7" i="9"/>
  <c r="AG6" i="9"/>
  <c r="Y65" i="9" l="1"/>
  <c r="Y72" i="9"/>
  <c r="Y69" i="9"/>
  <c r="Y66" i="9"/>
  <c r="Y68" i="9"/>
  <c r="Y67" i="9"/>
  <c r="AC48" i="9"/>
  <c r="AA46" i="9"/>
  <c r="AA59" i="9"/>
  <c r="Y61" i="9"/>
  <c r="AE10" i="9"/>
  <c r="AE36" i="9" s="1"/>
  <c r="AE44" i="9" s="1"/>
  <c r="AG7" i="9"/>
  <c r="AG10" i="9" s="1"/>
  <c r="AG36" i="9" s="1"/>
  <c r="AC46" i="9"/>
  <c r="AC59" i="9"/>
  <c r="AC47" i="9"/>
  <c r="Y70" i="9" l="1"/>
  <c r="AC72" i="9"/>
  <c r="AC69" i="9"/>
  <c r="AC67" i="9"/>
  <c r="AC66" i="9"/>
  <c r="AC68" i="9"/>
  <c r="AC65" i="9"/>
  <c r="AA68" i="9"/>
  <c r="AA65" i="9"/>
  <c r="AA67" i="9"/>
  <c r="AA69" i="9"/>
  <c r="AA66" i="9"/>
  <c r="AA72" i="9"/>
  <c r="AA61" i="9"/>
  <c r="Y77" i="9"/>
  <c r="AC61" i="9"/>
  <c r="AE48" i="9"/>
  <c r="AG48" i="9"/>
  <c r="AG44" i="9"/>
  <c r="AG59" i="9" s="1"/>
  <c r="AG72" i="9" s="1"/>
  <c r="AE46" i="9"/>
  <c r="AE59" i="9"/>
  <c r="AE47" i="9"/>
  <c r="AC70" i="9" l="1"/>
  <c r="AA70" i="9"/>
  <c r="AA77" i="9" s="1"/>
  <c r="AE66" i="9"/>
  <c r="AE68" i="9"/>
  <c r="AE65" i="9"/>
  <c r="AE67" i="9"/>
  <c r="AE69" i="9"/>
  <c r="AE72" i="9"/>
  <c r="AC77" i="9"/>
  <c r="AE61" i="9"/>
  <c r="AG46" i="9"/>
  <c r="AG47" i="9"/>
  <c r="AE70" i="9" l="1"/>
  <c r="AG69" i="9"/>
  <c r="AG66" i="9"/>
  <c r="AG68" i="9"/>
  <c r="AG67" i="9"/>
  <c r="AG65" i="9"/>
  <c r="AE77" i="9"/>
  <c r="AG61" i="9"/>
  <c r="AG70" i="9" l="1"/>
  <c r="AG77" i="9"/>
  <c r="R93" i="4" l="1"/>
  <c r="R95" i="4" s="1"/>
  <c r="R96" i="4" s="1"/>
  <c r="R104" i="4" s="1"/>
  <c r="F95" i="4"/>
  <c r="F96" i="4" s="1"/>
  <c r="F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<sst xmlns="http://schemas.openxmlformats.org/spreadsheetml/2006/main" count="4725" uniqueCount="2546">
  <si>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</si>
  <si>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</si>
  <si>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</si>
  <si>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</si>
  <si>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</si>
  <si>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</si>
  <si>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</si>
  <si>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</si>
  <si>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</si>
  <si>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</si>
  <si>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</si>
  <si>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</si>
  <si>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</si>
  <si>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</si>
  <si>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</si>
  <si>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</si>
  <si>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</si>
  <si>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</si>
  <si>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</si>
  <si>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</si>
  <si>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</si>
  <si>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</si>
  <si>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</si>
  <si>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</si>
  <si>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</si>
  <si>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</si>
  <si>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</si>
  <si>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</si>
  <si>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</si>
  <si>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</si>
  <si>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</si>
  <si>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</si>
  <si>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</si>
  <si>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</si>
  <si>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</si>
  <si>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</si>
  <si>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</si>
  <si>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</si>
  <si>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</si>
  <si>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</si>
  <si>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</si>
  <si>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</si>
  <si>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</si>
  <si>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</si>
  <si>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</si>
  <si>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</si>
  <si>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</si>
  <si>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</si>
  <si>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</si>
  <si>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</si>
  <si>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</si>
  <si>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</si>
  <si>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</si>
  <si>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</si>
  <si>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</si>
  <si>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</si>
  <si>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</si>
  <si>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</si>
  <si>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</si>
  <si>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</si>
  <si>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</si>
  <si>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</si>
  <si>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</si>
  <si>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</si>
  <si>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</si>
  <si>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</si>
  <si>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</si>
  <si>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</si>
  <si>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</si>
  <si>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</si>
  <si>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</si>
  <si>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</si>
  <si>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</si>
  <si>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</si>
  <si>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</si>
  <si>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</si>
  <si>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</si>
  <si>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</si>
  <si>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</si>
  <si>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</si>
  <si>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</si>
  <si>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</si>
  <si>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</si>
  <si>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</si>
  <si>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</si>
  <si>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</si>
  <si>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</si>
  <si>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</si>
  <si>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</si>
  <si>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</si>
  <si>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</si>
  <si>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</si>
  <si>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</si>
  <si>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</si>
  <si>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</si>
  <si>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</si>
  <si>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</si>
  <si>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</si>
  <si>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</si>
  <si>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</si>
  <si>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</si>
  <si>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</si>
  <si>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</si>
  <si>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</si>
  <si>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</si>
  <si>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</si>
  <si>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</si>
  <si>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</si>
  <si>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</si>
  <si>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</si>
  <si>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</si>
  <si>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</si>
  <si>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</si>
  <si>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</si>
  <si>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</si>
  <si>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</si>
  <si>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</si>
  <si>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</si>
  <si>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</si>
  <si>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</si>
  <si>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</si>
  <si>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</si>
  <si>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</si>
  <si>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</si>
  <si>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</si>
  <si>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</si>
  <si>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</si>
  <si>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</si>
  <si>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</si>
  <si>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</si>
  <si>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</si>
  <si>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</si>
  <si>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</si>
  <si>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</si>
  <si>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</si>
  <si>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</si>
  <si>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</si>
  <si>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</si>
  <si>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</si>
  <si>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</si>
  <si>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</si>
  <si>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</si>
  <si>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</si>
  <si>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</si>
  <si>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</si>
  <si>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</si>
  <si>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</si>
  <si>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</si>
  <si>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</si>
  <si>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</si>
  <si>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</si>
  <si>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</si>
  <si>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</si>
  <si>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</si>
  <si>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</si>
  <si>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</si>
  <si>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</si>
  <si>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</si>
  <si>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</si>
  <si>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</si>
  <si>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</si>
  <si>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</si>
  <si>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</si>
  <si>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</si>
  <si>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</si>
  <si>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</si>
  <si>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</si>
  <si>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</si>
  <si>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</si>
  <si>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</si>
  <si>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</si>
  <si>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</si>
  <si>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</si>
  <si>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</si>
  <si>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</si>
  <si>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</si>
  <si>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</si>
  <si>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</si>
  <si>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</si>
  <si>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</si>
  <si>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</si>
  <si>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</si>
  <si>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</si>
  <si>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</si>
  <si>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</si>
  <si>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</si>
  <si>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</si>
  <si>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</si>
  <si>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</si>
  <si>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</si>
  <si>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</si>
  <si>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</si>
  <si>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</si>
  <si>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</si>
  <si>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</si>
  <si>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</si>
  <si>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</si>
  <si>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</si>
  <si>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</si>
  <si>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</si>
  <si>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</si>
  <si>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</si>
  <si>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</si>
  <si>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</si>
  <si>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</si>
  <si>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</si>
  <si>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</si>
  <si>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</si>
  <si>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</si>
  <si>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</si>
  <si>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</si>
  <si>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</si>
  <si>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</si>
  <si>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</si>
  <si>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</si>
  <si>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</si>
  <si>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</si>
  <si>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</si>
  <si>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</si>
  <si>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</si>
  <si>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</si>
  <si>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</si>
  <si>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</si>
  <si>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</si>
  <si>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</si>
  <si>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</si>
  <si>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</si>
  <si>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</si>
  <si>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</si>
  <si>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</si>
  <si>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</si>
  <si>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</si>
  <si>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</si>
  <si>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</si>
  <si>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</si>
  <si>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</si>
  <si>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</si>
  <si>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</si>
  <si>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</si>
  <si>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</si>
  <si>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</si>
  <si>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</si>
  <si>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</si>
  <si>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</si>
  <si>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</si>
  <si>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</si>
  <si>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</si>
  <si>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</si>
  <si>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</si>
  <si>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</si>
  <si>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</si>
  <si>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</si>
  <si>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</si>
  <si>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</si>
  <si>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</si>
  <si>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</si>
  <si>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</si>
  <si>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</si>
  <si>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</si>
  <si>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</si>
  <si>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</si>
  <si>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</si>
  <si>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</si>
  <si>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</si>
  <si>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</si>
  <si>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</si>
  <si>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</si>
  <si>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</si>
  <si>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</si>
  <si>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</si>
  <si>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</si>
  <si>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</si>
  <si>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</si>
  <si>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</si>
  <si>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</si>
  <si>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</si>
  <si>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</si>
  <si>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</si>
  <si>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</si>
  <si>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</si>
  <si>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</si>
  <si>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</si>
  <si>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</si>
  <si>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</si>
  <si>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</si>
  <si>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</si>
  <si>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</si>
  <si>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</si>
  <si>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</si>
  <si>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</si>
  <si>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</si>
  <si>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</si>
  <si>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</si>
  <si>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</si>
  <si>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</si>
  <si>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</si>
  <si>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</si>
  <si>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</si>
  <si>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</si>
  <si>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</si>
  <si>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</si>
  <si>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</si>
  <si>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</si>
  <si>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</si>
  <si>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</si>
  <si>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</si>
  <si>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</si>
  <si>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</si>
  <si>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</si>
  <si>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</si>
  <si>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</si>
  <si>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</si>
  <si>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</si>
  <si>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</si>
  <si>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</si>
  <si>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</si>
  <si>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</si>
  <si>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</si>
  <si>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</si>
  <si>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</si>
  <si>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</si>
  <si>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</si>
  <si>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</si>
  <si>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</si>
  <si>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</si>
  <si>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</si>
  <si>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</si>
  <si>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</si>
  <si>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</si>
  <si>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</si>
  <si>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</si>
  <si>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</si>
  <si>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</si>
  <si>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</si>
  <si>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</si>
  <si>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</si>
  <si>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</si>
  <si>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</si>
  <si>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</si>
  <si>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</si>
  <si>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</si>
  <si>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</si>
  <si>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</si>
  <si>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</si>
  <si>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</si>
  <si>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</si>
  <si>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</si>
  <si>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</si>
  <si>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</si>
  <si>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</si>
  <si>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</si>
  <si>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</si>
  <si>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</si>
  <si>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</si>
  <si>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</si>
  <si>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</si>
  <si>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</si>
  <si>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</si>
  <si>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</si>
  <si>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</si>
  <si>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</si>
  <si>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</si>
  <si>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</si>
  <si>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</si>
  <si>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</si>
  <si>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</si>
  <si>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</si>
  <si>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</si>
  <si>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</si>
  <si>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</si>
  <si>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</si>
  <si>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</si>
  <si>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</si>
  <si>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</si>
  <si>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</si>
  <si>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</si>
  <si>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</si>
  <si>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</si>
  <si>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</si>
  <si>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</si>
  <si>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</si>
  <si>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</si>
  <si>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</si>
  <si>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</si>
  <si>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</si>
  <si>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</si>
  <si>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</si>
  <si>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</si>
  <si>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</si>
  <si>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</si>
  <si>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</si>
  <si>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</si>
  <si>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</si>
  <si>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</si>
  <si>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</si>
  <si>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</si>
  <si>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</si>
  <si>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</si>
  <si>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</si>
  <si>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</si>
  <si>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</si>
  <si>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</si>
  <si>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</si>
  <si>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</si>
  <si>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</si>
  <si>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</si>
  <si>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</si>
  <si>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</si>
  <si>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</si>
  <si>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</si>
  <si>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</si>
  <si>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</si>
  <si>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</si>
  <si>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</si>
  <si>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</si>
  <si>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</si>
  <si>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</si>
  <si>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</si>
  <si>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</si>
  <si>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</si>
  <si>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</si>
  <si>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</si>
  <si>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</si>
  <si>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</si>
  <si>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</si>
  <si>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</si>
  <si>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</si>
  <si>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</si>
  <si>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</si>
  <si>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</si>
  <si>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</si>
  <si>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</si>
  <si>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</si>
  <si>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</si>
  <si>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</si>
  <si>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</si>
  <si>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</si>
  <si>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</si>
  <si>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</si>
  <si>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</si>
  <si>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</si>
  <si>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</si>
  <si>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</si>
  <si>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</si>
  <si>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</si>
  <si>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</si>
  <si>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</si>
  <si>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</si>
  <si>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</si>
  <si>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</si>
  <si>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</si>
  <si>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</si>
  <si>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</si>
  <si>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</si>
  <si>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</si>
  <si>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</si>
  <si>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</si>
  <si>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</si>
  <si>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</si>
  <si>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</si>
  <si>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</si>
  <si>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</si>
  <si>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</si>
  <si>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</si>
  <si>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</si>
  <si>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</si>
  <si>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</si>
  <si>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</si>
  <si>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</si>
  <si>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</si>
  <si>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</si>
  <si>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</si>
  <si>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</si>
  <si>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</si>
  <si>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</si>
  <si>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</si>
  <si>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</si>
  <si>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</si>
  <si>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</si>
  <si>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</si>
  <si>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</si>
  <si>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</si>
  <si>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</si>
  <si>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</si>
  <si>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</si>
  <si>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</si>
  <si>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</si>
  <si>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</si>
  <si>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</si>
  <si>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</si>
  <si>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</si>
  <si>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</si>
  <si>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</si>
  <si>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</si>
  <si>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</si>
  <si>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</si>
  <si>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</si>
  <si>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</si>
  <si>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</si>
  <si>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</si>
  <si>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</si>
  <si>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</si>
  <si>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</si>
  <si>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</si>
  <si>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</si>
  <si>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</si>
  <si>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</si>
  <si>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</si>
  <si>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</si>
  <si>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</si>
  <si>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</si>
  <si>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</si>
  <si>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</si>
  <si>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</si>
  <si>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</si>
  <si>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</si>
  <si>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</si>
  <si>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</si>
  <si>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</si>
  <si>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</si>
  <si>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</si>
  <si>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</si>
  <si>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</si>
  <si>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</si>
  <si>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</si>
  <si>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</si>
  <si>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</si>
  <si>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</si>
  <si>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</si>
  <si>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</si>
  <si>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</si>
  <si>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</si>
  <si>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</si>
  <si>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</si>
  <si>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</si>
  <si>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</si>
  <si>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</si>
  <si>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</si>
  <si>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</si>
  <si>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</si>
  <si>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</si>
  <si>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</si>
  <si>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</si>
  <si>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</si>
  <si>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</si>
  <si>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</si>
  <si>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</si>
  <si>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</si>
  <si>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</si>
  <si>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</si>
  <si>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</si>
  <si>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</si>
  <si>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</si>
  <si>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</si>
  <si>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</si>
  <si>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</si>
  <si>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</si>
  <si>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</si>
  <si>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</si>
  <si>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</si>
  <si>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</si>
  <si>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</si>
  <si>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</si>
  <si>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</si>
  <si>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</si>
  <si>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</si>
  <si>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</si>
  <si>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</si>
  <si>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</si>
  <si>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</si>
  <si>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</si>
  <si>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</si>
  <si>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</si>
  <si>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</si>
  <si>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</si>
  <si>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</si>
  <si>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</si>
  <si>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</si>
  <si>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</si>
  <si>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</si>
  <si>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</si>
  <si>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</si>
  <si>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</si>
  <si>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</si>
  <si>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</si>
  <si>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</si>
  <si>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</si>
  <si>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</si>
  <si>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</si>
  <si>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</si>
  <si>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</si>
  <si>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</si>
  <si>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</si>
  <si>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</si>
  <si>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</si>
  <si>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</si>
  <si>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</si>
  <si>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</si>
  <si>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</si>
  <si>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</si>
  <si>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</si>
  <si>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</si>
  <si>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</si>
  <si>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</si>
  <si>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</si>
  <si>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</si>
  <si>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</si>
  <si>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</si>
  <si>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</si>
  <si>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</si>
  <si>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</si>
  <si>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</si>
  <si>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</si>
  <si>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</si>
  <si>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</si>
  <si>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</si>
  <si>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</si>
  <si>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</si>
  <si>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</si>
  <si>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</si>
  <si>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</si>
  <si>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</si>
  <si>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</si>
  <si>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</si>
  <si>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</si>
  <si>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</si>
  <si>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</si>
  <si>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</si>
  <si>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</si>
  <si>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</si>
  <si>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</si>
  <si>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</si>
  <si>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</si>
  <si>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</si>
  <si>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</si>
  <si>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</si>
  <si>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</si>
  <si>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</si>
  <si>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</si>
  <si>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</si>
  <si>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</si>
  <si>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</si>
  <si>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</si>
  <si>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</si>
  <si>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</si>
  <si>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</si>
  <si>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</si>
  <si>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</si>
  <si>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</si>
  <si>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</si>
  <si>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</si>
  <si>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</si>
  <si>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</si>
  <si>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</si>
  <si>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</si>
  <si>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</si>
  <si>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</si>
  <si>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</si>
  <si>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</si>
  <si>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</si>
  <si>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</si>
  <si>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</si>
  <si>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</si>
  <si>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</si>
  <si>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</si>
  <si>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</si>
  <si>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</si>
  <si>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</si>
  <si>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</si>
  <si>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</si>
  <si>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</si>
  <si>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</si>
  <si>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</si>
  <si>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</si>
  <si>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</si>
  <si>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</si>
  <si>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</si>
  <si>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</si>
  <si>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</si>
  <si>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</si>
  <si>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</si>
  <si>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</si>
  <si>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</si>
  <si>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</si>
  <si>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</si>
  <si>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</si>
  <si>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</si>
  <si>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</si>
  <si>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</si>
  <si>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</si>
  <si>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</si>
  <si>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</si>
  <si>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</si>
  <si>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</si>
  <si>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</si>
  <si>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</si>
  <si>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</si>
  <si>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</si>
  <si>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</si>
  <si>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</si>
  <si>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</si>
  <si>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</si>
  <si>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</si>
  <si>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</si>
  <si>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</si>
  <si>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</si>
  <si>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</si>
  <si>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</si>
  <si>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</si>
  <si>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</si>
  <si>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</si>
  <si>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</si>
  <si>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</si>
  <si>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</si>
  <si>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</si>
  <si>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</si>
  <si>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</si>
  <si>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</si>
  <si>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</si>
  <si>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</si>
  <si>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</si>
  <si>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</si>
  <si>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</si>
  <si>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</si>
  <si>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</si>
  <si>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</si>
  <si>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</si>
  <si>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</si>
  <si>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</si>
  <si>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</si>
  <si>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</si>
  <si>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</si>
  <si>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</si>
  <si>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</si>
  <si>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</si>
  <si>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</si>
  <si>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</si>
  <si>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</si>
  <si>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</si>
  <si>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</si>
  <si>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</si>
  <si>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</si>
  <si>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</si>
  <si>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</si>
  <si>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</si>
  <si>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</si>
  <si>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</si>
  <si>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</si>
  <si>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</si>
  <si>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</si>
  <si>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</si>
  <si>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</si>
  <si>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</si>
  <si>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</si>
  <si>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</si>
  <si>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</si>
  <si>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</si>
  <si>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</si>
  <si>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</si>
  <si>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</si>
  <si>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</si>
  <si>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</si>
  <si>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</si>
  <si>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</si>
  <si>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</si>
  <si>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</si>
  <si>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</si>
  <si>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</si>
  <si>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</si>
  <si>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</si>
  <si>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</si>
  <si>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</si>
  <si>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</si>
  <si>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</si>
  <si>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</si>
  <si>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</si>
  <si>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</si>
  <si>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</si>
  <si>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</si>
  <si>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</si>
  <si>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</si>
  <si>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</si>
  <si>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</si>
  <si>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</si>
  <si>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</si>
  <si>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</si>
  <si>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</si>
  <si>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</si>
  <si>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</si>
  <si>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</si>
  <si>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</si>
  <si>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</si>
  <si>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</si>
  <si>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</si>
  <si>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</si>
  <si>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</si>
  <si>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</si>
  <si>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</si>
  <si>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</si>
  <si>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</si>
  <si>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</si>
  <si>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</si>
  <si>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</si>
  <si>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</si>
  <si>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</si>
  <si>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</si>
  <si>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</si>
  <si>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</si>
  <si>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</si>
  <si>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</si>
  <si>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</si>
  <si>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</si>
  <si>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</si>
  <si>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</si>
  <si>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</si>
  <si>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</si>
  <si>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</si>
  <si>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</si>
  <si>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</si>
  <si>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</si>
  <si>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</si>
  <si>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</si>
  <si>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</si>
  <si>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</si>
  <si>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</si>
  <si>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</si>
  <si>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</si>
  <si>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</si>
  <si>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</si>
  <si>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</si>
  <si>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</si>
  <si>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</si>
  <si>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</si>
  <si>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</si>
  <si>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</si>
  <si>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</si>
  <si>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</si>
  <si>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</si>
  <si>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</si>
  <si>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</si>
  <si>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</si>
  <si>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</si>
  <si>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</si>
  <si>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</si>
  <si>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</si>
  <si>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</si>
  <si>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</si>
  <si>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</si>
  <si>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</si>
  <si>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</si>
  <si>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</si>
  <si>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</si>
  <si>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</si>
  <si>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</si>
  <si>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</si>
  <si>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</si>
  <si>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</si>
  <si>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</si>
  <si>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</si>
  <si>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</si>
  <si>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</si>
  <si>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</si>
  <si>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</si>
  <si>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</si>
  <si>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</si>
  <si>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</si>
  <si>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</si>
  <si>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</si>
  <si>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</si>
  <si>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</si>
  <si>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</si>
  <si>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</si>
  <si>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</si>
  <si>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</si>
  <si>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</si>
  <si>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</si>
  <si>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</si>
  <si>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</si>
  <si>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</si>
  <si>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</si>
  <si>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</si>
  <si>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</si>
  <si>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</si>
  <si>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</si>
  <si>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</si>
  <si>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</si>
  <si>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</si>
  <si>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</si>
  <si>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</si>
  <si>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</si>
  <si>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</si>
  <si>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</si>
  <si>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</si>
  <si>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</si>
  <si>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</si>
  <si>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</si>
  <si>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</si>
  <si>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</si>
  <si>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</si>
  <si>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</si>
  <si>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</si>
  <si>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</si>
  <si>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</si>
  <si>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</si>
  <si>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</si>
  <si>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</si>
  <si>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</si>
  <si>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</si>
  <si>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</si>
  <si>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</si>
  <si>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</si>
  <si>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</si>
  <si>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</si>
  <si>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</si>
  <si>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</si>
  <si>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</si>
  <si>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</si>
  <si>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</si>
  <si>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</si>
  <si>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</si>
  <si>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</si>
  <si>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</si>
  <si>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</si>
  <si>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</si>
  <si>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</si>
  <si>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</si>
  <si>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</si>
  <si>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</si>
  <si>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</si>
  <si>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</si>
  <si>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</si>
  <si>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</si>
  <si>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</si>
  <si>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</si>
  <si>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</si>
  <si>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</si>
  <si>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</si>
  <si>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</si>
  <si>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</si>
  <si>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</si>
  <si>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</si>
  <si>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</si>
  <si>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</si>
  <si>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</si>
  <si>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</si>
  <si>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</si>
  <si>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</si>
  <si>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</si>
  <si>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</si>
  <si>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</si>
  <si>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</si>
  <si>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</si>
  <si>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</si>
  <si>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</si>
  <si>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</si>
  <si>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</si>
  <si>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</si>
  <si>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</si>
  <si>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</si>
  <si>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</si>
  <si>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</si>
  <si>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</si>
  <si>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</si>
  <si>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</si>
  <si>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</si>
  <si>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</si>
  <si>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</si>
  <si>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</si>
  <si>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</si>
  <si>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</si>
  <si>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</si>
  <si>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</si>
  <si>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</si>
  <si>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</si>
  <si>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</si>
  <si>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</si>
  <si>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</si>
  <si>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</si>
  <si>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</si>
  <si>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</si>
  <si>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</si>
  <si>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</si>
  <si>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</si>
  <si>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</si>
  <si>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</si>
  <si>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</si>
  <si>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</si>
  <si>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</si>
  <si>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</si>
  <si>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</si>
  <si>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</si>
  <si>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</si>
  <si>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</si>
  <si>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</si>
  <si>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</si>
  <si>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</si>
  <si>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</si>
  <si>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</si>
  <si>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</si>
  <si>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</si>
  <si>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</si>
  <si>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</si>
  <si>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</si>
  <si>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</si>
  <si>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</si>
  <si>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</si>
  <si>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</si>
  <si>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</si>
  <si>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</si>
  <si>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</si>
  <si>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</si>
  <si>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</si>
  <si>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</si>
  <si>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</si>
  <si>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</si>
  <si>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</si>
  <si>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</si>
  <si>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</si>
  <si>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</si>
  <si>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</si>
  <si>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</si>
  <si>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</si>
  <si>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</si>
  <si>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</si>
  <si>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</si>
  <si>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</si>
  <si>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</si>
  <si>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</si>
  <si>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</si>
  <si>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</si>
  <si>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</si>
  <si>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</si>
  <si>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</si>
  <si>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</si>
  <si>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</si>
  <si>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</si>
  <si>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</si>
  <si>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</si>
  <si>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</si>
  <si>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</si>
  <si>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</si>
  <si>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</si>
  <si>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</si>
  <si>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</si>
  <si>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</si>
  <si>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</si>
  <si>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</si>
  <si>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</si>
  <si>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</si>
  <si>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</si>
  <si>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</si>
  <si>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</si>
  <si>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</si>
  <si>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</si>
  <si>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</si>
  <si>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</si>
  <si>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</si>
  <si>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</si>
  <si>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</si>
  <si>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</si>
  <si>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</si>
  <si>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</si>
  <si>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</si>
  <si>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</si>
  <si>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</si>
  <si>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</si>
  <si>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</si>
  <si>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</si>
  <si>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</si>
  <si>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</si>
  <si>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</si>
  <si>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</si>
  <si>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</si>
  <si>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</si>
  <si>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</si>
  <si>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</si>
  <si>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</si>
  <si>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</si>
  <si>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</si>
  <si>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</si>
  <si>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</si>
  <si>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</si>
  <si>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</si>
  <si>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</si>
  <si>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</si>
  <si>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</si>
  <si>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</si>
  <si>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</si>
  <si>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</si>
  <si>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</si>
  <si>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</si>
  <si>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</si>
  <si>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</si>
  <si>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</si>
  <si>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</si>
  <si>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</si>
  <si>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</si>
  <si>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</si>
  <si>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</si>
  <si>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</si>
  <si>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</si>
  <si>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</si>
  <si>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</si>
  <si>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</si>
  <si>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</si>
  <si>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</si>
  <si>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</si>
  <si>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</si>
  <si>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</si>
  <si>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</si>
  <si>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</si>
  <si>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</si>
  <si>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</si>
  <si>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</si>
  <si>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</si>
  <si>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</si>
  <si>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</si>
  <si>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</si>
  <si>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</si>
  <si>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</si>
  <si>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</si>
  <si>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</si>
  <si>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</si>
  <si>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</si>
  <si>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</si>
  <si>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</si>
  <si>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</si>
  <si>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</si>
  <si>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</si>
  <si>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</si>
  <si>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</si>
  <si>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</si>
  <si>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</si>
  <si>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</si>
  <si>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</si>
  <si>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</si>
  <si>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</si>
  <si>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</si>
  <si>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</si>
  <si>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</si>
  <si>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</si>
  <si>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</si>
  <si>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</si>
  <si>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</si>
  <si>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</si>
  <si>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</si>
  <si>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</si>
  <si>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</si>
  <si>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</si>
  <si>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</si>
  <si>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</si>
  <si>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</si>
  <si>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</si>
  <si>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</si>
  <si>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</si>
  <si>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</si>
  <si>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</si>
  <si>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</si>
  <si>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</si>
  <si>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</si>
  <si>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</si>
  <si>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</si>
  <si>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</si>
  <si>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</si>
  <si>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</si>
  <si>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</si>
  <si>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</si>
  <si>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</si>
  <si>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</si>
  <si>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</si>
  <si>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</si>
  <si>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</si>
  <si>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</si>
  <si>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</si>
  <si>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</si>
  <si>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</si>
  <si>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</si>
  <si>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</si>
  <si>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</si>
  <si>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</si>
  <si>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</si>
  <si>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</si>
  <si>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</si>
  <si>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</si>
  <si>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</si>
  <si>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</si>
  <si>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</si>
  <si>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</si>
  <si>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</si>
  <si>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</si>
  <si>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</si>
  <si>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</si>
  <si>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</si>
  <si>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</si>
  <si>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</si>
  <si>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</si>
  <si>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</si>
  <si>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</si>
  <si>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</si>
  <si>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</si>
  <si>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</si>
  <si>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</si>
  <si>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</si>
  <si>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</si>
  <si>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</si>
  <si>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</si>
  <si>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</si>
  <si>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</si>
  <si>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</si>
  <si>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</si>
  <si>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</si>
  <si>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</si>
  <si>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</si>
  <si>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</si>
  <si>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</si>
  <si>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</si>
  <si>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</si>
  <si>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</si>
  <si>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</si>
  <si>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</si>
  <si>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</si>
  <si>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</si>
  <si>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</si>
  <si>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</si>
  <si>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</si>
  <si>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</si>
  <si>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</si>
  <si>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</si>
  <si>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</si>
  <si>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</si>
  <si>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</si>
  <si>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</si>
  <si>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</si>
  <si>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</si>
  <si>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</si>
  <si>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</si>
  <si>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</si>
  <si>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</si>
  <si>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</si>
  <si>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</si>
  <si>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</si>
  <si>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</si>
  <si>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</si>
  <si>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</si>
  <si>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</si>
  <si>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</si>
  <si>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</si>
  <si>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</si>
  <si>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</si>
  <si>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</si>
  <si>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</si>
  <si>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</si>
  <si>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</si>
  <si>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</si>
  <si>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</si>
  <si>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</si>
  <si>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</si>
  <si>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</si>
  <si>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</si>
  <si>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</si>
  <si>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</si>
  <si>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</si>
  <si>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</si>
  <si>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</si>
  <si>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</si>
  <si>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</si>
  <si>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</si>
  <si>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</si>
  <si>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</si>
  <si>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</si>
  <si>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</si>
  <si>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</si>
  <si>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</si>
  <si>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</si>
  <si>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</si>
  <si>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</si>
  <si>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</si>
  <si>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</si>
  <si>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</si>
  <si>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</si>
  <si>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</si>
  <si>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</si>
  <si>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</si>
  <si>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</si>
  <si>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</si>
  <si>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</si>
  <si>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</si>
  <si>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</si>
  <si>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</si>
  <si>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</si>
  <si>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</si>
  <si>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</si>
  <si>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</si>
  <si>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</si>
  <si>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</si>
  <si>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</si>
  <si>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</si>
  <si>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</si>
  <si>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</si>
  <si>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</si>
  <si>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</si>
  <si>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</si>
  <si>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</si>
  <si>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</si>
  <si>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</si>
  <si>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</si>
  <si>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</si>
  <si>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</si>
  <si>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</si>
  <si>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</si>
  <si>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</si>
  <si>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</si>
  <si>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</si>
  <si>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</si>
  <si>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</si>
  <si>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</si>
  <si>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</si>
  <si>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</si>
  <si>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</si>
  <si>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</si>
  <si>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</si>
  <si>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</si>
  <si>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</si>
  <si>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</si>
  <si>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</si>
  <si>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</si>
  <si>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</si>
  <si>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</si>
  <si>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</si>
  <si>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</si>
  <si>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</si>
  <si>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</si>
  <si>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</si>
  <si>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</si>
  <si>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</si>
  <si>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</si>
  <si>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</si>
  <si>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</si>
  <si>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</si>
  <si>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</si>
  <si>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</si>
  <si>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</si>
  <si>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</si>
  <si>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</si>
  <si>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</si>
  <si>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</si>
  <si>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</si>
  <si>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</si>
  <si>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</si>
  <si>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</si>
  <si>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</si>
  <si>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</si>
  <si>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</si>
  <si>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</si>
  <si>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</si>
  <si>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</si>
  <si>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</si>
  <si>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</si>
  <si>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</si>
  <si>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</si>
  <si>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</si>
  <si>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</si>
  <si>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</si>
  <si>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</si>
  <si>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</si>
  <si>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</si>
  <si>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</si>
  <si>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</si>
  <si>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</si>
  <si>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</si>
  <si>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</si>
  <si>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</si>
  <si>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</si>
  <si>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</si>
  <si>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</si>
  <si>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</si>
  <si>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</si>
  <si>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</si>
  <si>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</si>
  <si>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</si>
  <si>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</si>
  <si>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</si>
  <si>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</si>
  <si>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</si>
  <si>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</si>
  <si>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</si>
  <si>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</si>
  <si>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</si>
  <si>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</si>
  <si>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</si>
  <si>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</si>
  <si>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</si>
  <si>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</si>
  <si>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</si>
  <si>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</si>
  <si>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</si>
  <si>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</si>
  <si>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</si>
  <si>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</si>
  <si>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</si>
  <si>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</si>
  <si>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</si>
  <si>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</si>
  <si>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</si>
  <si>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</si>
  <si>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</si>
  <si>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</si>
  <si>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</si>
  <si>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</si>
  <si>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</si>
  <si>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</si>
  <si>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</si>
  <si>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</si>
  <si>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</si>
  <si>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</si>
  <si>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</si>
  <si>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</si>
  <si>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</si>
  <si>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</si>
  <si>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</si>
  <si>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</si>
  <si>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</si>
  <si>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</si>
  <si>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</si>
  <si>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</si>
  <si>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</si>
  <si>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</si>
  <si>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</si>
  <si>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</si>
  <si>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</si>
  <si>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</si>
  <si>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</si>
  <si>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</si>
  <si>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</si>
  <si>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</si>
  <si>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</si>
  <si>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</si>
  <si>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</si>
  <si>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</si>
  <si>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</si>
  <si>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</si>
  <si>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</si>
  <si>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</si>
  <si>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</si>
  <si>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</si>
  <si>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</si>
  <si>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</si>
  <si>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</si>
  <si>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</si>
  <si>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</si>
  <si>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</si>
  <si>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</si>
  <si>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</si>
  <si>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</si>
  <si>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</si>
  <si>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</si>
  <si>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</si>
  <si>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</si>
  <si>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</si>
  <si>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</si>
  <si>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</si>
  <si>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</si>
  <si>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</si>
  <si>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</si>
  <si>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</si>
  <si>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</si>
  <si>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</si>
  <si>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</si>
  <si>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</si>
  <si>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</si>
  <si>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</si>
  <si>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</si>
  <si>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</si>
  <si>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</si>
  <si>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</si>
  <si>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</si>
  <si>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</si>
  <si>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</si>
  <si>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</si>
  <si>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</si>
  <si>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</si>
  <si>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</si>
  <si>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</si>
  <si>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</si>
  <si>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</si>
  <si>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</si>
  <si>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</si>
  <si>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</si>
  <si>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</si>
  <si>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</si>
  <si>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</si>
  <si>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</si>
  <si>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</si>
  <si>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</si>
  <si>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</si>
  <si>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</si>
  <si>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</si>
  <si>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</si>
  <si>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</si>
  <si>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</si>
  <si>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</si>
  <si>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</si>
  <si>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</si>
  <si>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</si>
  <si>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</si>
  <si>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</si>
  <si>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</si>
  <si>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</si>
  <si>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</si>
  <si>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</si>
  <si>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</si>
  <si>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</si>
  <si>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</si>
  <si>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</si>
  <si>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</si>
  <si>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</si>
  <si>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</si>
  <si>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</si>
  <si>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</si>
  <si>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</si>
  <si>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</si>
  <si>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</si>
  <si>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</si>
  <si>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</si>
  <si>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</si>
  <si>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</si>
  <si>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</si>
  <si>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</si>
  <si>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</si>
  <si>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</si>
  <si>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</si>
  <si>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</si>
  <si>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</si>
  <si>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</si>
  <si>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</si>
  <si>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</si>
  <si>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</si>
  <si>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</si>
  <si>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</si>
  <si>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</si>
  <si>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</si>
  <si>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</si>
  <si>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</si>
  <si>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</si>
  <si>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</si>
  <si>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</si>
  <si>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</si>
  <si>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</si>
  <si>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</si>
  <si>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</si>
  <si>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</si>
  <si>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</si>
  <si>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</si>
  <si>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</si>
  <si>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</si>
  <si>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</si>
  <si>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</si>
  <si>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</si>
  <si>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</si>
  <si>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</si>
  <si>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</si>
  <si>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</si>
  <si>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</si>
  <si>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</si>
  <si>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</si>
  <si>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</si>
  <si>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</si>
  <si>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</si>
  <si>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</si>
  <si>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</si>
  <si>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</si>
  <si>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</si>
  <si>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</si>
  <si>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</si>
  <si>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</si>
  <si>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</si>
  <si>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</si>
  <si>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</si>
  <si>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</si>
  <si>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</si>
  <si>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</si>
  <si>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</si>
  <si>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</si>
  <si>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</si>
  <si>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</si>
  <si>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</si>
  <si>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</si>
  <si>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</si>
  <si>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</si>
  <si>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</si>
  <si>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</si>
  <si>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</si>
  <si>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</si>
  <si>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</si>
  <si>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</si>
  <si>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</si>
  <si>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</si>
  <si>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</si>
  <si>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</si>
  <si>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</si>
  <si>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</si>
  <si>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</si>
  <si>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</si>
  <si>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</si>
  <si>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</si>
  <si>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</si>
  <si>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</si>
  <si>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</si>
  <si>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</si>
  <si>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</si>
  <si>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</si>
  <si>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</si>
  <si>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</si>
  <si>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</si>
  <si>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</si>
  <si>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</si>
  <si>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</si>
  <si>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</si>
  <si>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</si>
  <si>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</si>
  <si>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</si>
  <si>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</si>
  <si>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</si>
  <si>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</si>
  <si>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</si>
  <si>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</si>
  <si>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</si>
  <si>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</si>
  <si>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</si>
  <si>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</si>
  <si>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</si>
  <si>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</si>
  <si>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</si>
  <si>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</si>
  <si>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</si>
  <si>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</si>
  <si>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</si>
  <si>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</si>
  <si>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</si>
  <si>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</si>
  <si>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</si>
  <si>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</si>
  <si>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</si>
  <si>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</si>
  <si>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</si>
  <si>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</si>
  <si>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</si>
  <si>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</si>
  <si>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</si>
  <si>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</si>
  <si>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</si>
  <si>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</si>
  <si>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</si>
  <si>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</si>
  <si>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</si>
  <si>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</si>
  <si>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</si>
  <si>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</si>
  <si>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</si>
  <si>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</si>
  <si>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</si>
  <si>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</si>
  <si>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</si>
  <si>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</si>
  <si>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</si>
  <si>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</si>
  <si>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</si>
  <si>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</si>
  <si>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</si>
  <si>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</si>
  <si>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</si>
  <si>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</si>
  <si>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</si>
  <si>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</si>
  <si>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</si>
  <si>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</si>
  <si>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</si>
  <si>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</si>
  <si>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</si>
  <si>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</si>
  <si>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</si>
  <si>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</si>
  <si>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</si>
  <si>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</si>
  <si>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</si>
  <si>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</si>
  <si>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</si>
  <si>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</si>
  <si>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</si>
  <si>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</si>
  <si>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</si>
  <si>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</si>
  <si>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</si>
  <si>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</si>
  <si>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</si>
  <si>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</si>
  <si>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</si>
  <si>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</si>
  <si>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</si>
  <si>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</si>
  <si>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</si>
  <si>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</si>
  <si>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</si>
  <si>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</si>
  <si>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</si>
  <si>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</si>
  <si>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</si>
  <si>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</si>
  <si>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</si>
  <si>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</si>
  <si>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</si>
  <si>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</si>
  <si>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</si>
  <si>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</si>
  <si>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</si>
  <si>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</si>
  <si>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</si>
  <si>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</si>
  <si>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</si>
  <si>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</si>
  <si>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</si>
  <si>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</si>
  <si>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</si>
  <si>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</si>
  <si>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</si>
  <si>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</si>
  <si>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</si>
  <si>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</si>
  <si>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</si>
  <si>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</si>
  <si>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</si>
  <si>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</si>
  <si>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</si>
  <si>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</si>
  <si>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</si>
  <si>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</si>
  <si>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</si>
  <si>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</si>
  <si>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</si>
  <si>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</si>
  <si>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</si>
  <si>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</si>
  <si>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</si>
  <si>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</si>
  <si>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</si>
  <si>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</si>
  <si>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</si>
  <si>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</si>
  <si>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</si>
  <si>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</si>
  <si>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</si>
  <si>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</si>
  <si>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</si>
  <si>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</si>
  <si>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</si>
  <si>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</si>
  <si>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</si>
  <si>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</si>
  <si>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</si>
  <si>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</si>
  <si>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</si>
  <si>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</si>
  <si>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</si>
  <si>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</si>
  <si>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</si>
  <si>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</si>
  <si>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</si>
  <si>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</si>
  <si>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</si>
  <si>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</si>
  <si>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</si>
  <si>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</si>
  <si>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</si>
  <si>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</si>
  <si>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</si>
  <si>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</si>
  <si>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</si>
  <si>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</si>
  <si>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</si>
  <si>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</si>
  <si>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</si>
  <si>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</si>
  <si>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</si>
  <si>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</si>
  <si>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</si>
  <si>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</si>
  <si>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</si>
  <si>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</si>
  <si>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</si>
  <si>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</si>
  <si>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</si>
  <si>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</si>
  <si>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</si>
  <si>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</si>
  <si>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</si>
  <si>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</si>
  <si>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</si>
  <si>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</si>
  <si>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</si>
  <si>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</si>
  <si>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</si>
  <si>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</si>
  <si>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</si>
  <si>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</si>
  <si>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</si>
  <si>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</si>
  <si>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</si>
  <si>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</si>
  <si>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</si>
  <si>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</si>
  <si>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</si>
  <si>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</si>
  <si>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</si>
  <si>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</si>
  <si>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</si>
  <si>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</si>
  <si>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</si>
  <si>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</si>
  <si>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</si>
  <si>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</si>
  <si>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</si>
  <si>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</si>
  <si>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</si>
  <si>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</si>
  <si>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</si>
  <si>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</si>
  <si>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</si>
  <si>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</si>
  <si>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</si>
  <si>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</si>
  <si>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</si>
  <si>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</si>
  <si>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</si>
  <si>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</si>
  <si>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</si>
  <si>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</si>
  <si>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</si>
  <si>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</si>
  <si>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</si>
  <si>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</si>
  <si>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</si>
  <si>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</si>
  <si>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</si>
  <si>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</si>
  <si>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</si>
  <si>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</si>
  <si>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</si>
  <si>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</si>
  <si>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</si>
  <si>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</si>
  <si>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</si>
  <si>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</si>
  <si>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</si>
  <si>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</si>
  <si>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</si>
  <si>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</si>
  <si>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</si>
  <si>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</si>
  <si>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</si>
  <si>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</si>
  <si>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</si>
  <si>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</si>
  <si>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</si>
  <si>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</si>
  <si>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</si>
  <si>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</si>
  <si>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</si>
  <si>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</si>
  <si>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</si>
  <si>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</si>
  <si>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</si>
  <si>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</si>
  <si>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</si>
  <si>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</si>
  <si>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</si>
  <si>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</si>
  <si>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</si>
  <si>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</si>
  <si>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</si>
  <si>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</si>
  <si>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</si>
  <si>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</si>
  <si>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</si>
  <si>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</si>
  <si>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</si>
  <si>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</si>
  <si>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</si>
  <si>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</si>
  <si>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</si>
  <si>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</si>
  <si>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</si>
  <si>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</si>
  <si>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</si>
  <si>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</si>
  <si>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</si>
  <si>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</si>
  <si>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</si>
  <si>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</si>
  <si>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</si>
  <si>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</si>
  <si>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</si>
  <si>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</si>
  <si>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</si>
  <si>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</si>
  <si>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</si>
  <si>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</si>
  <si>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</si>
  <si>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</si>
  <si>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</si>
  <si>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</si>
  <si>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</si>
  <si>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</si>
  <si>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</si>
  <si>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</si>
  <si>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</si>
  <si>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</si>
  <si>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</si>
  <si>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</si>
  <si>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</si>
  <si>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</si>
  <si>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</si>
  <si>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</si>
  <si>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</si>
  <si>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</si>
  <si>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</si>
  <si>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</si>
  <si>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</si>
  <si>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</si>
  <si>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</si>
  <si>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</si>
  <si>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</si>
  <si>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</si>
  <si>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</si>
  <si>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</si>
  <si>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</si>
  <si>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</si>
  <si>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</si>
  <si>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</si>
  <si>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</si>
  <si>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</si>
  <si>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</si>
  <si>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</si>
  <si>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</si>
  <si>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</si>
  <si>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</si>
  <si>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</si>
  <si>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</si>
  <si>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</si>
  <si>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</si>
  <si>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</si>
  <si>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</si>
  <si>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</si>
  <si>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</si>
  <si>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</si>
  <si>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</si>
  <si>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</si>
  <si>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</si>
  <si>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</si>
  <si>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</si>
  <si>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</si>
  <si>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</si>
  <si>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</si>
  <si>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</si>
  <si>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</si>
  <si>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</si>
  <si>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</si>
  <si>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</si>
  <si>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</si>
  <si>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</si>
  <si>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</si>
  <si>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</si>
  <si>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</si>
  <si>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</si>
  <si>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</si>
  <si>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</si>
  <si>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</si>
  <si>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</si>
  <si>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</si>
  <si>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</si>
  <si>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</si>
  <si>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</si>
  <si>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</si>
  <si>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</si>
  <si>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</si>
  <si>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</si>
  <si>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</si>
  <si>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</si>
  <si>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</si>
  <si>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</si>
  <si>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</si>
  <si>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</si>
  <si>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</si>
  <si>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</si>
  <si>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</si>
  <si>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</si>
  <si>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</si>
  <si>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</si>
  <si>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</si>
  <si>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</si>
  <si>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</si>
  <si>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</si>
  <si>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</si>
  <si>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</si>
  <si>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</si>
  <si>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</si>
  <si>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</si>
  <si>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</si>
  <si>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</si>
  <si>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</si>
  <si>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</si>
  <si>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</si>
  <si>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</si>
  <si>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</si>
  <si>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</si>
  <si>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</si>
  <si>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</si>
  <si>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</si>
  <si>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</si>
  <si>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</si>
  <si>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</si>
  <si>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</si>
  <si>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</si>
  <si>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</si>
  <si>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</si>
  <si>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</si>
  <si>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</si>
  <si>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</si>
  <si>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</si>
  <si>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</si>
  <si>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</si>
  <si>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</si>
  <si>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</si>
  <si>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</si>
  <si>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</si>
  <si>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</si>
  <si>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</si>
  <si>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</si>
  <si>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</si>
  <si>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</si>
  <si>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</si>
  <si>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</si>
  <si>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</si>
  <si>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</si>
  <si>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</si>
  <si>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</si>
  <si>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</si>
  <si>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</si>
  <si>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</si>
  <si>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</si>
  <si>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</si>
  <si>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</si>
  <si>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</si>
  <si>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</si>
  <si>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</si>
  <si>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</si>
  <si>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</si>
  <si>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</si>
  <si>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</si>
  <si>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</si>
  <si>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</si>
  <si>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</si>
  <si>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</si>
  <si>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</si>
  <si>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</si>
  <si>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</si>
  <si>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</si>
  <si>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</si>
  <si>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</si>
  <si>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</si>
  <si>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</si>
  <si>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</si>
  <si>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</si>
  <si>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</si>
  <si>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</si>
  <si>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</si>
  <si>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</si>
  <si>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</si>
  <si>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</si>
  <si>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</si>
  <si>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</si>
  <si>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</si>
  <si>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</si>
  <si>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</si>
  <si>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</si>
  <si>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</si>
  <si>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</si>
  <si>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</si>
  <si>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</si>
  <si>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</si>
  <si>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</si>
  <si>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</si>
  <si>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</si>
  <si>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</si>
  <si>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</si>
  <si>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</si>
  <si>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</si>
  <si>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</si>
  <si>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</si>
  <si>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</si>
  <si>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</si>
  <si>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</si>
  <si>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</si>
  <si>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</si>
  <si>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</si>
  <si>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</si>
  <si>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</si>
  <si>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</si>
  <si>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</si>
  <si>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</si>
  <si>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</si>
  <si>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</si>
  <si>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</si>
  <si>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</si>
  <si>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</si>
  <si>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</si>
  <si>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</si>
  <si>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</si>
  <si>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</si>
  <si>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</si>
  <si>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</si>
  <si>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</si>
  <si>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</si>
  <si>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</si>
  <si>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</si>
  <si>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</si>
  <si>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</si>
  <si>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</si>
  <si>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</si>
  <si>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</si>
  <si>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</si>
  <si>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</si>
  <si>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</si>
  <si>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</si>
  <si>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</si>
  <si>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</si>
  <si>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</si>
  <si>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</si>
  <si>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</si>
  <si>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</si>
  <si>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</si>
  <si>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</si>
  <si>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</si>
  <si>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</si>
  <si>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</si>
  <si>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</si>
  <si>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</si>
  <si>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</si>
  <si>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</si>
  <si>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</si>
  <si>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</si>
  <si>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</si>
  <si>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</si>
  <si>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</si>
  <si>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</si>
  <si>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</si>
  <si>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</si>
  <si>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</si>
  <si>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</si>
  <si>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</si>
  <si>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</si>
  <si>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</si>
  <si>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</si>
  <si>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</si>
  <si>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</si>
  <si>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</si>
  <si>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</si>
  <si>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</si>
  <si>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</si>
  <si>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</si>
  <si>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</si>
  <si>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</si>
  <si>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</si>
  <si>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</si>
  <si>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</si>
  <si>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</si>
  <si>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</si>
  <si>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</si>
  <si>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</si>
  <si>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</si>
  <si>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</si>
  <si>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</si>
  <si>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</si>
  <si>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</si>
  <si>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</si>
  <si>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</si>
  <si>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</si>
  <si>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</si>
  <si>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</si>
  <si>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</si>
  <si>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</si>
  <si>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</si>
  <si>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</si>
  <si>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</si>
  <si>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</si>
  <si>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</si>
  <si>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</si>
  <si>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</si>
  <si>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</si>
  <si>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</si>
  <si>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</si>
  <si>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</si>
  <si>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</si>
  <si>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</si>
  <si>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</si>
  <si>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</si>
  <si>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</si>
  <si>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</si>
  <si>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</si>
  <si>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</si>
  <si>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</si>
  <si>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</si>
  <si>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</si>
  <si>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</si>
  <si>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</si>
  <si>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</si>
  <si>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</si>
  <si>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</si>
  <si>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</si>
  <si>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</si>
  <si>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</si>
  <si>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</si>
  <si>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</si>
  <si>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</si>
  <si>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</si>
  <si>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</si>
  <si>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</si>
  <si>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</si>
  <si>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</si>
  <si>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</si>
  <si>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</si>
  <si>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</si>
  <si>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</si>
  <si>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</si>
  <si>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</si>
  <si>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</si>
  <si>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</si>
  <si>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</si>
  <si>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</si>
  <si>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</si>
  <si>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</si>
  <si>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</si>
  <si>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</si>
  <si>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</si>
  <si>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</si>
  <si>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</si>
  <si>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</si>
  <si>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</si>
  <si>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</si>
  <si>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</si>
  <si>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</si>
  <si>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</si>
  <si>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</si>
  <si>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</si>
  <si>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</si>
  <si>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</si>
  <si>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</si>
  <si>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</si>
  <si>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</si>
  <si>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</si>
  <si>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</si>
  <si>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</si>
  <si>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</si>
  <si>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</si>
  <si>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</si>
  <si>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</si>
  <si>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</si>
  <si>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</si>
  <si>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</si>
  <si>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</si>
  <si>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</si>
  <si>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</si>
  <si>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</si>
  <si>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</si>
  <si>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</si>
  <si>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</si>
  <si>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</si>
  <si>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</si>
  <si>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</si>
  <si>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</si>
  <si>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</si>
  <si>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</si>
  <si>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</si>
  <si>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</si>
  <si>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</si>
  <si>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</si>
  <si>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</si>
  <si>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</si>
  <si>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</si>
  <si>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</si>
  <si>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</si>
  <si>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</si>
  <si>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</si>
  <si>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</si>
  <si>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</si>
  <si>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</si>
  <si>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</si>
  <si>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</si>
  <si>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</si>
  <si>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</si>
  <si>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</si>
  <si>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</si>
  <si>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</si>
  <si>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</si>
  <si>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</si>
  <si>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</si>
  <si>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</si>
  <si>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</si>
  <si>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</si>
  <si>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</si>
  <si>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</si>
  <si>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</si>
  <si>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</si>
  <si>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</si>
  <si>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</si>
  <si>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</si>
  <si>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</si>
  <si>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</si>
  <si>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</si>
  <si>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</si>
  <si>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</si>
  <si>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</si>
  <si>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</si>
  <si>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</si>
  <si>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</si>
  <si>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</si>
  <si>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</si>
  <si>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</si>
  <si>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</si>
  <si>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</si>
  <si>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</si>
  <si>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</si>
  <si>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</si>
  <si>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</si>
  <si>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</si>
  <si>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</si>
  <si>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</si>
  <si>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</si>
  <si>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</si>
  <si>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</si>
  <si>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</si>
  <si>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</si>
  <si>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</si>
  <si>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</si>
  <si>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</si>
  <si>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</si>
  <si>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</si>
  <si>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</si>
  <si>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</si>
  <si>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</si>
  <si>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</si>
  <si>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</si>
  <si>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</si>
  <si>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</si>
  <si>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</si>
  <si>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</si>
  <si>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</si>
  <si>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</si>
  <si>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</si>
  <si>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</si>
  <si>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</si>
  <si>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</si>
  <si>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</si>
  <si>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</si>
  <si>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</si>
  <si>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</si>
  <si>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</si>
  <si>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</si>
  <si>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</si>
  <si>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</si>
  <si>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Westview Village II LP</t>
  </si>
  <si>
    <t>Westview Village II</t>
  </si>
  <si>
    <t>June</t>
  </si>
  <si>
    <t>Denise M. Wise</t>
  </si>
  <si>
    <t>Executive Director</t>
  </si>
  <si>
    <t>City of San Buenaventura, Community Development Department</t>
  </si>
  <si>
    <t>Dori Boyer</t>
  </si>
  <si>
    <t>Management Technician</t>
  </si>
  <si>
    <t>501 Poli Street</t>
  </si>
  <si>
    <t>805-654-7732</t>
  </si>
  <si>
    <t>805-677-3949</t>
  </si>
  <si>
    <t>dboyer@cityofventura.net</t>
  </si>
  <si>
    <t>232 W. Flint Street and 270 W. Warner Street</t>
  </si>
  <si>
    <t>068-0-132-115</t>
  </si>
  <si>
    <t>995 Riverside Street</t>
  </si>
  <si>
    <t>CA</t>
  </si>
  <si>
    <t>805-648-5008</t>
  </si>
  <si>
    <t>805-686-5811</t>
  </si>
  <si>
    <t>dwise@hacityventura.org</t>
  </si>
  <si>
    <t>Managing GP</t>
  </si>
  <si>
    <t>Homecomings, Inc.</t>
  </si>
  <si>
    <t>Sponsor and Developer</t>
  </si>
  <si>
    <t>Ventura, CA 93001</t>
  </si>
  <si>
    <t>Karen Flock</t>
  </si>
  <si>
    <t>805-626-5819</t>
  </si>
  <si>
    <t>kflock@hacityventura.org</t>
  </si>
  <si>
    <t>RRM Design Group</t>
  </si>
  <si>
    <t>422 E Main Street</t>
  </si>
  <si>
    <t>Kara Davis</t>
  </si>
  <si>
    <t>805-652-2115</t>
  </si>
  <si>
    <t>kldavis@rrmdesign.com</t>
  </si>
  <si>
    <t>Goldfarb and Lipman, LLP</t>
  </si>
  <si>
    <t>1300 Clay Street, 11th Floor</t>
  </si>
  <si>
    <t>Oakland, CA 94612</t>
  </si>
  <si>
    <t>Isabel Brown</t>
  </si>
  <si>
    <t>510-836-6336</t>
  </si>
  <si>
    <t>ibrown@goldfarblipman.com</t>
  </si>
  <si>
    <t>TBD</t>
  </si>
  <si>
    <t>2260 El Cajon Blvd. No. 922</t>
  </si>
  <si>
    <t>San Diego, CA 92104</t>
  </si>
  <si>
    <t>Amy DeVaudreuil</t>
  </si>
  <si>
    <t>619-239-6336</t>
  </si>
  <si>
    <t>adevaudreuil@goldfarblipman.com</t>
  </si>
  <si>
    <t>Partner Energy</t>
  </si>
  <si>
    <t>2154 Torrance Blvd., Suite 100</t>
  </si>
  <si>
    <t>Torrance, CA 90501</t>
  </si>
  <si>
    <t>Jennifer Webb</t>
  </si>
  <si>
    <t>310-622-8869</t>
  </si>
  <si>
    <t>310-862-2399</t>
  </si>
  <si>
    <t>jwebb@ptrenergy.com</t>
  </si>
  <si>
    <t>Novogradac &amp; Company LLP</t>
  </si>
  <si>
    <t>211 E Ocean Blvd.</t>
  </si>
  <si>
    <t>Long Beach, CA 90802</t>
  </si>
  <si>
    <t>Anthony Nguyen, CPA</t>
  </si>
  <si>
    <t>562-256-2324</t>
  </si>
  <si>
    <t>anthony.nguyen@novoco.com</t>
  </si>
  <si>
    <t>California Housing Partnership Corporation</t>
  </si>
  <si>
    <t>600 Wilshire Blvd. #890</t>
  </si>
  <si>
    <t>Los Angeles, CA 90017</t>
  </si>
  <si>
    <t>Nicole Norori</t>
  </si>
  <si>
    <t>805-914-5401</t>
  </si>
  <si>
    <t>nnorori@chpc.net</t>
  </si>
  <si>
    <t>Raney Planning and Management, Inc.</t>
  </si>
  <si>
    <t>1501 Sports Drive, Suite A</t>
  </si>
  <si>
    <t>Sacramento, CA 95834</t>
  </si>
  <si>
    <t>Stefanie Williams</t>
  </si>
  <si>
    <t>916-372-6100</t>
  </si>
  <si>
    <t>916-419-6108</t>
  </si>
  <si>
    <t>swilliams@laurinassociates.com</t>
  </si>
  <si>
    <t>William King</t>
  </si>
  <si>
    <t>2647 Preble Avenue</t>
  </si>
  <si>
    <t>Ventura, CA 93003</t>
  </si>
  <si>
    <t>805-653-6133</t>
  </si>
  <si>
    <t>805-653-6632</t>
  </si>
  <si>
    <t>wak@sbcglobal.net</t>
  </si>
  <si>
    <t>Housing Authority of the City of San Buenaventura</t>
  </si>
  <si>
    <t>Chief Executive Officer</t>
  </si>
  <si>
    <t>None</t>
  </si>
  <si>
    <t>Exempt</t>
  </si>
  <si>
    <t>Other (Specify below)</t>
  </si>
  <si>
    <t>3-story elevator building with surface parking</t>
  </si>
  <si>
    <t>Residential</t>
  </si>
  <si>
    <t>R-3-5 - 18.5 DU/acre</t>
  </si>
  <si>
    <t>R-3 (Multifamily) - 21 DU/acre</t>
  </si>
  <si>
    <t>3 stories not to exceed 45'</t>
  </si>
  <si>
    <t>1.25/1 bedroom unit, 2.25/2-4 bedroom units</t>
  </si>
  <si>
    <t>County of Ventura HOME</t>
  </si>
  <si>
    <t>HACSB Development Loan</t>
  </si>
  <si>
    <t>HACSB Seller Carryback Loan</t>
  </si>
  <si>
    <t>HACSB Project Based Vouchers</t>
  </si>
  <si>
    <t>HUD RAD</t>
  </si>
  <si>
    <t>City and County CDBG-DR</t>
  </si>
  <si>
    <t>Wells Fargo - Construction Loan</t>
  </si>
  <si>
    <t>HACSB - Seller Note</t>
  </si>
  <si>
    <t>HACSB - Development Loan</t>
  </si>
  <si>
    <t>County of Ventura CDBG-DR</t>
  </si>
  <si>
    <t>Costs Deferred Until Conversion</t>
  </si>
  <si>
    <t>Tax Credit Equity Investor</t>
  </si>
  <si>
    <t>333 S. Grand Avenue, 9th Floor</t>
  </si>
  <si>
    <t>Norma Dominguez</t>
  </si>
  <si>
    <t>213-358-7487</t>
  </si>
  <si>
    <t>Loan</t>
  </si>
  <si>
    <t>Seller Carryback Loan</t>
  </si>
  <si>
    <t>800 S. Victoria Avenue</t>
  </si>
  <si>
    <t>Tracy McAulay</t>
  </si>
  <si>
    <t>805-662-6792</t>
  </si>
  <si>
    <t>2020 W. El Camino Avenue</t>
  </si>
  <si>
    <t>Gustavo Velasquez</t>
  </si>
  <si>
    <t>916-263-7400</t>
  </si>
  <si>
    <t>Grant</t>
  </si>
  <si>
    <t>HCD Infill Infrastructure Grant Program</t>
  </si>
  <si>
    <t>Deferred Costs</t>
  </si>
  <si>
    <t>Permanent Loan</t>
  </si>
  <si>
    <t>HACSB Seller Note</t>
  </si>
  <si>
    <t>City of Ventura CDBG-DR</t>
  </si>
  <si>
    <t>100 W. Broadway, Suite 1000</t>
  </si>
  <si>
    <t>Glendale</t>
  </si>
  <si>
    <t>Mark Rasmussen</t>
  </si>
  <si>
    <t>818-550-9807</t>
  </si>
  <si>
    <t>CUAC</t>
  </si>
  <si>
    <t>Office Expenses, Traning/Compliance, Internet</t>
  </si>
  <si>
    <t>Payroll Taxes/Benefits</t>
  </si>
  <si>
    <t>Misc. Contracts, Fire/Safety Alarm Monitor</t>
  </si>
  <si>
    <t>Misc. Taxes, Licenses, Permits</t>
  </si>
  <si>
    <t>Infill Infrastructure Grant Program</t>
  </si>
  <si>
    <t>HUD</t>
  </si>
  <si>
    <t>RAD conversion - PBVs</t>
  </si>
  <si>
    <t>20</t>
  </si>
  <si>
    <t>HACSB</t>
  </si>
  <si>
    <t>Project-based vouchers (PBVs)</t>
  </si>
  <si>
    <t>Westview Village II LLC</t>
  </si>
  <si>
    <t>Route 6 amd 16</t>
  </si>
  <si>
    <t>Vince Street &amp; Ventura Avenue</t>
  </si>
  <si>
    <t>Ventura 93001</t>
  </si>
  <si>
    <t>805-483-3959</t>
  </si>
  <si>
    <t>http://www.goldcoasttransit.org/</t>
  </si>
  <si>
    <t>Villages at Westview Park</t>
  </si>
  <si>
    <t>Flint Street and Village Way</t>
  </si>
  <si>
    <t>Nancy O'Connor</t>
  </si>
  <si>
    <t>805-658-4726</t>
  </si>
  <si>
    <t>Avenue Public Library</t>
  </si>
  <si>
    <t>606 N. Ventura Avenue</t>
  </si>
  <si>
    <t>Mary Birch, Librarian</t>
  </si>
  <si>
    <t>https://vencolibrary.org/branch/avenue-library</t>
  </si>
  <si>
    <t>805-643-6393</t>
  </si>
  <si>
    <t>Vons</t>
  </si>
  <si>
    <t>115 W. Main Street</t>
  </si>
  <si>
    <t>Josh Justus, Store Manager</t>
  </si>
  <si>
    <t>805-653-6874</t>
  </si>
  <si>
    <t>https://local.vons.com/ca/ventura/115-w-main-st.html</t>
  </si>
  <si>
    <t>Rite Aid</t>
  </si>
  <si>
    <t>131 W. Main Street</t>
  </si>
  <si>
    <t>805-643-1121</t>
  </si>
  <si>
    <t>https://www.riteaid.com/locations/ca/ventura/131-west-main-street.html</t>
  </si>
  <si>
    <t>Operations</t>
  </si>
  <si>
    <t>Letter</t>
  </si>
  <si>
    <t>1 bedroom</t>
  </si>
  <si>
    <t>2 bedroom</t>
  </si>
  <si>
    <t>Other: Security During Construction</t>
  </si>
  <si>
    <t>Other: Relocation (Consultant, Perm)</t>
  </si>
  <si>
    <t>The project site is a combination of a public park and streets at 1.1 acres and housing development at 1.06 acres. The project's housing portion exceeds 25 units per acre.</t>
  </si>
  <si>
    <t>See further explanation in the Applicant Notes tab</t>
  </si>
  <si>
    <t>Application tab, Rows 407/408</t>
  </si>
  <si>
    <t>Other Operating Expenses (Misc Taxes, Licenses, Permits; Issuer Fee/Trustee Fee):</t>
  </si>
  <si>
    <t>Deferred Developer Fee</t>
  </si>
  <si>
    <t>Other: LEED/Solar/Prevailing Wage Consultants</t>
  </si>
  <si>
    <t>Seller Note</t>
  </si>
  <si>
    <t>HCD IIG</t>
  </si>
  <si>
    <t>LP Investor Services Fee - Current</t>
  </si>
  <si>
    <t>Sponsor Residual</t>
  </si>
  <si>
    <t>General Partner</t>
  </si>
  <si>
    <t>Limited Partner</t>
  </si>
  <si>
    <t>Other: Inspections + 3rd Party Constr. Mgmt</t>
  </si>
  <si>
    <t>Other: Lender Expenses  + Sponsor Legal</t>
  </si>
  <si>
    <t>Other: Lender Legal + Sponsor Legal</t>
  </si>
  <si>
    <t>40%/60%</t>
  </si>
  <si>
    <t>30th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</si>
</sst>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2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11" fillId="7" borderId="3" xfId="0" applyFont="1" applyFill="1" applyBorder="1" applyAlignment="1" applyProtection="1">
      <alignment horizontal="left"/>
      <protection locked="0"/>
    </xf>
    <xf numFmtId="0" fontId="0" fillId="0" borderId="0" xfId="0" applyAlignment="1" applyProtection="1">
      <alignment wrapText="1"/>
      <protection locked="0"/>
    </xf>
    <xf numFmtId="0" fontId="3" fillId="7" borderId="0" xfId="273" applyFont="1" applyFill="1"/>
    <xf numFmtId="9" fontId="12" fillId="0" borderId="12" xfId="573" applyFont="1" applyBorder="1" applyAlignment="1">
      <alignment horizontal="center"/>
    </xf>
    <xf numFmtId="9" fontId="12" fillId="0" borderId="0" xfId="573" applyFont="1" applyBorder="1" applyAlignment="1">
      <alignment horizontal="center"/>
    </xf>
    <xf numFmtId="10" fontId="40" fillId="0" borderId="0" xfId="573" applyNumberFormat="1" applyFont="1" applyBorder="1" applyAlignment="1">
      <alignment horizontal="center"/>
    </xf>
    <xf numFmtId="169" fontId="3" fillId="7" borderId="0" xfId="273" applyNumberFormat="1" applyFont="1" applyFill="1"/>
    <xf numFmtId="3" fontId="3" fillId="7" borderId="0" xfId="273" applyNumberFormat="1" applyFont="1" applyFill="1"/>
    <xf numFmtId="3" fontId="3" fillId="0" borderId="0" xfId="273" applyNumberFormat="1" applyFont="1" applyFill="1"/>
    <xf numFmtId="1" fontId="12" fillId="0" borderId="0" xfId="273" applyNumberFormat="1" applyFont="1" applyFill="1"/>
    <xf numFmtId="1" fontId="12" fillId="0" borderId="0" xfId="273" applyNumberFormat="1" applyFont="1"/>
    <xf numFmtId="169" fontId="12" fillId="7" borderId="5" xfId="273" applyNumberFormat="1" applyFont="1" applyFill="1" applyBorder="1"/>
    <xf numFmtId="169" fontId="12" fillId="0" borderId="0" xfId="273" applyNumberFormat="1" applyFont="1" applyFill="1" applyBorder="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12"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3" fillId="0" borderId="12" xfId="546" applyNumberFormat="1" applyFont="1" applyBorder="1" applyAlignment="1" applyProtection="1">
      <alignment horizontal="center"/>
    </xf>
    <xf numFmtId="172" fontId="3" fillId="0" borderId="0" xfId="546" applyNumberFormat="1" applyFont="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0" fontId="11" fillId="7" borderId="3" xfId="0" applyFont="1" applyFill="1" applyBorder="1" applyAlignment="1" applyProtection="1">
      <alignment horizontal="left"/>
      <protection locked="0"/>
    </xf>
    <xf numFmtId="169" fontId="0" fillId="0" borderId="12" xfId="0" applyNumberFormat="1" applyFill="1" applyBorder="1" applyAlignment="1" applyProtection="1"/>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0" borderId="12" xfId="0" applyNumberFormat="1" applyFill="1" applyBorder="1" applyAlignment="1" applyProtection="1">
      <alignment horizontal="right"/>
    </xf>
    <xf numFmtId="0" fontId="10" fillId="0" borderId="12" xfId="0" applyFont="1" applyFill="1" applyBorder="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9" fontId="12" fillId="0"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3"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8" xfId="0" applyFont="1" applyFill="1" applyBorder="1" applyAlignment="1" applyProtection="1">
      <alignment horizontal="left"/>
      <protection locked="0"/>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10" fillId="0" borderId="0" xfId="273"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3" fillId="7" borderId="0" xfId="0" applyFont="1"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 fontId="3" fillId="0" borderId="0" xfId="546" applyNumberFormat="1" applyFont="1" applyAlignment="1" applyProtection="1">
      <alignment horizontal="center"/>
    </xf>
    <xf numFmtId="0" fontId="12" fillId="7" borderId="8" xfId="0" applyFont="1"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7" borderId="0" xfId="0" applyFont="1" applyFill="1" applyAlignment="1">
      <alignment horizontal="left"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zoomScale="120" zoomScaleNormal="120" zoomScaleSheetLayoutView="100" workbookViewId="0">
      <selection activeCell="AL224" sqref="AL224"/>
    </sheetView>
  </sheetViews>
  <sheetFormatPr defaultColWidth="0" defaultRowHeight="12.5" zeroHeight="1"/>
  <cols>
    <col min="1" max="38" width="2.453125" customWidth="1"/>
    <col min="39" max="16384" width="8.81640625" style="272" hidden="1"/>
  </cols>
  <sheetData>
    <row r="1" spans="1:38">
      <c r="A1" s="1555" t="s">
        <v>2130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65" t="s">
        <v>795</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59" t="s">
        <v>2134</v>
      </c>
      <c r="E7" s="1559"/>
      <c r="F7" s="1559"/>
      <c r="G7" s="1559"/>
      <c r="H7" s="1559"/>
      <c r="I7" s="1559"/>
      <c r="J7" s="1559"/>
      <c r="K7" s="1559"/>
      <c r="L7" s="1559"/>
      <c r="M7" s="1559"/>
      <c r="N7" s="1559"/>
      <c r="O7" s="1559"/>
      <c r="P7" s="1559"/>
      <c r="Q7" s="1559"/>
      <c r="R7" s="1559"/>
      <c r="S7" s="1559"/>
      <c r="T7" s="1559"/>
      <c r="U7" s="1559"/>
      <c r="V7" s="1559"/>
      <c r="W7" s="1559"/>
      <c r="X7" s="1559"/>
      <c r="Y7" s="1559"/>
      <c r="Z7" s="1559"/>
      <c r="AA7" s="1559"/>
      <c r="AB7" s="1559"/>
      <c r="AC7" s="1559"/>
      <c r="AD7" s="1559"/>
      <c r="AE7" s="1559"/>
      <c r="AF7" s="1559"/>
      <c r="AG7" s="1559"/>
      <c r="AH7" s="1559"/>
      <c r="AI7" s="1559"/>
      <c r="AJ7" s="1559"/>
      <c r="AK7" s="1559"/>
      <c r="AL7" s="1"/>
    </row>
    <row r="8" spans="1:38" ht="13">
      <c r="A8" s="283"/>
      <c r="B8" s="1"/>
      <c r="C8" s="358"/>
      <c r="D8" s="1559"/>
      <c r="E8" s="1559"/>
      <c r="F8" s="1559"/>
      <c r="G8" s="1559"/>
      <c r="H8" s="1559"/>
      <c r="I8" s="1559"/>
      <c r="J8" s="1559"/>
      <c r="K8" s="1559"/>
      <c r="L8" s="1559"/>
      <c r="M8" s="1559"/>
      <c r="N8" s="1559"/>
      <c r="O8" s="1559"/>
      <c r="P8" s="1559"/>
      <c r="Q8" s="1559"/>
      <c r="R8" s="1559"/>
      <c r="S8" s="1559"/>
      <c r="T8" s="1559"/>
      <c r="U8" s="1559"/>
      <c r="V8" s="1559"/>
      <c r="W8" s="1559"/>
      <c r="X8" s="1559"/>
      <c r="Y8" s="1559"/>
      <c r="Z8" s="1559"/>
      <c r="AA8" s="1559"/>
      <c r="AB8" s="1559"/>
      <c r="AC8" s="1559"/>
      <c r="AD8" s="1559"/>
      <c r="AE8" s="1559"/>
      <c r="AF8" s="1559"/>
      <c r="AG8" s="1559"/>
      <c r="AH8" s="1559"/>
      <c r="AI8" s="1559"/>
      <c r="AJ8" s="1559"/>
      <c r="AK8" s="1559"/>
      <c r="AL8" s="1"/>
    </row>
    <row r="9" spans="1:38" ht="13">
      <c r="A9" s="283"/>
      <c r="B9" s="1"/>
      <c r="C9" s="358"/>
      <c r="D9" s="1559"/>
      <c r="E9" s="1559"/>
      <c r="F9" s="1559"/>
      <c r="G9" s="1559"/>
      <c r="H9" s="1559"/>
      <c r="I9" s="1559"/>
      <c r="J9" s="1559"/>
      <c r="K9" s="1559"/>
      <c r="L9" s="1559"/>
      <c r="M9" s="1559"/>
      <c r="N9" s="1559"/>
      <c r="O9" s="1559"/>
      <c r="P9" s="1559"/>
      <c r="Q9" s="1559"/>
      <c r="R9" s="1559"/>
      <c r="S9" s="1559"/>
      <c r="T9" s="1559"/>
      <c r="U9" s="1559"/>
      <c r="V9" s="1559"/>
      <c r="W9" s="1559"/>
      <c r="X9" s="1559"/>
      <c r="Y9" s="1559"/>
      <c r="Z9" s="1559"/>
      <c r="AA9" s="1559"/>
      <c r="AB9" s="1559"/>
      <c r="AC9" s="1559"/>
      <c r="AD9" s="1559"/>
      <c r="AE9" s="1559"/>
      <c r="AF9" s="1559"/>
      <c r="AG9" s="1559"/>
      <c r="AH9" s="1559"/>
      <c r="AI9" s="1559"/>
      <c r="AJ9" s="1559"/>
      <c r="AK9" s="1559"/>
      <c r="AL9" s="1"/>
    </row>
    <row r="10" spans="1:38" ht="13">
      <c r="A10" s="283"/>
      <c r="B10" s="1"/>
      <c r="C10" s="358"/>
      <c r="D10" s="1559"/>
      <c r="E10" s="1559"/>
      <c r="F10" s="1559"/>
      <c r="G10" s="1559"/>
      <c r="H10" s="1559"/>
      <c r="I10" s="1559"/>
      <c r="J10" s="1559"/>
      <c r="K10" s="1559"/>
      <c r="L10" s="1559"/>
      <c r="M10" s="1559"/>
      <c r="N10" s="1559"/>
      <c r="O10" s="1559"/>
      <c r="P10" s="1559"/>
      <c r="Q10" s="1559"/>
      <c r="R10" s="1559"/>
      <c r="S10" s="1559"/>
      <c r="T10" s="1559"/>
      <c r="U10" s="1559"/>
      <c r="V10" s="1559"/>
      <c r="W10" s="1559"/>
      <c r="X10" s="1559"/>
      <c r="Y10" s="1559"/>
      <c r="Z10" s="1559"/>
      <c r="AA10" s="1559"/>
      <c r="AB10" s="1559"/>
      <c r="AC10" s="1559"/>
      <c r="AD10" s="1559"/>
      <c r="AE10" s="1559"/>
      <c r="AF10" s="1559"/>
      <c r="AG10" s="1559"/>
      <c r="AH10" s="1559"/>
      <c r="AI10" s="1559"/>
      <c r="AJ10" s="1559"/>
      <c r="AK10" s="1559"/>
      <c r="AL10" s="1"/>
    </row>
    <row r="11" spans="1:38" ht="13">
      <c r="A11" s="283"/>
      <c r="B11" s="1"/>
      <c r="C11" s="358"/>
      <c r="D11" s="1559"/>
      <c r="E11" s="1559"/>
      <c r="F11" s="1559"/>
      <c r="G11" s="1559"/>
      <c r="H11" s="1559"/>
      <c r="I11" s="1559"/>
      <c r="J11" s="1559"/>
      <c r="K11" s="1559"/>
      <c r="L11" s="1559"/>
      <c r="M11" s="1559"/>
      <c r="N11" s="1559"/>
      <c r="O11" s="1559"/>
      <c r="P11" s="1559"/>
      <c r="Q11" s="1559"/>
      <c r="R11" s="1559"/>
      <c r="S11" s="1559"/>
      <c r="T11" s="1559"/>
      <c r="U11" s="1559"/>
      <c r="V11" s="1559"/>
      <c r="W11" s="1559"/>
      <c r="X11" s="1559"/>
      <c r="Y11" s="1559"/>
      <c r="Z11" s="1559"/>
      <c r="AA11" s="1559"/>
      <c r="AB11" s="1559"/>
      <c r="AC11" s="1559"/>
      <c r="AD11" s="1559"/>
      <c r="AE11" s="1559"/>
      <c r="AF11" s="1559"/>
      <c r="AG11" s="1559"/>
      <c r="AH11" s="1559"/>
      <c r="AI11" s="1559"/>
      <c r="AJ11" s="1559"/>
      <c r="AK11" s="1559"/>
      <c r="AL11" s="1"/>
    </row>
    <row r="12" spans="1:38" ht="13">
      <c r="A12" s="283"/>
      <c r="B12" s="1"/>
      <c r="C12" s="358"/>
      <c r="D12" s="1559"/>
      <c r="E12" s="1559"/>
      <c r="F12" s="1559"/>
      <c r="G12" s="1559"/>
      <c r="H12" s="1559"/>
      <c r="I12" s="1559"/>
      <c r="J12" s="1559"/>
      <c r="K12" s="1559"/>
      <c r="L12" s="1559"/>
      <c r="M12" s="1559"/>
      <c r="N12" s="1559"/>
      <c r="O12" s="1559"/>
      <c r="P12" s="1559"/>
      <c r="Q12" s="1559"/>
      <c r="R12" s="1559"/>
      <c r="S12" s="1559"/>
      <c r="T12" s="1559"/>
      <c r="U12" s="1559"/>
      <c r="V12" s="1559"/>
      <c r="W12" s="1559"/>
      <c r="X12" s="1559"/>
      <c r="Y12" s="1559"/>
      <c r="Z12" s="1559"/>
      <c r="AA12" s="1559"/>
      <c r="AB12" s="1559"/>
      <c r="AC12" s="1559"/>
      <c r="AD12" s="1559"/>
      <c r="AE12" s="1559"/>
      <c r="AF12" s="1559"/>
      <c r="AG12" s="1559"/>
      <c r="AH12" s="1559"/>
      <c r="AI12" s="1559"/>
      <c r="AJ12" s="1559"/>
      <c r="AK12" s="1559"/>
      <c r="AL12" s="1"/>
    </row>
    <row r="13" spans="1:38" ht="13">
      <c r="A13" s="283"/>
      <c r="B13" s="1"/>
      <c r="C13" s="358"/>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
    </row>
    <row r="14" spans="1:38" ht="13">
      <c r="A14" s="283"/>
      <c r="B14" s="1"/>
      <c r="C14" s="358"/>
      <c r="D14" s="1559"/>
      <c r="E14" s="1559"/>
      <c r="F14" s="1559"/>
      <c r="G14" s="1559"/>
      <c r="H14" s="1559"/>
      <c r="I14" s="1559"/>
      <c r="J14" s="1559"/>
      <c r="K14" s="1559"/>
      <c r="L14" s="1559"/>
      <c r="M14" s="1559"/>
      <c r="N14" s="1559"/>
      <c r="O14" s="1559"/>
      <c r="P14" s="1559"/>
      <c r="Q14" s="1559"/>
      <c r="R14" s="1559"/>
      <c r="S14" s="1559"/>
      <c r="T14" s="1559"/>
      <c r="U14" s="1559"/>
      <c r="V14" s="1559"/>
      <c r="W14" s="1559"/>
      <c r="X14" s="1559"/>
      <c r="Y14" s="1559"/>
      <c r="Z14" s="1559"/>
      <c r="AA14" s="1559"/>
      <c r="AB14" s="1559"/>
      <c r="AC14" s="1559"/>
      <c r="AD14" s="1559"/>
      <c r="AE14" s="1559"/>
      <c r="AF14" s="1559"/>
      <c r="AG14" s="1559"/>
      <c r="AH14" s="1559"/>
      <c r="AI14" s="1559"/>
      <c r="AJ14" s="1559"/>
      <c r="AK14" s="1559"/>
      <c r="AL14" s="1"/>
    </row>
    <row r="15" spans="1:38" ht="13">
      <c r="A15" s="283"/>
      <c r="B15" s="1"/>
      <c r="C15" s="358"/>
      <c r="D15" s="1559"/>
      <c r="E15" s="1559"/>
      <c r="F15" s="1559"/>
      <c r="G15" s="1559"/>
      <c r="H15" s="1559"/>
      <c r="I15" s="1559"/>
      <c r="J15" s="1559"/>
      <c r="K15" s="1559"/>
      <c r="L15" s="1559"/>
      <c r="M15" s="1559"/>
      <c r="N15" s="1559"/>
      <c r="O15" s="1559"/>
      <c r="P15" s="1559"/>
      <c r="Q15" s="1559"/>
      <c r="R15" s="1559"/>
      <c r="S15" s="1559"/>
      <c r="T15" s="1559"/>
      <c r="U15" s="1559"/>
      <c r="V15" s="1559"/>
      <c r="W15" s="1559"/>
      <c r="X15" s="1559"/>
      <c r="Y15" s="1559"/>
      <c r="Z15" s="1559"/>
      <c r="AA15" s="1559"/>
      <c r="AB15" s="1559"/>
      <c r="AC15" s="1559"/>
      <c r="AD15" s="1559"/>
      <c r="AE15" s="1559"/>
      <c r="AF15" s="1559"/>
      <c r="AG15" s="1559"/>
      <c r="AH15" s="1559"/>
      <c r="AI15" s="1559"/>
      <c r="AJ15" s="1559"/>
      <c r="AK15" s="1559"/>
      <c r="AL15" s="1"/>
    </row>
    <row r="16" spans="1:38" ht="13">
      <c r="A16" s="283"/>
      <c r="B16" s="1"/>
      <c r="C16" s="358"/>
      <c r="D16" s="1559"/>
      <c r="E16" s="1559"/>
      <c r="F16" s="1559"/>
      <c r="G16" s="1559"/>
      <c r="H16" s="1559"/>
      <c r="I16" s="1559"/>
      <c r="J16" s="1559"/>
      <c r="K16" s="1559"/>
      <c r="L16" s="1559"/>
      <c r="M16" s="1559"/>
      <c r="N16" s="1559"/>
      <c r="O16" s="1559"/>
      <c r="P16" s="1559"/>
      <c r="Q16" s="1559"/>
      <c r="R16" s="1559"/>
      <c r="S16" s="1559"/>
      <c r="T16" s="1559"/>
      <c r="U16" s="1559"/>
      <c r="V16" s="1559"/>
      <c r="W16" s="1559"/>
      <c r="X16" s="1559"/>
      <c r="Y16" s="1559"/>
      <c r="Z16" s="1559"/>
      <c r="AA16" s="1559"/>
      <c r="AB16" s="1559"/>
      <c r="AC16" s="1559"/>
      <c r="AD16" s="1559"/>
      <c r="AE16" s="1559"/>
      <c r="AF16" s="1559"/>
      <c r="AG16" s="1559"/>
      <c r="AH16" s="1559"/>
      <c r="AI16" s="1559"/>
      <c r="AJ16" s="1559"/>
      <c r="AK16" s="1559"/>
      <c r="AL16" s="1"/>
    </row>
    <row r="17" spans="1:38" ht="13">
      <c r="A17" s="283"/>
      <c r="B17" s="1"/>
      <c r="C17" s="358"/>
      <c r="D17" s="1559"/>
      <c r="E17" s="1559"/>
      <c r="F17" s="1559"/>
      <c r="G17" s="1559"/>
      <c r="H17" s="1559"/>
      <c r="I17" s="1559"/>
      <c r="J17" s="1559"/>
      <c r="K17" s="1559"/>
      <c r="L17" s="1559"/>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
    </row>
    <row r="18" spans="1:38" ht="11.25" customHeight="1">
      <c r="A18" s="283"/>
      <c r="B18" s="1"/>
      <c r="C18" s="358"/>
      <c r="D18" s="1559"/>
      <c r="E18" s="1559"/>
      <c r="F18" s="1559"/>
      <c r="G18" s="1559"/>
      <c r="H18" s="1559"/>
      <c r="I18" s="1559"/>
      <c r="J18" s="1559"/>
      <c r="K18" s="1559"/>
      <c r="L18" s="1559"/>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
    </row>
    <row r="19" spans="1:38" ht="13.75" customHeight="1">
      <c r="A19" s="283"/>
      <c r="B19" s="1"/>
      <c r="C19" s="358"/>
      <c r="D19" s="1559" t="s">
        <v>2316</v>
      </c>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
    </row>
    <row r="20" spans="1:38" ht="13">
      <c r="A20" s="283"/>
      <c r="B20" s="1"/>
      <c r="C20" s="358"/>
      <c r="D20" s="1559"/>
      <c r="E20" s="1559"/>
      <c r="F20" s="1559"/>
      <c r="G20" s="1559"/>
      <c r="H20" s="1559"/>
      <c r="I20" s="1559"/>
      <c r="J20" s="1559"/>
      <c r="K20" s="1559"/>
      <c r="L20" s="1559"/>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
    </row>
    <row r="21" spans="1:38" ht="13">
      <c r="A21" s="283"/>
      <c r="B21" s="1"/>
      <c r="C21" s="358"/>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
    </row>
    <row r="22" spans="1:38" ht="13">
      <c r="A22" s="283"/>
      <c r="B22" s="1"/>
      <c r="C22" s="358"/>
      <c r="D22" s="1559"/>
      <c r="E22" s="1559"/>
      <c r="F22" s="1559"/>
      <c r="G22" s="1559"/>
      <c r="H22" s="1559"/>
      <c r="I22" s="1559"/>
      <c r="J22" s="1559"/>
      <c r="K22" s="1559"/>
      <c r="L22" s="1559"/>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
    </row>
    <row r="23" spans="1:38" ht="13">
      <c r="A23" s="283"/>
      <c r="B23" s="1"/>
      <c r="C23" s="358"/>
      <c r="D23" s="1559"/>
      <c r="E23" s="1559"/>
      <c r="F23" s="1559"/>
      <c r="G23" s="1559"/>
      <c r="H23" s="1559"/>
      <c r="I23" s="1559"/>
      <c r="J23" s="1559"/>
      <c r="K23" s="1559"/>
      <c r="L23" s="1559"/>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
    </row>
    <row r="24" spans="1:38" ht="13">
      <c r="A24" s="283"/>
      <c r="B24" s="1"/>
      <c r="C24" s="358"/>
      <c r="D24" s="1559"/>
      <c r="E24" s="1559"/>
      <c r="F24" s="1559"/>
      <c r="G24" s="1559"/>
      <c r="H24" s="1559"/>
      <c r="I24" s="1559"/>
      <c r="J24" s="1559"/>
      <c r="K24" s="1559"/>
      <c r="L24" s="1559"/>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
    </row>
    <row r="25" spans="1:38" ht="13">
      <c r="A25" s="283"/>
      <c r="B25" s="1"/>
      <c r="C25" s="358"/>
      <c r="D25" s="1559"/>
      <c r="E25" s="1559"/>
      <c r="F25" s="1559"/>
      <c r="G25" s="1559"/>
      <c r="H25" s="1559"/>
      <c r="I25" s="1559"/>
      <c r="J25" s="1559"/>
      <c r="K25" s="1559"/>
      <c r="L25" s="1559"/>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
    </row>
    <row r="26" spans="1:38" ht="13">
      <c r="A26" s="283"/>
      <c r="B26" s="1"/>
      <c r="C26" s="358"/>
      <c r="D26" s="288"/>
      <c r="E26" s="1570" t="s">
        <v>2317</v>
      </c>
      <c r="F26" s="1570"/>
      <c r="G26" s="1570"/>
      <c r="H26" s="1570"/>
      <c r="I26" s="1570"/>
      <c r="J26" s="1570"/>
      <c r="K26" s="1570"/>
      <c r="L26" s="1570"/>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1"/>
    </row>
    <row r="27" spans="1:38" ht="13">
      <c r="A27" s="283"/>
      <c r="B27" s="1"/>
      <c r="C27" s="358"/>
      <c r="D27" s="272"/>
      <c r="E27" s="1570" t="s">
        <v>2041</v>
      </c>
      <c r="F27" s="1570"/>
      <c r="G27" s="1570"/>
      <c r="H27" s="1570"/>
      <c r="I27" s="1570"/>
      <c r="J27" s="1570"/>
      <c r="K27" s="1570"/>
      <c r="L27" s="1570"/>
      <c r="M27" s="1570"/>
      <c r="N27" s="1570"/>
      <c r="O27" s="1570"/>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9" t="s">
        <v>2313</v>
      </c>
      <c r="E29" s="1569"/>
      <c r="F29" s="1569"/>
      <c r="G29" s="1569"/>
      <c r="H29" s="1569"/>
      <c r="I29" s="1569"/>
      <c r="J29" s="1569"/>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
    </row>
    <row r="30" spans="1:38">
      <c r="A30" s="283"/>
      <c r="B30" s="1"/>
      <c r="C30" s="1"/>
      <c r="D30" s="1569"/>
      <c r="E30" s="1569"/>
      <c r="F30" s="1569"/>
      <c r="G30" s="1569"/>
      <c r="H30" s="1569"/>
      <c r="I30" s="1569"/>
      <c r="J30" s="1569"/>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
    </row>
    <row r="31" spans="1:38" ht="13">
      <c r="A31" s="283"/>
      <c r="B31" s="1"/>
      <c r="C31" s="1"/>
      <c r="D31" s="1069"/>
      <c r="E31" s="1571" t="s">
        <v>1421</v>
      </c>
      <c r="F31" s="1571"/>
      <c r="G31" s="1571"/>
      <c r="H31" s="1571"/>
      <c r="I31" s="1571"/>
      <c r="J31" s="1571"/>
      <c r="K31" s="1571"/>
      <c r="L31" s="1571"/>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
    </row>
    <row r="32" spans="1:38" ht="13">
      <c r="A32" s="283"/>
      <c r="B32" s="1"/>
      <c r="C32" s="1"/>
      <c r="D32" s="1069"/>
      <c r="E32" s="1571" t="s">
        <v>1265</v>
      </c>
      <c r="F32" s="1571"/>
      <c r="G32" s="1571"/>
      <c r="H32" s="1571"/>
      <c r="I32" s="1571"/>
      <c r="J32" s="1571"/>
      <c r="K32" s="1571"/>
      <c r="L32" s="1571"/>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1898</v>
      </c>
      <c r="F36" s="1559" t="s">
        <v>1899</v>
      </c>
      <c r="G36" s="1559"/>
      <c r="H36" s="1559"/>
      <c r="I36" s="1559"/>
      <c r="J36" s="1559"/>
      <c r="K36" s="1559"/>
      <c r="L36" s="1559"/>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
    </row>
    <row r="37" spans="1:38" ht="13">
      <c r="A37" s="283"/>
      <c r="B37" s="1"/>
      <c r="C37" s="358"/>
      <c r="D37" s="283"/>
      <c r="E37" s="283"/>
      <c r="F37" s="1559"/>
      <c r="G37" s="1559"/>
      <c r="H37" s="1559"/>
      <c r="I37" s="1559"/>
      <c r="J37" s="1559"/>
      <c r="K37" s="1559"/>
      <c r="L37" s="1559"/>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
    </row>
    <row r="38" spans="1:38" ht="13">
      <c r="A38" s="283"/>
      <c r="B38" s="1"/>
      <c r="C38" s="358"/>
      <c r="D38" s="283"/>
      <c r="E38" s="283"/>
      <c r="F38" s="1062"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62"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62"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59" t="s">
        <v>2129</v>
      </c>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
    </row>
    <row r="43" spans="1:38" ht="13">
      <c r="A43" s="283"/>
      <c r="B43" s="1"/>
      <c r="C43" s="358"/>
      <c r="D43" s="283"/>
      <c r="E43" s="283"/>
      <c r="F43" s="1559"/>
      <c r="G43" s="1559"/>
      <c r="H43" s="1559"/>
      <c r="I43" s="1559"/>
      <c r="J43" s="1559"/>
      <c r="K43" s="1559"/>
      <c r="L43" s="1559"/>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
    </row>
    <row r="44" spans="1:38" ht="13">
      <c r="A44" s="283"/>
      <c r="B44" s="1"/>
      <c r="C44" s="358"/>
      <c r="D44" s="283"/>
      <c r="E44" s="283"/>
      <c r="F44" s="1559"/>
      <c r="G44" s="1559"/>
      <c r="H44" s="1559"/>
      <c r="I44" s="1559"/>
      <c r="J44" s="1559"/>
      <c r="K44" s="1559"/>
      <c r="L44" s="1559"/>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1004</v>
      </c>
      <c r="E46" s="283" t="s">
        <v>790</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ht="13">
      <c r="A47" s="283"/>
      <c r="B47" s="1"/>
      <c r="C47" s="358"/>
      <c r="D47" s="358"/>
      <c r="E47" s="283" t="s">
        <v>902</v>
      </c>
      <c r="F47" s="1" t="s">
        <v>837</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ht="13">
      <c r="A48" s="283"/>
      <c r="B48" s="1"/>
      <c r="C48" s="358"/>
      <c r="D48" s="358"/>
      <c r="E48" s="283"/>
      <c r="F48" s="517" t="s">
        <v>640</v>
      </c>
      <c r="G48" s="1561" t="s">
        <v>2131</v>
      </c>
      <c r="H48" s="1561"/>
      <c r="I48" s="1561"/>
      <c r="J48" s="1561"/>
      <c r="K48" s="1561"/>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
    </row>
    <row r="49" spans="1:38" ht="13">
      <c r="A49" s="283"/>
      <c r="B49" s="1"/>
      <c r="C49" s="358"/>
      <c r="D49" s="358"/>
      <c r="E49" s="283"/>
      <c r="F49" s="517"/>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
    </row>
    <row r="50" spans="1:38" ht="13">
      <c r="A50" s="283"/>
      <c r="B50" s="1"/>
      <c r="C50" s="358"/>
      <c r="D50" s="358"/>
      <c r="E50" s="283"/>
      <c r="F50" s="517"/>
      <c r="G50" s="1561"/>
      <c r="H50" s="1561"/>
      <c r="I50" s="1561"/>
      <c r="J50" s="1561"/>
      <c r="K50" s="1561"/>
      <c r="L50" s="1561"/>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
    </row>
    <row r="51" spans="1:38" ht="13">
      <c r="A51" s="283"/>
      <c r="B51" s="358"/>
      <c r="C51" s="358"/>
      <c r="D51" s="358"/>
      <c r="E51" s="283"/>
      <c r="F51" s="517" t="s">
        <v>214</v>
      </c>
      <c r="G51" s="1562" t="s">
        <v>1900</v>
      </c>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
    </row>
    <row r="52" spans="1:38" s="288" customFormat="1" ht="13">
      <c r="A52" s="283"/>
      <c r="B52" s="1"/>
      <c r="C52" s="358"/>
      <c r="D52" s="358"/>
      <c r="E52" s="283"/>
      <c r="F52" s="517"/>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
    </row>
    <row r="53" spans="1:38" ht="13">
      <c r="A53" s="288"/>
      <c r="B53" s="272"/>
      <c r="C53" s="359"/>
      <c r="D53" s="359"/>
      <c r="E53" s="288"/>
      <c r="F53" s="1071"/>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272"/>
    </row>
    <row r="54" spans="1:38" ht="13">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640</v>
      </c>
      <c r="G58" s="1559" t="s">
        <v>1903</v>
      </c>
      <c r="H58" s="1559"/>
      <c r="I58" s="1559"/>
      <c r="J58" s="1559"/>
      <c r="K58" s="1559"/>
      <c r="L58" s="1559"/>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
    </row>
    <row r="59" spans="1:38" ht="13">
      <c r="A59" s="283"/>
      <c r="B59" s="1"/>
      <c r="C59" s="358"/>
      <c r="D59" s="283"/>
      <c r="E59" s="283"/>
      <c r="F59" s="426"/>
      <c r="G59" s="1559"/>
      <c r="H59" s="1559"/>
      <c r="I59" s="1559"/>
      <c r="J59" s="1559"/>
      <c r="K59" s="1559"/>
      <c r="L59" s="1559"/>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
    </row>
    <row r="60" spans="1:38" ht="13">
      <c r="A60" s="283"/>
      <c r="B60" s="1"/>
      <c r="C60" s="358"/>
      <c r="D60" s="283"/>
      <c r="E60" s="283"/>
      <c r="F60" s="426"/>
      <c r="G60" s="1559"/>
      <c r="H60" s="1559"/>
      <c r="I60" s="1559"/>
      <c r="J60" s="1559"/>
      <c r="K60" s="1559"/>
      <c r="L60" s="1559"/>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
    </row>
    <row r="61" spans="1:38" ht="13">
      <c r="A61" s="283"/>
      <c r="B61" s="1"/>
      <c r="C61" s="358"/>
      <c r="D61" s="283"/>
      <c r="E61" s="283"/>
      <c r="F61" s="426" t="s">
        <v>214</v>
      </c>
      <c r="G61" s="1559" t="s">
        <v>1902</v>
      </c>
      <c r="H61" s="1559"/>
      <c r="I61" s="1559"/>
      <c r="J61" s="1559"/>
      <c r="K61" s="1559"/>
      <c r="L61" s="1559"/>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
    </row>
    <row r="62" spans="1:38" ht="13">
      <c r="A62" s="283"/>
      <c r="B62" s="1"/>
      <c r="C62" s="358"/>
      <c r="D62" s="283"/>
      <c r="E62" s="283"/>
      <c r="F62" s="426"/>
      <c r="G62" s="1559"/>
      <c r="H62" s="1559"/>
      <c r="I62" s="1559"/>
      <c r="J62" s="1559"/>
      <c r="K62" s="1559"/>
      <c r="L62" s="1559"/>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
    </row>
    <row r="63" spans="1:38" ht="13">
      <c r="A63" s="283"/>
      <c r="B63" s="1"/>
      <c r="C63" s="358"/>
      <c r="D63" s="283"/>
      <c r="E63" s="283"/>
      <c r="F63" s="1072"/>
      <c r="G63" s="1559"/>
      <c r="H63" s="1559"/>
      <c r="I63" s="1559"/>
      <c r="J63" s="1559"/>
      <c r="K63" s="1559"/>
      <c r="L63" s="1559"/>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
    </row>
    <row r="64" spans="1:38" ht="13">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517" t="s">
        <v>640</v>
      </c>
      <c r="G65" s="1559" t="s">
        <v>1904</v>
      </c>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c r="AI65" s="1559"/>
      <c r="AJ65" s="1559"/>
      <c r="AK65" s="1559"/>
      <c r="AL65" s="1"/>
    </row>
    <row r="66" spans="1:38" ht="13">
      <c r="A66" s="283"/>
      <c r="B66" s="1"/>
      <c r="C66" s="358"/>
      <c r="D66" s="283"/>
      <c r="E66" s="283"/>
      <c r="F66" s="517"/>
      <c r="G66" s="1559"/>
      <c r="H66" s="1559"/>
      <c r="I66" s="1559"/>
      <c r="J66" s="1559"/>
      <c r="K66" s="1559"/>
      <c r="L66" s="1559"/>
      <c r="M66" s="1559"/>
      <c r="N66" s="1559"/>
      <c r="O66" s="1559"/>
      <c r="P66" s="1559"/>
      <c r="Q66" s="1559"/>
      <c r="R66" s="1559"/>
      <c r="S66" s="1559"/>
      <c r="T66" s="1559"/>
      <c r="U66" s="1559"/>
      <c r="V66" s="1559"/>
      <c r="W66" s="1559"/>
      <c r="X66" s="1559"/>
      <c r="Y66" s="1559"/>
      <c r="Z66" s="1559"/>
      <c r="AA66" s="1559"/>
      <c r="AB66" s="1559"/>
      <c r="AC66" s="1559"/>
      <c r="AD66" s="1559"/>
      <c r="AE66" s="1559"/>
      <c r="AF66" s="1559"/>
      <c r="AG66" s="1559"/>
      <c r="AH66" s="1559"/>
      <c r="AI66" s="1559"/>
      <c r="AJ66" s="1559"/>
      <c r="AK66" s="1559"/>
      <c r="AL66" s="1"/>
    </row>
    <row r="67" spans="1:38" ht="13">
      <c r="A67" s="283"/>
      <c r="B67" s="1"/>
      <c r="C67" s="358"/>
      <c r="D67" s="283"/>
      <c r="E67" s="283"/>
      <c r="F67" s="517" t="s">
        <v>214</v>
      </c>
      <c r="G67" s="1559" t="s">
        <v>1905</v>
      </c>
      <c r="H67" s="1559"/>
      <c r="I67" s="1559"/>
      <c r="J67" s="1559"/>
      <c r="K67" s="1559"/>
      <c r="L67" s="1559"/>
      <c r="M67" s="1559"/>
      <c r="N67" s="1559"/>
      <c r="O67" s="1559"/>
      <c r="P67" s="1559"/>
      <c r="Q67" s="1559"/>
      <c r="R67" s="1559"/>
      <c r="S67" s="1559"/>
      <c r="T67" s="1559"/>
      <c r="U67" s="1559"/>
      <c r="V67" s="1559"/>
      <c r="W67" s="1559"/>
      <c r="X67" s="1559"/>
      <c r="Y67" s="1559"/>
      <c r="Z67" s="1559"/>
      <c r="AA67" s="1559"/>
      <c r="AB67" s="1559"/>
      <c r="AC67" s="1559"/>
      <c r="AD67" s="1559"/>
      <c r="AE67" s="1559"/>
      <c r="AF67" s="1559"/>
      <c r="AG67" s="1559"/>
      <c r="AH67" s="1559"/>
      <c r="AI67" s="1559"/>
      <c r="AJ67" s="1559"/>
      <c r="AK67" s="1559"/>
      <c r="AL67" s="1"/>
    </row>
    <row r="68" spans="1:38" ht="13">
      <c r="A68" s="283"/>
      <c r="B68" s="1"/>
      <c r="C68" s="358"/>
      <c r="D68" s="283"/>
      <c r="E68" s="283"/>
      <c r="F68" s="517"/>
      <c r="G68" s="1559"/>
      <c r="H68" s="1559"/>
      <c r="I68" s="1559"/>
      <c r="J68" s="1559"/>
      <c r="K68" s="1559"/>
      <c r="L68" s="1559"/>
      <c r="M68" s="1559"/>
      <c r="N68" s="1559"/>
      <c r="O68" s="1559"/>
      <c r="P68" s="1559"/>
      <c r="Q68" s="1559"/>
      <c r="R68" s="1559"/>
      <c r="S68" s="1559"/>
      <c r="T68" s="1559"/>
      <c r="U68" s="1559"/>
      <c r="V68" s="1559"/>
      <c r="W68" s="1559"/>
      <c r="X68" s="1559"/>
      <c r="Y68" s="1559"/>
      <c r="Z68" s="1559"/>
      <c r="AA68" s="1559"/>
      <c r="AB68" s="1559"/>
      <c r="AC68" s="1559"/>
      <c r="AD68" s="1559"/>
      <c r="AE68" s="1559"/>
      <c r="AF68" s="1559"/>
      <c r="AG68" s="1559"/>
      <c r="AH68" s="1559"/>
      <c r="AI68" s="1559"/>
      <c r="AJ68" s="1559"/>
      <c r="AK68" s="1559"/>
      <c r="AL68" s="1"/>
    </row>
    <row r="69" spans="1:38" ht="13">
      <c r="A69" s="283"/>
      <c r="B69" s="1"/>
      <c r="C69" s="358"/>
      <c r="D69" s="283"/>
      <c r="E69" s="283"/>
      <c r="F69" s="517"/>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517"/>
      <c r="G70" s="1066" t="s">
        <v>1163</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517"/>
      <c r="G75" s="1559" t="s">
        <v>1920</v>
      </c>
      <c r="H75" s="1559"/>
      <c r="I75" s="1559"/>
      <c r="J75" s="1559"/>
      <c r="K75" s="1559"/>
      <c r="L75" s="1559"/>
      <c r="M75" s="1559"/>
      <c r="N75" s="1559"/>
      <c r="O75" s="1559"/>
      <c r="P75" s="1559"/>
      <c r="Q75" s="1559"/>
      <c r="R75" s="1559"/>
      <c r="S75" s="1559"/>
      <c r="T75" s="1559"/>
      <c r="U75" s="1559"/>
      <c r="V75" s="1559"/>
      <c r="W75" s="1559"/>
      <c r="X75" s="1559"/>
      <c r="Y75" s="1559"/>
      <c r="Z75" s="1559"/>
      <c r="AA75" s="1559"/>
      <c r="AB75" s="1559"/>
      <c r="AC75" s="1559"/>
      <c r="AD75" s="1559"/>
      <c r="AE75" s="1559"/>
      <c r="AF75" s="1559"/>
      <c r="AG75" s="1559"/>
      <c r="AH75" s="1559"/>
      <c r="AI75" s="1559"/>
      <c r="AJ75" s="1559"/>
      <c r="AK75" s="1559"/>
      <c r="AL75" s="1"/>
    </row>
    <row r="76" spans="1:38" ht="13">
      <c r="A76" s="283"/>
      <c r="B76" s="1"/>
      <c r="C76" s="358"/>
      <c r="D76" s="283"/>
      <c r="E76" s="283"/>
      <c r="F76" s="283"/>
      <c r="G76" s="1559"/>
      <c r="H76" s="1559"/>
      <c r="I76" s="1559"/>
      <c r="J76" s="1559"/>
      <c r="K76" s="1559"/>
      <c r="L76" s="1559"/>
      <c r="M76" s="1559"/>
      <c r="N76" s="1559"/>
      <c r="O76" s="1559"/>
      <c r="P76" s="1559"/>
      <c r="Q76" s="1559"/>
      <c r="R76" s="1559"/>
      <c r="S76" s="1559"/>
      <c r="T76" s="1559"/>
      <c r="U76" s="1559"/>
      <c r="V76" s="1559"/>
      <c r="W76" s="1559"/>
      <c r="X76" s="1559"/>
      <c r="Y76" s="1559"/>
      <c r="Z76" s="1559"/>
      <c r="AA76" s="1559"/>
      <c r="AB76" s="1559"/>
      <c r="AC76" s="1559"/>
      <c r="AD76" s="1559"/>
      <c r="AE76" s="1559"/>
      <c r="AF76" s="1559"/>
      <c r="AG76" s="1559"/>
      <c r="AH76" s="1559"/>
      <c r="AI76" s="1559"/>
      <c r="AJ76" s="1559"/>
      <c r="AK76" s="1559"/>
      <c r="AL76" s="1"/>
    </row>
    <row r="77" spans="1:38" ht="13">
      <c r="A77" s="283"/>
      <c r="B77" s="1"/>
      <c r="C77" s="358"/>
      <c r="D77" s="283"/>
      <c r="E77" s="283"/>
      <c r="F77" s="283"/>
      <c r="G77" s="1559"/>
      <c r="H77" s="1559"/>
      <c r="I77" s="1559"/>
      <c r="J77" s="1559"/>
      <c r="K77" s="1559"/>
      <c r="L77" s="1559"/>
      <c r="M77" s="1559"/>
      <c r="N77" s="1559"/>
      <c r="O77" s="1559"/>
      <c r="P77" s="1559"/>
      <c r="Q77" s="1559"/>
      <c r="R77" s="1559"/>
      <c r="S77" s="1559"/>
      <c r="T77" s="1559"/>
      <c r="U77" s="1559"/>
      <c r="V77" s="1559"/>
      <c r="W77" s="1559"/>
      <c r="X77" s="1559"/>
      <c r="Y77" s="1559"/>
      <c r="Z77" s="1559"/>
      <c r="AA77" s="1559"/>
      <c r="AB77" s="1559"/>
      <c r="AC77" s="1559"/>
      <c r="AD77" s="1559"/>
      <c r="AE77" s="1559"/>
      <c r="AF77" s="1559"/>
      <c r="AG77" s="1559"/>
      <c r="AH77" s="1559"/>
      <c r="AI77" s="1559"/>
      <c r="AJ77" s="1559"/>
      <c r="AK77" s="1559"/>
      <c r="AL77" s="1"/>
    </row>
    <row r="78" spans="1:38" ht="13">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517"/>
      <c r="G79" s="1559" t="s">
        <v>1921</v>
      </c>
      <c r="H79" s="1559"/>
      <c r="I79" s="1559"/>
      <c r="J79" s="1559"/>
      <c r="K79" s="1559"/>
      <c r="L79" s="1559"/>
      <c r="M79" s="1559"/>
      <c r="N79" s="1559"/>
      <c r="O79" s="1559"/>
      <c r="P79" s="1559"/>
      <c r="Q79" s="1559"/>
      <c r="R79" s="1559"/>
      <c r="S79" s="1559"/>
      <c r="T79" s="1559"/>
      <c r="U79" s="1559"/>
      <c r="V79" s="1559"/>
      <c r="W79" s="1559"/>
      <c r="X79" s="1559"/>
      <c r="Y79" s="1559"/>
      <c r="Z79" s="1559"/>
      <c r="AA79" s="1559"/>
      <c r="AB79" s="1559"/>
      <c r="AC79" s="1559"/>
      <c r="AD79" s="1559"/>
      <c r="AE79" s="1559"/>
      <c r="AF79" s="1559"/>
      <c r="AG79" s="1559"/>
      <c r="AH79" s="1559"/>
      <c r="AI79" s="1559"/>
      <c r="AJ79" s="1559"/>
      <c r="AK79" s="1559"/>
      <c r="AL79" s="1"/>
    </row>
    <row r="80" spans="1:38" ht="13">
      <c r="A80" s="283"/>
      <c r="B80" s="1"/>
      <c r="C80" s="358"/>
      <c r="D80" s="283"/>
      <c r="E80" s="283"/>
      <c r="F80" s="283"/>
      <c r="G80" s="1559"/>
      <c r="H80" s="1559"/>
      <c r="I80" s="1559"/>
      <c r="J80" s="1559"/>
      <c r="K80" s="1559"/>
      <c r="L80" s="1559"/>
      <c r="M80" s="1559"/>
      <c r="N80" s="1559"/>
      <c r="O80" s="1559"/>
      <c r="P80" s="1559"/>
      <c r="Q80" s="1559"/>
      <c r="R80" s="1559"/>
      <c r="S80" s="1559"/>
      <c r="T80" s="1559"/>
      <c r="U80" s="1559"/>
      <c r="V80" s="1559"/>
      <c r="W80" s="1559"/>
      <c r="X80" s="1559"/>
      <c r="Y80" s="1559"/>
      <c r="Z80" s="1559"/>
      <c r="AA80" s="1559"/>
      <c r="AB80" s="1559"/>
      <c r="AC80" s="1559"/>
      <c r="AD80" s="1559"/>
      <c r="AE80" s="1559"/>
      <c r="AF80" s="1559"/>
      <c r="AG80" s="1559"/>
      <c r="AH80" s="1559"/>
      <c r="AI80" s="1559"/>
      <c r="AJ80" s="1559"/>
      <c r="AK80" s="1559"/>
      <c r="AL80" s="1"/>
    </row>
    <row r="81" spans="1:38" ht="13">
      <c r="A81" s="283"/>
      <c r="B81" s="1"/>
      <c r="C81" s="358"/>
      <c r="D81" s="283"/>
      <c r="E81" s="283"/>
      <c r="F81" s="1"/>
      <c r="G81" s="1559"/>
      <c r="H81" s="1559"/>
      <c r="I81" s="1559"/>
      <c r="J81" s="1559"/>
      <c r="K81" s="1559"/>
      <c r="L81" s="1559"/>
      <c r="M81" s="1559"/>
      <c r="N81" s="1559"/>
      <c r="O81" s="1559"/>
      <c r="P81" s="1559"/>
      <c r="Q81" s="1559"/>
      <c r="R81" s="1559"/>
      <c r="S81" s="1559"/>
      <c r="T81" s="1559"/>
      <c r="U81" s="1559"/>
      <c r="V81" s="1559"/>
      <c r="W81" s="1559"/>
      <c r="X81" s="1559"/>
      <c r="Y81" s="1559"/>
      <c r="Z81" s="1559"/>
      <c r="AA81" s="1559"/>
      <c r="AB81" s="1559"/>
      <c r="AC81" s="1559"/>
      <c r="AD81" s="1559"/>
      <c r="AE81" s="1559"/>
      <c r="AF81" s="1559"/>
      <c r="AG81" s="1559"/>
      <c r="AH81" s="1559"/>
      <c r="AI81" s="1559"/>
      <c r="AJ81" s="1559"/>
      <c r="AK81" s="1559"/>
      <c r="AL81" s="1"/>
    </row>
    <row r="82" spans="1:38" ht="13">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59" t="s">
        <v>1906</v>
      </c>
      <c r="H83" s="1559"/>
      <c r="I83" s="1559"/>
      <c r="J83" s="1559"/>
      <c r="K83" s="1559"/>
      <c r="L83" s="1559"/>
      <c r="M83" s="1559"/>
      <c r="N83" s="1559"/>
      <c r="O83" s="1559"/>
      <c r="P83" s="1559"/>
      <c r="Q83" s="1559"/>
      <c r="R83" s="1559"/>
      <c r="S83" s="1559"/>
      <c r="T83" s="1559"/>
      <c r="U83" s="1559"/>
      <c r="V83" s="1559"/>
      <c r="W83" s="1559"/>
      <c r="X83" s="1559"/>
      <c r="Y83" s="1559"/>
      <c r="Z83" s="1559"/>
      <c r="AA83" s="1559"/>
      <c r="AB83" s="1559"/>
      <c r="AC83" s="1559"/>
      <c r="AD83" s="1559"/>
      <c r="AE83" s="1559"/>
      <c r="AF83" s="1559"/>
      <c r="AG83" s="1559"/>
      <c r="AH83" s="1559"/>
      <c r="AI83" s="1559"/>
      <c r="AJ83" s="1559"/>
      <c r="AK83" s="1559"/>
      <c r="AL83" s="1"/>
    </row>
    <row r="84" spans="1:38" ht="13">
      <c r="A84" s="283"/>
      <c r="B84" s="1"/>
      <c r="C84" s="358"/>
      <c r="D84" s="283"/>
      <c r="E84" s="283"/>
      <c r="F84" s="1"/>
      <c r="G84" s="1559"/>
      <c r="H84" s="1559"/>
      <c r="I84" s="1559"/>
      <c r="J84" s="1559"/>
      <c r="K84" s="1559"/>
      <c r="L84" s="1559"/>
      <c r="M84" s="1559"/>
      <c r="N84" s="1559"/>
      <c r="O84" s="1559"/>
      <c r="P84" s="1559"/>
      <c r="Q84" s="1559"/>
      <c r="R84" s="1559"/>
      <c r="S84" s="1559"/>
      <c r="T84" s="1559"/>
      <c r="U84" s="1559"/>
      <c r="V84" s="1559"/>
      <c r="W84" s="1559"/>
      <c r="X84" s="1559"/>
      <c r="Y84" s="1559"/>
      <c r="Z84" s="1559"/>
      <c r="AA84" s="1559"/>
      <c r="AB84" s="1559"/>
      <c r="AC84" s="1559"/>
      <c r="AD84" s="1559"/>
      <c r="AE84" s="1559"/>
      <c r="AF84" s="1559"/>
      <c r="AG84" s="1559"/>
      <c r="AH84" s="1559"/>
      <c r="AI84" s="1559"/>
      <c r="AJ84" s="1559"/>
      <c r="AK84" s="1559"/>
      <c r="AL84" s="1"/>
    </row>
    <row r="85" spans="1:38" ht="13">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517"/>
      <c r="G86" s="1559" t="s">
        <v>1907</v>
      </c>
      <c r="H86" s="1559"/>
      <c r="I86" s="1559"/>
      <c r="J86" s="1559"/>
      <c r="K86" s="1559"/>
      <c r="L86" s="1559"/>
      <c r="M86" s="1559"/>
      <c r="N86" s="1559"/>
      <c r="O86" s="1559"/>
      <c r="P86" s="1559"/>
      <c r="Q86" s="1559"/>
      <c r="R86" s="1559"/>
      <c r="S86" s="1559"/>
      <c r="T86" s="1559"/>
      <c r="U86" s="1559"/>
      <c r="V86" s="1559"/>
      <c r="W86" s="1559"/>
      <c r="X86" s="1559"/>
      <c r="Y86" s="1559"/>
      <c r="Z86" s="1559"/>
      <c r="AA86" s="1559"/>
      <c r="AB86" s="1559"/>
      <c r="AC86" s="1559"/>
      <c r="AD86" s="1559"/>
      <c r="AE86" s="1559"/>
      <c r="AF86" s="1559"/>
      <c r="AG86" s="1559"/>
      <c r="AH86" s="1559"/>
      <c r="AI86" s="1559"/>
      <c r="AJ86" s="1559"/>
      <c r="AK86" s="1559"/>
      <c r="AL86" s="1"/>
    </row>
    <row r="87" spans="1:38" ht="13">
      <c r="A87" s="283"/>
      <c r="B87" s="1"/>
      <c r="C87" s="358"/>
      <c r="D87" s="283"/>
      <c r="E87" s="283"/>
      <c r="F87" s="1"/>
      <c r="G87" s="1559"/>
      <c r="H87" s="1559"/>
      <c r="I87" s="1559"/>
      <c r="J87" s="1559"/>
      <c r="K87" s="1559"/>
      <c r="L87" s="1559"/>
      <c r="M87" s="1559"/>
      <c r="N87" s="1559"/>
      <c r="O87" s="1559"/>
      <c r="P87" s="1559"/>
      <c r="Q87" s="1559"/>
      <c r="R87" s="1559"/>
      <c r="S87" s="1559"/>
      <c r="T87" s="1559"/>
      <c r="U87" s="1559"/>
      <c r="V87" s="1559"/>
      <c r="W87" s="1559"/>
      <c r="X87" s="1559"/>
      <c r="Y87" s="1559"/>
      <c r="Z87" s="1559"/>
      <c r="AA87" s="1559"/>
      <c r="AB87" s="1559"/>
      <c r="AC87" s="1559"/>
      <c r="AD87" s="1559"/>
      <c r="AE87" s="1559"/>
      <c r="AF87" s="1559"/>
      <c r="AG87" s="1559"/>
      <c r="AH87" s="1559"/>
      <c r="AI87" s="1559"/>
      <c r="AJ87" s="1559"/>
      <c r="AK87" s="1559"/>
      <c r="AL87" s="1"/>
    </row>
    <row r="88" spans="1:38" ht="13">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517"/>
      <c r="G89" s="1559" t="s">
        <v>1913</v>
      </c>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
    </row>
    <row r="90" spans="1:38" ht="13">
      <c r="A90" s="283"/>
      <c r="B90" s="1"/>
      <c r="C90" s="358"/>
      <c r="D90" s="283"/>
      <c r="E90" s="283"/>
      <c r="F90" s="283"/>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
    </row>
    <row r="91" spans="1:38" ht="13">
      <c r="A91" s="283"/>
      <c r="B91" s="1"/>
      <c r="C91" s="358"/>
      <c r="D91" s="283"/>
      <c r="E91" s="283"/>
      <c r="F91" s="283"/>
      <c r="G91" s="1559"/>
      <c r="H91" s="1559"/>
      <c r="I91" s="1559"/>
      <c r="J91" s="1559"/>
      <c r="K91" s="1559"/>
      <c r="L91" s="1559"/>
      <c r="M91" s="1559"/>
      <c r="N91" s="1559"/>
      <c r="O91" s="1559"/>
      <c r="P91" s="1559"/>
      <c r="Q91" s="1559"/>
      <c r="R91" s="1559"/>
      <c r="S91" s="1559"/>
      <c r="T91" s="1559"/>
      <c r="U91" s="1559"/>
      <c r="V91" s="1559"/>
      <c r="W91" s="1559"/>
      <c r="X91" s="1559"/>
      <c r="Y91" s="1559"/>
      <c r="Z91" s="1559"/>
      <c r="AA91" s="1559"/>
      <c r="AB91" s="1559"/>
      <c r="AC91" s="1559"/>
      <c r="AD91" s="1559"/>
      <c r="AE91" s="1559"/>
      <c r="AF91" s="1559"/>
      <c r="AG91" s="1559"/>
      <c r="AH91" s="1559"/>
      <c r="AI91" s="1559"/>
      <c r="AJ91" s="1559"/>
      <c r="AK91" s="1559"/>
      <c r="AL91" s="1"/>
    </row>
    <row r="92" spans="1:38" ht="13">
      <c r="A92" s="283"/>
      <c r="B92" s="1"/>
      <c r="C92" s="358"/>
      <c r="D92" s="283"/>
      <c r="E92" s="283"/>
      <c r="F92" s="283"/>
      <c r="G92" s="1559"/>
      <c r="H92" s="1559"/>
      <c r="I92" s="1559"/>
      <c r="J92" s="1559"/>
      <c r="K92" s="1559"/>
      <c r="L92" s="1559"/>
      <c r="M92" s="1559"/>
      <c r="N92" s="1559"/>
      <c r="O92" s="1559"/>
      <c r="P92" s="1559"/>
      <c r="Q92" s="1559"/>
      <c r="R92" s="1559"/>
      <c r="S92" s="1559"/>
      <c r="T92" s="1559"/>
      <c r="U92" s="1559"/>
      <c r="V92" s="1559"/>
      <c r="W92" s="1559"/>
      <c r="X92" s="1559"/>
      <c r="Y92" s="1559"/>
      <c r="Z92" s="1559"/>
      <c r="AA92" s="1559"/>
      <c r="AB92" s="1559"/>
      <c r="AC92" s="1559"/>
      <c r="AD92" s="1559"/>
      <c r="AE92" s="1559"/>
      <c r="AF92" s="1559"/>
      <c r="AG92" s="1559"/>
      <c r="AH92" s="1559"/>
      <c r="AI92" s="1559"/>
      <c r="AJ92" s="1559"/>
      <c r="AK92" s="1559"/>
      <c r="AL92" s="1"/>
    </row>
    <row r="93" spans="1:38" ht="13">
      <c r="A93" s="1073"/>
      <c r="B93" s="1074"/>
      <c r="C93" s="1075"/>
      <c r="D93" s="1073"/>
      <c r="E93" s="1073" t="s">
        <v>1097</v>
      </c>
      <c r="F93" s="1074" t="s">
        <v>1164</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ht="13">
      <c r="A94" s="1073"/>
      <c r="B94" s="1074"/>
      <c r="C94" s="1075"/>
      <c r="D94" s="1073"/>
      <c r="E94" s="1073"/>
      <c r="F94" s="1074"/>
      <c r="G94" s="1560" t="s">
        <v>1914</v>
      </c>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074"/>
    </row>
    <row r="95" spans="1:38" ht="13">
      <c r="A95" s="1073"/>
      <c r="B95" s="1074"/>
      <c r="C95" s="1075"/>
      <c r="D95" s="1073"/>
      <c r="E95" s="1073"/>
      <c r="F95" s="1074"/>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074"/>
    </row>
    <row r="96" spans="1:38" ht="13">
      <c r="A96" s="1073"/>
      <c r="B96" s="1074"/>
      <c r="C96" s="1075"/>
      <c r="D96" s="1073"/>
      <c r="E96" s="1073"/>
      <c r="F96" s="1074"/>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074"/>
    </row>
    <row r="97" spans="1:38" ht="13">
      <c r="A97" s="1073"/>
      <c r="B97" s="1074"/>
      <c r="C97" s="1075"/>
      <c r="D97" s="1073"/>
      <c r="E97" s="1073"/>
      <c r="F97" s="1074"/>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074"/>
    </row>
    <row r="98" spans="1:38" ht="13">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59" t="s">
        <v>1915</v>
      </c>
      <c r="H99" s="1559"/>
      <c r="I99" s="1559"/>
      <c r="J99" s="1559"/>
      <c r="K99" s="1559"/>
      <c r="L99" s="1559"/>
      <c r="M99" s="1559"/>
      <c r="N99" s="1559"/>
      <c r="O99" s="1559"/>
      <c r="P99" s="1559"/>
      <c r="Q99" s="1559"/>
      <c r="R99" s="1559"/>
      <c r="S99" s="1559"/>
      <c r="T99" s="1559"/>
      <c r="U99" s="1559"/>
      <c r="V99" s="1559"/>
      <c r="W99" s="1559"/>
      <c r="X99" s="1559"/>
      <c r="Y99" s="1559"/>
      <c r="Z99" s="1559"/>
      <c r="AA99" s="1559"/>
      <c r="AB99" s="1559"/>
      <c r="AC99" s="1559"/>
      <c r="AD99" s="1559"/>
      <c r="AE99" s="1559"/>
      <c r="AF99" s="1559"/>
      <c r="AG99" s="1559"/>
      <c r="AH99" s="1559"/>
      <c r="AI99" s="1559"/>
      <c r="AJ99" s="1559"/>
      <c r="AK99" s="1559"/>
      <c r="AL99" s="1"/>
    </row>
    <row r="100" spans="1:38" ht="13">
      <c r="A100" s="283"/>
      <c r="B100" s="1"/>
      <c r="C100" s="358"/>
      <c r="D100" s="283"/>
      <c r="E100" s="283"/>
      <c r="F100" s="1"/>
      <c r="G100" s="1559"/>
      <c r="H100" s="1559"/>
      <c r="I100" s="1559"/>
      <c r="J100" s="1559"/>
      <c r="K100" s="1559"/>
      <c r="L100" s="1559"/>
      <c r="M100" s="1559"/>
      <c r="N100" s="1559"/>
      <c r="O100" s="1559"/>
      <c r="P100" s="1559"/>
      <c r="Q100" s="1559"/>
      <c r="R100" s="1559"/>
      <c r="S100" s="1559"/>
      <c r="T100" s="1559"/>
      <c r="U100" s="1559"/>
      <c r="V100" s="1559"/>
      <c r="W100" s="1559"/>
      <c r="X100" s="1559"/>
      <c r="Y100" s="1559"/>
      <c r="Z100" s="1559"/>
      <c r="AA100" s="1559"/>
      <c r="AB100" s="1559"/>
      <c r="AC100" s="1559"/>
      <c r="AD100" s="1559"/>
      <c r="AE100" s="1559"/>
      <c r="AF100" s="1559"/>
      <c r="AG100" s="1559"/>
      <c r="AH100" s="1559"/>
      <c r="AI100" s="1559"/>
      <c r="AJ100" s="1559"/>
      <c r="AK100" s="1559"/>
      <c r="AL100" s="1"/>
    </row>
    <row r="101" spans="1:38" ht="13">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59" t="s">
        <v>1916</v>
      </c>
      <c r="H102" s="1559"/>
      <c r="I102" s="1559"/>
      <c r="J102" s="1559"/>
      <c r="K102" s="1559"/>
      <c r="L102" s="1559"/>
      <c r="M102" s="1559"/>
      <c r="N102" s="1559"/>
      <c r="O102" s="1559"/>
      <c r="P102" s="1559"/>
      <c r="Q102" s="1559"/>
      <c r="R102" s="1559"/>
      <c r="S102" s="1559"/>
      <c r="T102" s="1559"/>
      <c r="U102" s="1559"/>
      <c r="V102" s="1559"/>
      <c r="W102" s="1559"/>
      <c r="X102" s="1559"/>
      <c r="Y102" s="1559"/>
      <c r="Z102" s="1559"/>
      <c r="AA102" s="1559"/>
      <c r="AB102" s="1559"/>
      <c r="AC102" s="1559"/>
      <c r="AD102" s="1559"/>
      <c r="AE102" s="1559"/>
      <c r="AF102" s="1559"/>
      <c r="AG102" s="1559"/>
      <c r="AH102" s="1559"/>
      <c r="AI102" s="1559"/>
      <c r="AJ102" s="1559"/>
      <c r="AK102" s="1559"/>
      <c r="AL102" s="1"/>
    </row>
    <row r="103" spans="1:38" ht="13">
      <c r="A103" s="283"/>
      <c r="B103" s="1"/>
      <c r="C103" s="358"/>
      <c r="D103" s="283"/>
      <c r="E103" s="283"/>
      <c r="F103" s="1"/>
      <c r="G103" s="1559"/>
      <c r="H103" s="1559"/>
      <c r="I103" s="1559"/>
      <c r="J103" s="1559"/>
      <c r="K103" s="1559"/>
      <c r="L103" s="1559"/>
      <c r="M103" s="1559"/>
      <c r="N103" s="1559"/>
      <c r="O103" s="1559"/>
      <c r="P103" s="1559"/>
      <c r="Q103" s="1559"/>
      <c r="R103" s="1559"/>
      <c r="S103" s="1559"/>
      <c r="T103" s="1559"/>
      <c r="U103" s="1559"/>
      <c r="V103" s="1559"/>
      <c r="W103" s="1559"/>
      <c r="X103" s="1559"/>
      <c r="Y103" s="1559"/>
      <c r="Z103" s="1559"/>
      <c r="AA103" s="1559"/>
      <c r="AB103" s="1559"/>
      <c r="AC103" s="1559"/>
      <c r="AD103" s="1559"/>
      <c r="AE103" s="1559"/>
      <c r="AF103" s="1559"/>
      <c r="AG103" s="1559"/>
      <c r="AH103" s="1559"/>
      <c r="AI103" s="1559"/>
      <c r="AJ103" s="1559"/>
      <c r="AK103" s="1559"/>
      <c r="AL103" s="1"/>
    </row>
    <row r="104" spans="1:38" ht="13">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59" t="s">
        <v>1917</v>
      </c>
      <c r="H105" s="1559"/>
      <c r="I105" s="1559"/>
      <c r="J105" s="1559"/>
      <c r="K105" s="1559"/>
      <c r="L105" s="1559"/>
      <c r="M105" s="1559"/>
      <c r="N105" s="1559"/>
      <c r="O105" s="1559"/>
      <c r="P105" s="1559"/>
      <c r="Q105" s="1559"/>
      <c r="R105" s="1559"/>
      <c r="S105" s="1559"/>
      <c r="T105" s="1559"/>
      <c r="U105" s="1559"/>
      <c r="V105" s="1559"/>
      <c r="W105" s="1559"/>
      <c r="X105" s="1559"/>
      <c r="Y105" s="1559"/>
      <c r="Z105" s="1559"/>
      <c r="AA105" s="1559"/>
      <c r="AB105" s="1559"/>
      <c r="AC105" s="1559"/>
      <c r="AD105" s="1559"/>
      <c r="AE105" s="1559"/>
      <c r="AF105" s="1559"/>
      <c r="AG105" s="1559"/>
      <c r="AH105" s="1559"/>
      <c r="AI105" s="1559"/>
      <c r="AJ105" s="1559"/>
      <c r="AK105" s="1559"/>
      <c r="AL105" s="1"/>
    </row>
    <row r="106" spans="1:38" ht="13">
      <c r="A106" s="288"/>
      <c r="B106" s="272"/>
      <c r="C106" s="359"/>
      <c r="D106" s="288"/>
      <c r="E106" s="288"/>
      <c r="F106" s="288"/>
      <c r="G106" s="1559"/>
      <c r="H106" s="1559"/>
      <c r="I106" s="1559"/>
      <c r="J106" s="1559"/>
      <c r="K106" s="1559"/>
      <c r="L106" s="1559"/>
      <c r="M106" s="1559"/>
      <c r="N106" s="1559"/>
      <c r="O106" s="1559"/>
      <c r="P106" s="1559"/>
      <c r="Q106" s="1559"/>
      <c r="R106" s="1559"/>
      <c r="S106" s="1559"/>
      <c r="T106" s="1559"/>
      <c r="U106" s="1559"/>
      <c r="V106" s="1559"/>
      <c r="W106" s="1559"/>
      <c r="X106" s="1559"/>
      <c r="Y106" s="1559"/>
      <c r="Z106" s="1559"/>
      <c r="AA106" s="1559"/>
      <c r="AB106" s="1559"/>
      <c r="AC106" s="1559"/>
      <c r="AD106" s="1559"/>
      <c r="AE106" s="1559"/>
      <c r="AF106" s="1559"/>
      <c r="AG106" s="1559"/>
      <c r="AH106" s="1559"/>
      <c r="AI106" s="1559"/>
      <c r="AJ106" s="1559"/>
      <c r="AK106" s="1559"/>
      <c r="AL106" s="272"/>
    </row>
    <row r="107" spans="1:38" ht="13">
      <c r="A107" s="288"/>
      <c r="B107" s="272"/>
      <c r="C107" s="359"/>
      <c r="D107" s="359"/>
      <c r="E107" s="288"/>
      <c r="F107" s="288"/>
      <c r="G107" s="1559"/>
      <c r="H107" s="1559"/>
      <c r="I107" s="1559"/>
      <c r="J107" s="1559"/>
      <c r="K107" s="1559"/>
      <c r="L107" s="1559"/>
      <c r="M107" s="1559"/>
      <c r="N107" s="1559"/>
      <c r="O107" s="1559"/>
      <c r="P107" s="1559"/>
      <c r="Q107" s="1559"/>
      <c r="R107" s="1559"/>
      <c r="S107" s="1559"/>
      <c r="T107" s="1559"/>
      <c r="U107" s="1559"/>
      <c r="V107" s="1559"/>
      <c r="W107" s="1559"/>
      <c r="X107" s="1559"/>
      <c r="Y107" s="1559"/>
      <c r="Z107" s="1559"/>
      <c r="AA107" s="1559"/>
      <c r="AB107" s="1559"/>
      <c r="AC107" s="1559"/>
      <c r="AD107" s="1559"/>
      <c r="AE107" s="1559"/>
      <c r="AF107" s="1559"/>
      <c r="AG107" s="1559"/>
      <c r="AH107" s="1559"/>
      <c r="AI107" s="1559"/>
      <c r="AJ107" s="1559"/>
      <c r="AK107" s="1559"/>
      <c r="AL107" s="272"/>
    </row>
    <row r="108" spans="1:38" ht="13">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59" t="s">
        <v>1918</v>
      </c>
      <c r="H109" s="1559"/>
      <c r="I109" s="1559"/>
      <c r="J109" s="1559"/>
      <c r="K109" s="1559"/>
      <c r="L109" s="1559"/>
      <c r="M109" s="1559"/>
      <c r="N109" s="1559"/>
      <c r="O109" s="1559"/>
      <c r="P109" s="1559"/>
      <c r="Q109" s="1559"/>
      <c r="R109" s="1559"/>
      <c r="S109" s="1559"/>
      <c r="T109" s="1559"/>
      <c r="U109" s="1559"/>
      <c r="V109" s="1559"/>
      <c r="W109" s="1559"/>
      <c r="X109" s="1559"/>
      <c r="Y109" s="1559"/>
      <c r="Z109" s="1559"/>
      <c r="AA109" s="1559"/>
      <c r="AB109" s="1559"/>
      <c r="AC109" s="1559"/>
      <c r="AD109" s="1559"/>
      <c r="AE109" s="1559"/>
      <c r="AF109" s="1559"/>
      <c r="AG109" s="1559"/>
      <c r="AH109" s="1559"/>
      <c r="AI109" s="1559"/>
      <c r="AJ109" s="1559"/>
      <c r="AK109" s="1559"/>
      <c r="AL109" s="1"/>
    </row>
    <row r="110" spans="1:38" ht="13">
      <c r="A110" s="283"/>
      <c r="B110" s="1"/>
      <c r="C110" s="358"/>
      <c r="D110" s="358"/>
      <c r="E110" s="283"/>
      <c r="F110" s="283"/>
      <c r="G110" s="1559"/>
      <c r="H110" s="1559"/>
      <c r="I110" s="1559"/>
      <c r="J110" s="1559"/>
      <c r="K110" s="1559"/>
      <c r="L110" s="1559"/>
      <c r="M110" s="1559"/>
      <c r="N110" s="1559"/>
      <c r="O110" s="1559"/>
      <c r="P110" s="1559"/>
      <c r="Q110" s="1559"/>
      <c r="R110" s="1559"/>
      <c r="S110" s="1559"/>
      <c r="T110" s="1559"/>
      <c r="U110" s="1559"/>
      <c r="V110" s="1559"/>
      <c r="W110" s="1559"/>
      <c r="X110" s="1559"/>
      <c r="Y110" s="1559"/>
      <c r="Z110" s="1559"/>
      <c r="AA110" s="1559"/>
      <c r="AB110" s="1559"/>
      <c r="AC110" s="1559"/>
      <c r="AD110" s="1559"/>
      <c r="AE110" s="1559"/>
      <c r="AF110" s="1559"/>
      <c r="AG110" s="1559"/>
      <c r="AH110" s="1559"/>
      <c r="AI110" s="1559"/>
      <c r="AJ110" s="1559"/>
      <c r="AK110" s="1559"/>
      <c r="AL110" s="1"/>
    </row>
    <row r="111" spans="1:38" ht="13">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76"/>
      <c r="E112" s="1567" t="s">
        <v>1919</v>
      </c>
      <c r="F112" s="1567"/>
      <c r="G112" s="1567"/>
      <c r="H112" s="1567"/>
      <c r="I112" s="1567"/>
      <c r="J112" s="1567"/>
      <c r="K112" s="1567"/>
      <c r="L112" s="1567"/>
      <c r="M112" s="1567"/>
      <c r="N112" s="1567"/>
      <c r="O112" s="1567"/>
      <c r="P112" s="1567"/>
      <c r="Q112" s="1567"/>
      <c r="R112" s="1567"/>
      <c r="S112" s="1567"/>
      <c r="T112" s="1567"/>
      <c r="U112" s="1567"/>
      <c r="V112" s="1567"/>
      <c r="W112" s="1567"/>
      <c r="X112" s="1567"/>
      <c r="Y112" s="1567"/>
      <c r="Z112" s="1567"/>
      <c r="AA112" s="1567"/>
      <c r="AB112" s="1567"/>
      <c r="AC112" s="1567"/>
      <c r="AD112" s="1567"/>
      <c r="AE112" s="1567"/>
      <c r="AF112" s="1567"/>
      <c r="AG112" s="1567"/>
      <c r="AH112" s="1567"/>
      <c r="AI112" s="1567"/>
      <c r="AJ112" s="1567"/>
      <c r="AK112" s="1567"/>
      <c r="AL112" s="1"/>
    </row>
    <row r="113" spans="1:38" ht="13">
      <c r="A113" s="283"/>
      <c r="B113" s="1"/>
      <c r="C113" s="1"/>
      <c r="D113" s="1076"/>
      <c r="E113" s="1567"/>
      <c r="F113" s="1567"/>
      <c r="G113" s="1567"/>
      <c r="H113" s="1567"/>
      <c r="I113" s="1567"/>
      <c r="J113" s="1567"/>
      <c r="K113" s="1567"/>
      <c r="L113" s="1567"/>
      <c r="M113" s="1567"/>
      <c r="N113" s="1567"/>
      <c r="O113" s="1567"/>
      <c r="P113" s="1567"/>
      <c r="Q113" s="1567"/>
      <c r="R113" s="1567"/>
      <c r="S113" s="1567"/>
      <c r="T113" s="1567"/>
      <c r="U113" s="1567"/>
      <c r="V113" s="1567"/>
      <c r="W113" s="1567"/>
      <c r="X113" s="1567"/>
      <c r="Y113" s="1567"/>
      <c r="Z113" s="1567"/>
      <c r="AA113" s="1567"/>
      <c r="AB113" s="1567"/>
      <c r="AC113" s="1567"/>
      <c r="AD113" s="1567"/>
      <c r="AE113" s="1567"/>
      <c r="AF113" s="1567"/>
      <c r="AG113" s="1567"/>
      <c r="AH113" s="1567"/>
      <c r="AI113" s="1567"/>
      <c r="AJ113" s="1567"/>
      <c r="AK113" s="1567"/>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65" t="s">
        <v>513</v>
      </c>
      <c r="C115" s="1065" t="s">
        <v>751</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1003</v>
      </c>
      <c r="F119" s="1078"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ht="13">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1004</v>
      </c>
      <c r="F123" s="1078"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1010</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76" t="s">
        <v>2133</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900</v>
      </c>
      <c r="E138" s="1079"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9" t="s">
        <v>1922</v>
      </c>
      <c r="F145" s="1559"/>
      <c r="G145" s="1559"/>
      <c r="H145" s="1559"/>
      <c r="I145" s="1559"/>
      <c r="J145" s="1559"/>
      <c r="K145" s="1559"/>
      <c r="L145" s="1559"/>
      <c r="M145" s="1559"/>
      <c r="N145" s="1559"/>
      <c r="O145" s="1559"/>
      <c r="P145" s="1559"/>
      <c r="Q145" s="1559"/>
      <c r="R145" s="1559"/>
      <c r="S145" s="1559"/>
      <c r="T145" s="1559"/>
      <c r="U145" s="1559"/>
      <c r="V145" s="1559"/>
      <c r="W145" s="1559"/>
      <c r="X145" s="1559"/>
      <c r="Y145" s="1559"/>
      <c r="Z145" s="1559"/>
      <c r="AA145" s="1559"/>
      <c r="AB145" s="1559"/>
      <c r="AC145" s="1559"/>
      <c r="AD145" s="1559"/>
      <c r="AE145" s="1559"/>
      <c r="AF145" s="1559"/>
      <c r="AG145" s="1559"/>
      <c r="AH145" s="1559"/>
      <c r="AI145" s="1559"/>
      <c r="AJ145" s="1559"/>
      <c r="AK145" s="1559"/>
      <c r="AL145" s="1"/>
    </row>
    <row r="146" spans="1:38">
      <c r="A146" s="1"/>
      <c r="B146" s="1"/>
      <c r="C146" s="1"/>
      <c r="D146" s="1"/>
      <c r="E146" s="1559"/>
      <c r="F146" s="1559"/>
      <c r="G146" s="1559"/>
      <c r="H146" s="1559"/>
      <c r="I146" s="1559"/>
      <c r="J146" s="1559"/>
      <c r="K146" s="1559"/>
      <c r="L146" s="1559"/>
      <c r="M146" s="1559"/>
      <c r="N146" s="1559"/>
      <c r="O146" s="1559"/>
      <c r="P146" s="1559"/>
      <c r="Q146" s="1559"/>
      <c r="R146" s="1559"/>
      <c r="S146" s="1559"/>
      <c r="T146" s="1559"/>
      <c r="U146" s="1559"/>
      <c r="V146" s="1559"/>
      <c r="W146" s="1559"/>
      <c r="X146" s="1559"/>
      <c r="Y146" s="1559"/>
      <c r="Z146" s="1559"/>
      <c r="AA146" s="1559"/>
      <c r="AB146" s="1559"/>
      <c r="AC146" s="1559"/>
      <c r="AD146" s="1559"/>
      <c r="AE146" s="1559"/>
      <c r="AF146" s="1559"/>
      <c r="AG146" s="1559"/>
      <c r="AH146" s="1559"/>
      <c r="AI146" s="1559"/>
      <c r="AJ146" s="1559"/>
      <c r="AK146" s="155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9" t="s">
        <v>1923</v>
      </c>
      <c r="H158" s="1559"/>
      <c r="I158" s="1559"/>
      <c r="J158" s="1559"/>
      <c r="K158" s="1559"/>
      <c r="L158" s="1559"/>
      <c r="M158" s="1559"/>
      <c r="N158" s="1559"/>
      <c r="O158" s="1559"/>
      <c r="P158" s="1559"/>
      <c r="Q158" s="1559"/>
      <c r="R158" s="1559"/>
      <c r="S158" s="1559"/>
      <c r="T158" s="1559"/>
      <c r="U158" s="1559"/>
      <c r="V158" s="1559"/>
      <c r="W158" s="1559"/>
      <c r="X158" s="1559"/>
      <c r="Y158" s="1559"/>
      <c r="Z158" s="1559"/>
      <c r="AA158" s="1559"/>
      <c r="AB158" s="1559"/>
      <c r="AC158" s="1559"/>
      <c r="AD158" s="1559"/>
      <c r="AE158" s="1559"/>
      <c r="AF158" s="1559"/>
      <c r="AG158" s="1559"/>
      <c r="AH158" s="1559"/>
      <c r="AI158" s="1559"/>
      <c r="AJ158" s="1559"/>
      <c r="AK158" s="1559"/>
      <c r="AL158" s="1"/>
    </row>
    <row r="159" spans="1:38">
      <c r="A159" s="1"/>
      <c r="B159" s="1"/>
      <c r="C159" s="1"/>
      <c r="D159" s="1"/>
      <c r="E159" s="1"/>
      <c r="F159" s="1"/>
      <c r="G159" s="1559"/>
      <c r="H159" s="1559"/>
      <c r="I159" s="1559"/>
      <c r="J159" s="1559"/>
      <c r="K159" s="1559"/>
      <c r="L159" s="1559"/>
      <c r="M159" s="1559"/>
      <c r="N159" s="1559"/>
      <c r="O159" s="1559"/>
      <c r="P159" s="1559"/>
      <c r="Q159" s="1559"/>
      <c r="R159" s="1559"/>
      <c r="S159" s="1559"/>
      <c r="T159" s="1559"/>
      <c r="U159" s="1559"/>
      <c r="V159" s="1559"/>
      <c r="W159" s="1559"/>
      <c r="X159" s="1559"/>
      <c r="Y159" s="1559"/>
      <c r="Z159" s="1559"/>
      <c r="AA159" s="1559"/>
      <c r="AB159" s="1559"/>
      <c r="AC159" s="1559"/>
      <c r="AD159" s="1559"/>
      <c r="AE159" s="1559"/>
      <c r="AF159" s="1559"/>
      <c r="AG159" s="1559"/>
      <c r="AH159" s="1559"/>
      <c r="AI159" s="1559"/>
      <c r="AJ159" s="1559"/>
      <c r="AK159" s="155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2187</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66"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1166</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3"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66" t="s">
        <v>1783</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3"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514</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1444</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931</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902</v>
      </c>
      <c r="G222" s="1559" t="s">
        <v>1924</v>
      </c>
      <c r="H222" s="1559"/>
      <c r="I222" s="1559"/>
      <c r="J222" s="1559"/>
      <c r="K222" s="1559"/>
      <c r="L222" s="1559"/>
      <c r="M222" s="1559"/>
      <c r="N222" s="1559"/>
      <c r="O222" s="1559"/>
      <c r="P222" s="1559"/>
      <c r="Q222" s="1559"/>
      <c r="R222" s="1559"/>
      <c r="S222" s="1559"/>
      <c r="T222" s="1559"/>
      <c r="U222" s="1559"/>
      <c r="V222" s="1559"/>
      <c r="W222" s="1559"/>
      <c r="X222" s="1559"/>
      <c r="Y222" s="1559"/>
      <c r="Z222" s="1559"/>
      <c r="AA222" s="1559"/>
      <c r="AB222" s="1559"/>
      <c r="AC222" s="1559"/>
      <c r="AD222" s="1559"/>
      <c r="AE222" s="1559"/>
      <c r="AF222" s="1559"/>
      <c r="AG222" s="1559"/>
      <c r="AH222" s="1559"/>
      <c r="AI222" s="1559"/>
      <c r="AJ222" s="1559"/>
      <c r="AK222" s="1559"/>
      <c r="AL222" s="1"/>
    </row>
    <row r="223" spans="1:38" ht="13">
      <c r="A223" s="1"/>
      <c r="B223" s="283"/>
      <c r="C223" s="283"/>
      <c r="D223" s="358"/>
      <c r="E223" s="1"/>
      <c r="F223" s="1"/>
      <c r="G223" s="1559"/>
      <c r="H223" s="1559"/>
      <c r="I223" s="1559"/>
      <c r="J223" s="1559"/>
      <c r="K223" s="1559"/>
      <c r="L223" s="1559"/>
      <c r="M223" s="1559"/>
      <c r="N223" s="1559"/>
      <c r="O223" s="1559"/>
      <c r="P223" s="1559"/>
      <c r="Q223" s="1559"/>
      <c r="R223" s="1559"/>
      <c r="S223" s="1559"/>
      <c r="T223" s="1559"/>
      <c r="U223" s="1559"/>
      <c r="V223" s="1559"/>
      <c r="W223" s="1559"/>
      <c r="X223" s="1559"/>
      <c r="Y223" s="1559"/>
      <c r="Z223" s="1559"/>
      <c r="AA223" s="1559"/>
      <c r="AB223" s="1559"/>
      <c r="AC223" s="1559"/>
      <c r="AD223" s="1559"/>
      <c r="AE223" s="1559"/>
      <c r="AF223" s="1559"/>
      <c r="AG223" s="1559"/>
      <c r="AH223" s="1559"/>
      <c r="AI223" s="1559"/>
      <c r="AJ223" s="1559"/>
      <c r="AK223" s="1559"/>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9" t="s">
        <v>1925</v>
      </c>
      <c r="H233" s="1559"/>
      <c r="I233" s="1559"/>
      <c r="J233" s="1559"/>
      <c r="K233" s="1559"/>
      <c r="L233" s="1559"/>
      <c r="M233" s="1559"/>
      <c r="N233" s="1559"/>
      <c r="O233" s="1559"/>
      <c r="P233" s="1559"/>
      <c r="Q233" s="1559"/>
      <c r="R233" s="1559"/>
      <c r="S233" s="1559"/>
      <c r="T233" s="1559"/>
      <c r="U233" s="1559"/>
      <c r="V233" s="1559"/>
      <c r="W233" s="1559"/>
      <c r="X233" s="1559"/>
      <c r="Y233" s="1559"/>
      <c r="Z233" s="1559"/>
      <c r="AA233" s="1559"/>
      <c r="AB233" s="1559"/>
      <c r="AC233" s="1559"/>
      <c r="AD233" s="1559"/>
      <c r="AE233" s="1559"/>
      <c r="AF233" s="1559"/>
      <c r="AG233" s="1559"/>
      <c r="AH233" s="1559"/>
      <c r="AI233" s="1559"/>
      <c r="AJ233" s="1559"/>
      <c r="AK233" s="1559"/>
      <c r="AL233" s="1"/>
    </row>
    <row r="234" spans="1:38">
      <c r="A234" s="1"/>
      <c r="B234" s="283"/>
      <c r="C234" s="283"/>
      <c r="D234" s="1"/>
      <c r="E234" s="1"/>
      <c r="F234" s="283"/>
      <c r="G234" s="1559"/>
      <c r="H234" s="1559"/>
      <c r="I234" s="1559"/>
      <c r="J234" s="1559"/>
      <c r="K234" s="1559"/>
      <c r="L234" s="1559"/>
      <c r="M234" s="1559"/>
      <c r="N234" s="1559"/>
      <c r="O234" s="1559"/>
      <c r="P234" s="1559"/>
      <c r="Q234" s="1559"/>
      <c r="R234" s="1559"/>
      <c r="S234" s="1559"/>
      <c r="T234" s="1559"/>
      <c r="U234" s="1559"/>
      <c r="V234" s="1559"/>
      <c r="W234" s="1559"/>
      <c r="X234" s="1559"/>
      <c r="Y234" s="1559"/>
      <c r="Z234" s="1559"/>
      <c r="AA234" s="1559"/>
      <c r="AB234" s="1559"/>
      <c r="AC234" s="1559"/>
      <c r="AD234" s="1559"/>
      <c r="AE234" s="1559"/>
      <c r="AF234" s="1559"/>
      <c r="AG234" s="1559"/>
      <c r="AH234" s="1559"/>
      <c r="AI234" s="1559"/>
      <c r="AJ234" s="1559"/>
      <c r="AK234" s="1559"/>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9" t="s">
        <v>1926</v>
      </c>
      <c r="H236" s="1559"/>
      <c r="I236" s="1559"/>
      <c r="J236" s="1559"/>
      <c r="K236" s="1559"/>
      <c r="L236" s="1559"/>
      <c r="M236" s="1559"/>
      <c r="N236" s="1559"/>
      <c r="O236" s="1559"/>
      <c r="P236" s="1559"/>
      <c r="Q236" s="1559"/>
      <c r="R236" s="1559"/>
      <c r="S236" s="1559"/>
      <c r="T236" s="1559"/>
      <c r="U236" s="1559"/>
      <c r="V236" s="1559"/>
      <c r="W236" s="1559"/>
      <c r="X236" s="1559"/>
      <c r="Y236" s="1559"/>
      <c r="Z236" s="1559"/>
      <c r="AA236" s="1559"/>
      <c r="AB236" s="1559"/>
      <c r="AC236" s="1559"/>
      <c r="AD236" s="1559"/>
      <c r="AE236" s="1559"/>
      <c r="AF236" s="1559"/>
      <c r="AG236" s="1559"/>
      <c r="AH236" s="1559"/>
      <c r="AI236" s="1559"/>
      <c r="AJ236" s="1559"/>
      <c r="AK236" s="1559"/>
      <c r="AL236" s="1"/>
    </row>
    <row r="237" spans="1:38">
      <c r="A237" s="1"/>
      <c r="B237" s="283"/>
      <c r="C237" s="283"/>
      <c r="D237" s="1"/>
      <c r="E237" s="1"/>
      <c r="F237" s="283"/>
      <c r="G237" s="1559"/>
      <c r="H237" s="1559"/>
      <c r="I237" s="1559"/>
      <c r="J237" s="1559"/>
      <c r="K237" s="1559"/>
      <c r="L237" s="1559"/>
      <c r="M237" s="1559"/>
      <c r="N237" s="1559"/>
      <c r="O237" s="1559"/>
      <c r="P237" s="1559"/>
      <c r="Q237" s="1559"/>
      <c r="R237" s="1559"/>
      <c r="S237" s="1559"/>
      <c r="T237" s="1559"/>
      <c r="U237" s="1559"/>
      <c r="V237" s="1559"/>
      <c r="W237" s="1559"/>
      <c r="X237" s="1559"/>
      <c r="Y237" s="1559"/>
      <c r="Z237" s="1559"/>
      <c r="AA237" s="1559"/>
      <c r="AB237" s="1559"/>
      <c r="AC237" s="1559"/>
      <c r="AD237" s="1559"/>
      <c r="AE237" s="1559"/>
      <c r="AF237" s="1559"/>
      <c r="AG237" s="1559"/>
      <c r="AH237" s="1559"/>
      <c r="AI237" s="1559"/>
      <c r="AJ237" s="1559"/>
      <c r="AK237" s="1559"/>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65" t="s">
        <v>372</v>
      </c>
      <c r="C239" s="1065"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1010</v>
      </c>
      <c r="F249" s="1078"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66"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66" t="s">
        <v>1784</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80" t="s">
        <v>1168</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66" t="s">
        <v>1785</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ht="13">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68" t="s">
        <v>1109</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68" t="s">
        <v>1352</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68" t="s">
        <v>1106</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793</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1329</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1326</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81"/>
      <c r="B319" s="1082"/>
      <c r="C319" s="1083"/>
      <c r="D319" s="1082" t="s">
        <v>931</v>
      </c>
      <c r="E319" s="1082" t="s">
        <v>881</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ht="13">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66" t="s">
        <v>1787</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66" t="s">
        <v>1788</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65"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68" t="s">
        <v>2055</v>
      </c>
      <c r="F343" s="1568"/>
      <c r="G343" s="1568"/>
      <c r="H343" s="1568"/>
      <c r="I343" s="1568"/>
      <c r="J343" s="1568"/>
      <c r="K343" s="1568"/>
      <c r="L343" s="1568"/>
      <c r="M343" s="1568"/>
      <c r="N343" s="1568"/>
      <c r="O343" s="1568"/>
      <c r="P343" s="1568"/>
      <c r="Q343" s="1568"/>
      <c r="R343" s="1568"/>
      <c r="S343" s="1568"/>
      <c r="T343" s="1568"/>
      <c r="U343" s="1568"/>
      <c r="V343" s="1568"/>
      <c r="W343" s="1568"/>
      <c r="X343" s="1568"/>
      <c r="Y343" s="1568"/>
      <c r="Z343" s="1568"/>
      <c r="AA343" s="1568"/>
      <c r="AB343" s="1568"/>
      <c r="AC343" s="1568"/>
      <c r="AD343" s="1568"/>
      <c r="AE343" s="1568"/>
      <c r="AF343" s="1568"/>
      <c r="AG343" s="1568"/>
      <c r="AH343" s="1568"/>
      <c r="AI343" s="1568"/>
      <c r="AJ343" s="1568"/>
      <c r="AK343" s="1568"/>
      <c r="AL343" s="1"/>
    </row>
    <row r="344" spans="1:38" ht="13">
      <c r="A344" s="1"/>
      <c r="B344" s="358"/>
      <c r="C344" s="1"/>
      <c r="D344" s="1"/>
      <c r="E344" s="1568"/>
      <c r="F344" s="1568"/>
      <c r="G344" s="1568"/>
      <c r="H344" s="1568"/>
      <c r="I344" s="1568"/>
      <c r="J344" s="1568"/>
      <c r="K344" s="1568"/>
      <c r="L344" s="1568"/>
      <c r="M344" s="1568"/>
      <c r="N344" s="1568"/>
      <c r="O344" s="1568"/>
      <c r="P344" s="1568"/>
      <c r="Q344" s="1568"/>
      <c r="R344" s="1568"/>
      <c r="S344" s="1568"/>
      <c r="T344" s="1568"/>
      <c r="U344" s="1568"/>
      <c r="V344" s="1568"/>
      <c r="W344" s="1568"/>
      <c r="X344" s="1568"/>
      <c r="Y344" s="1568"/>
      <c r="Z344" s="1568"/>
      <c r="AA344" s="1568"/>
      <c r="AB344" s="1568"/>
      <c r="AC344" s="1568"/>
      <c r="AD344" s="1568"/>
      <c r="AE344" s="1568"/>
      <c r="AF344" s="1568"/>
      <c r="AG344" s="1568"/>
      <c r="AH344" s="1568"/>
      <c r="AI344" s="1568"/>
      <c r="AJ344" s="1568"/>
      <c r="AK344" s="1568"/>
      <c r="AL344" s="1"/>
    </row>
    <row r="345" spans="1:38" ht="13">
      <c r="A345" s="1"/>
      <c r="B345" s="358"/>
      <c r="C345" s="1"/>
      <c r="D345" s="1"/>
      <c r="E345" s="1568"/>
      <c r="F345" s="1568"/>
      <c r="G345" s="1568"/>
      <c r="H345" s="1568"/>
      <c r="I345" s="1568"/>
      <c r="J345" s="1568"/>
      <c r="K345" s="1568"/>
      <c r="L345" s="1568"/>
      <c r="M345" s="1568"/>
      <c r="N345" s="1568"/>
      <c r="O345" s="1568"/>
      <c r="P345" s="1568"/>
      <c r="Q345" s="1568"/>
      <c r="R345" s="1568"/>
      <c r="S345" s="1568"/>
      <c r="T345" s="1568"/>
      <c r="U345" s="1568"/>
      <c r="V345" s="1568"/>
      <c r="W345" s="1568"/>
      <c r="X345" s="1568"/>
      <c r="Y345" s="1568"/>
      <c r="Z345" s="1568"/>
      <c r="AA345" s="1568"/>
      <c r="AB345" s="1568"/>
      <c r="AC345" s="1568"/>
      <c r="AD345" s="1568"/>
      <c r="AE345" s="1568"/>
      <c r="AF345" s="1568"/>
      <c r="AG345" s="1568"/>
      <c r="AH345" s="1568"/>
      <c r="AI345" s="1568"/>
      <c r="AJ345" s="1568"/>
      <c r="AK345" s="1568"/>
      <c r="AL345" s="1"/>
    </row>
    <row r="346" spans="1:38" ht="13">
      <c r="A346" s="1"/>
      <c r="B346" s="358"/>
      <c r="C346" s="1"/>
      <c r="D346" s="1"/>
      <c r="E346" s="1568"/>
      <c r="F346" s="1568"/>
      <c r="G346" s="1568"/>
      <c r="H346" s="1568"/>
      <c r="I346" s="1568"/>
      <c r="J346" s="1568"/>
      <c r="K346" s="1568"/>
      <c r="L346" s="1568"/>
      <c r="M346" s="1568"/>
      <c r="N346" s="1568"/>
      <c r="O346" s="1568"/>
      <c r="P346" s="1568"/>
      <c r="Q346" s="1568"/>
      <c r="R346" s="1568"/>
      <c r="S346" s="1568"/>
      <c r="T346" s="1568"/>
      <c r="U346" s="1568"/>
      <c r="V346" s="1568"/>
      <c r="W346" s="1568"/>
      <c r="X346" s="1568"/>
      <c r="Y346" s="1568"/>
      <c r="Z346" s="1568"/>
      <c r="AA346" s="1568"/>
      <c r="AB346" s="1568"/>
      <c r="AC346" s="1568"/>
      <c r="AD346" s="1568"/>
      <c r="AE346" s="1568"/>
      <c r="AF346" s="1568"/>
      <c r="AG346" s="1568"/>
      <c r="AH346" s="1568"/>
      <c r="AI346" s="1568"/>
      <c r="AJ346" s="1568"/>
      <c r="AK346" s="1568"/>
      <c r="AL346" s="1"/>
    </row>
    <row r="347" spans="1:38" ht="13">
      <c r="A347" s="1"/>
      <c r="B347" s="358"/>
      <c r="C347" s="1"/>
      <c r="D347" s="1"/>
      <c r="E347" s="1568"/>
      <c r="F347" s="1568"/>
      <c r="G347" s="1568"/>
      <c r="H347" s="1568"/>
      <c r="I347" s="1568"/>
      <c r="J347" s="1568"/>
      <c r="K347" s="1568"/>
      <c r="L347" s="1568"/>
      <c r="M347" s="1568"/>
      <c r="N347" s="1568"/>
      <c r="O347" s="1568"/>
      <c r="P347" s="1568"/>
      <c r="Q347" s="1568"/>
      <c r="R347" s="1568"/>
      <c r="S347" s="1568"/>
      <c r="T347" s="1568"/>
      <c r="U347" s="1568"/>
      <c r="V347" s="1568"/>
      <c r="W347" s="1568"/>
      <c r="X347" s="1568"/>
      <c r="Y347" s="1568"/>
      <c r="Z347" s="1568"/>
      <c r="AA347" s="1568"/>
      <c r="AB347" s="1568"/>
      <c r="AC347" s="1568"/>
      <c r="AD347" s="1568"/>
      <c r="AE347" s="1568"/>
      <c r="AF347" s="1568"/>
      <c r="AG347" s="1568"/>
      <c r="AH347" s="1568"/>
      <c r="AI347" s="1568"/>
      <c r="AJ347" s="1568"/>
      <c r="AK347" s="1568"/>
      <c r="AL347" s="1"/>
    </row>
    <row r="348" spans="1:38" ht="13">
      <c r="A348" s="1"/>
      <c r="B348" s="358"/>
      <c r="C348" s="1"/>
      <c r="D348" s="1"/>
      <c r="E348" s="283" t="s">
        <v>1003</v>
      </c>
      <c r="F348" s="1559" t="s">
        <v>2056</v>
      </c>
      <c r="G348" s="1566"/>
      <c r="H348" s="1566"/>
      <c r="I348" s="1566"/>
      <c r="J348" s="1566"/>
      <c r="K348" s="1566"/>
      <c r="L348" s="1566"/>
      <c r="M348" s="1566"/>
      <c r="N348" s="1566"/>
      <c r="O348" s="1566"/>
      <c r="P348" s="1566"/>
      <c r="Q348" s="1566"/>
      <c r="R348" s="1566"/>
      <c r="S348" s="1566"/>
      <c r="T348" s="1566"/>
      <c r="U348" s="1566"/>
      <c r="V348" s="1566"/>
      <c r="W348" s="1566"/>
      <c r="X348" s="1566"/>
      <c r="Y348" s="1566"/>
      <c r="Z348" s="1566"/>
      <c r="AA348" s="1566"/>
      <c r="AB348" s="1566"/>
      <c r="AC348" s="1566"/>
      <c r="AD348" s="1566"/>
      <c r="AE348" s="1566"/>
      <c r="AF348" s="1566"/>
      <c r="AG348" s="1566"/>
      <c r="AH348" s="1566"/>
      <c r="AI348" s="1566"/>
      <c r="AJ348" s="1566"/>
      <c r="AK348" s="1566"/>
      <c r="AL348" s="1"/>
    </row>
    <row r="349" spans="1:38" ht="13">
      <c r="A349" s="1"/>
      <c r="B349" s="358"/>
      <c r="C349" s="1"/>
      <c r="D349" s="1"/>
      <c r="E349" s="283"/>
      <c r="F349" s="1559"/>
      <c r="G349" s="1566"/>
      <c r="H349" s="1566"/>
      <c r="I349" s="1566"/>
      <c r="J349" s="1566"/>
      <c r="K349" s="1566"/>
      <c r="L349" s="1566"/>
      <c r="M349" s="1566"/>
      <c r="N349" s="1566"/>
      <c r="O349" s="1566"/>
      <c r="P349" s="1566"/>
      <c r="Q349" s="1566"/>
      <c r="R349" s="1566"/>
      <c r="S349" s="1566"/>
      <c r="T349" s="1566"/>
      <c r="U349" s="1566"/>
      <c r="V349" s="1566"/>
      <c r="W349" s="1566"/>
      <c r="X349" s="1566"/>
      <c r="Y349" s="1566"/>
      <c r="Z349" s="1566"/>
      <c r="AA349" s="1566"/>
      <c r="AB349" s="1566"/>
      <c r="AC349" s="1566"/>
      <c r="AD349" s="1566"/>
      <c r="AE349" s="1566"/>
      <c r="AF349" s="1566"/>
      <c r="AG349" s="1566"/>
      <c r="AH349" s="1566"/>
      <c r="AI349" s="1566"/>
      <c r="AJ349" s="1566"/>
      <c r="AK349" s="1566"/>
      <c r="AL349" s="1"/>
    </row>
    <row r="350" spans="1:38" ht="13">
      <c r="A350" s="1"/>
      <c r="B350" s="358"/>
      <c r="C350" s="1"/>
      <c r="D350" s="1"/>
      <c r="E350" s="283"/>
      <c r="F350" s="1566"/>
      <c r="G350" s="1566"/>
      <c r="H350" s="1566"/>
      <c r="I350" s="1566"/>
      <c r="J350" s="1566"/>
      <c r="K350" s="1566"/>
      <c r="L350" s="1566"/>
      <c r="M350" s="1566"/>
      <c r="N350" s="1566"/>
      <c r="O350" s="1566"/>
      <c r="P350" s="1566"/>
      <c r="Q350" s="1566"/>
      <c r="R350" s="1566"/>
      <c r="S350" s="1566"/>
      <c r="T350" s="1566"/>
      <c r="U350" s="1566"/>
      <c r="V350" s="1566"/>
      <c r="W350" s="1566"/>
      <c r="X350" s="1566"/>
      <c r="Y350" s="1566"/>
      <c r="Z350" s="1566"/>
      <c r="AA350" s="1566"/>
      <c r="AB350" s="1566"/>
      <c r="AC350" s="1566"/>
      <c r="AD350" s="1566"/>
      <c r="AE350" s="1566"/>
      <c r="AF350" s="1566"/>
      <c r="AG350" s="1566"/>
      <c r="AH350" s="1566"/>
      <c r="AI350" s="1566"/>
      <c r="AJ350" s="1566"/>
      <c r="AK350" s="1566"/>
      <c r="AL350" s="1"/>
    </row>
    <row r="351" spans="1:38" ht="13">
      <c r="A351" s="1"/>
      <c r="B351" s="358"/>
      <c r="C351" s="1"/>
      <c r="D351" s="1"/>
      <c r="E351" s="283"/>
      <c r="F351" s="1566"/>
      <c r="G351" s="1566"/>
      <c r="H351" s="1566"/>
      <c r="I351" s="1566"/>
      <c r="J351" s="1566"/>
      <c r="K351" s="1566"/>
      <c r="L351" s="1566"/>
      <c r="M351" s="1566"/>
      <c r="N351" s="1566"/>
      <c r="O351" s="1566"/>
      <c r="P351" s="1566"/>
      <c r="Q351" s="1566"/>
      <c r="R351" s="1566"/>
      <c r="S351" s="1566"/>
      <c r="T351" s="1566"/>
      <c r="U351" s="1566"/>
      <c r="V351" s="1566"/>
      <c r="W351" s="1566"/>
      <c r="X351" s="1566"/>
      <c r="Y351" s="1566"/>
      <c r="Z351" s="1566"/>
      <c r="AA351" s="1566"/>
      <c r="AB351" s="1566"/>
      <c r="AC351" s="1566"/>
      <c r="AD351" s="1566"/>
      <c r="AE351" s="1566"/>
      <c r="AF351" s="1566"/>
      <c r="AG351" s="1566"/>
      <c r="AH351" s="1566"/>
      <c r="AI351" s="1566"/>
      <c r="AJ351" s="1566"/>
      <c r="AK351" s="1566"/>
      <c r="AL351" s="1"/>
    </row>
    <row r="352" spans="1:38" ht="13">
      <c r="A352" s="1"/>
      <c r="B352" s="358"/>
      <c r="C352" s="1"/>
      <c r="D352" s="1"/>
      <c r="E352" s="283" t="s">
        <v>1004</v>
      </c>
      <c r="F352" s="1559" t="s">
        <v>2057</v>
      </c>
      <c r="G352" s="1566"/>
      <c r="H352" s="1566"/>
      <c r="I352" s="1566"/>
      <c r="J352" s="1566"/>
      <c r="K352" s="1566"/>
      <c r="L352" s="1566"/>
      <c r="M352" s="1566"/>
      <c r="N352" s="1566"/>
      <c r="O352" s="1566"/>
      <c r="P352" s="1566"/>
      <c r="Q352" s="1566"/>
      <c r="R352" s="1566"/>
      <c r="S352" s="1566"/>
      <c r="T352" s="1566"/>
      <c r="U352" s="1566"/>
      <c r="V352" s="1566"/>
      <c r="W352" s="1566"/>
      <c r="X352" s="1566"/>
      <c r="Y352" s="1566"/>
      <c r="Z352" s="1566"/>
      <c r="AA352" s="1566"/>
      <c r="AB352" s="1566"/>
      <c r="AC352" s="1566"/>
      <c r="AD352" s="1566"/>
      <c r="AE352" s="1566"/>
      <c r="AF352" s="1566"/>
      <c r="AG352" s="1566"/>
      <c r="AH352" s="1566"/>
      <c r="AI352" s="1566"/>
      <c r="AJ352" s="1566"/>
      <c r="AK352" s="1566"/>
      <c r="AL352" s="1"/>
    </row>
    <row r="353" spans="1:38" ht="13">
      <c r="A353" s="1"/>
      <c r="B353" s="358"/>
      <c r="C353" s="1"/>
      <c r="D353" s="1"/>
      <c r="E353" s="1"/>
      <c r="F353" s="1566"/>
      <c r="G353" s="1566"/>
      <c r="H353" s="1566"/>
      <c r="I353" s="1566"/>
      <c r="J353" s="1566"/>
      <c r="K353" s="1566"/>
      <c r="L353" s="1566"/>
      <c r="M353" s="1566"/>
      <c r="N353" s="1566"/>
      <c r="O353" s="1566"/>
      <c r="P353" s="1566"/>
      <c r="Q353" s="1566"/>
      <c r="R353" s="1566"/>
      <c r="S353" s="1566"/>
      <c r="T353" s="1566"/>
      <c r="U353" s="1566"/>
      <c r="V353" s="1566"/>
      <c r="W353" s="1566"/>
      <c r="X353" s="1566"/>
      <c r="Y353" s="1566"/>
      <c r="Z353" s="1566"/>
      <c r="AA353" s="1566"/>
      <c r="AB353" s="1566"/>
      <c r="AC353" s="1566"/>
      <c r="AD353" s="1566"/>
      <c r="AE353" s="1566"/>
      <c r="AF353" s="1566"/>
      <c r="AG353" s="1566"/>
      <c r="AH353" s="1566"/>
      <c r="AI353" s="1566"/>
      <c r="AJ353" s="1566"/>
      <c r="AK353" s="1566"/>
      <c r="AL353" s="1"/>
    </row>
    <row r="354" spans="1:38" ht="13">
      <c r="A354" s="1"/>
      <c r="B354" s="358"/>
      <c r="C354" s="1"/>
      <c r="D354" s="1"/>
      <c r="E354" s="1"/>
      <c r="F354" s="1566"/>
      <c r="G354" s="1566"/>
      <c r="H354" s="1566"/>
      <c r="I354" s="1566"/>
      <c r="J354" s="1566"/>
      <c r="K354" s="1566"/>
      <c r="L354" s="1566"/>
      <c r="M354" s="1566"/>
      <c r="N354" s="1566"/>
      <c r="O354" s="1566"/>
      <c r="P354" s="1566"/>
      <c r="Q354" s="1566"/>
      <c r="R354" s="1566"/>
      <c r="S354" s="1566"/>
      <c r="T354" s="1566"/>
      <c r="U354" s="1566"/>
      <c r="V354" s="1566"/>
      <c r="W354" s="1566"/>
      <c r="X354" s="1566"/>
      <c r="Y354" s="1566"/>
      <c r="Z354" s="1566"/>
      <c r="AA354" s="1566"/>
      <c r="AB354" s="1566"/>
      <c r="AC354" s="1566"/>
      <c r="AD354" s="1566"/>
      <c r="AE354" s="1566"/>
      <c r="AF354" s="1566"/>
      <c r="AG354" s="1566"/>
      <c r="AH354" s="1566"/>
      <c r="AI354" s="1566"/>
      <c r="AJ354" s="1566"/>
      <c r="AK354" s="1566"/>
      <c r="AL354" s="1"/>
    </row>
    <row r="355" spans="1:38" ht="13">
      <c r="A355" s="1"/>
      <c r="B355" s="358"/>
      <c r="C355" s="1"/>
      <c r="D355" s="1"/>
      <c r="E355" s="1"/>
      <c r="F355" s="1566"/>
      <c r="G355" s="1566"/>
      <c r="H355" s="1566"/>
      <c r="I355" s="1566"/>
      <c r="J355" s="1566"/>
      <c r="K355" s="1566"/>
      <c r="L355" s="1566"/>
      <c r="M355" s="1566"/>
      <c r="N355" s="1566"/>
      <c r="O355" s="1566"/>
      <c r="P355" s="1566"/>
      <c r="Q355" s="1566"/>
      <c r="R355" s="1566"/>
      <c r="S355" s="1566"/>
      <c r="T355" s="1566"/>
      <c r="U355" s="1566"/>
      <c r="V355" s="1566"/>
      <c r="W355" s="1566"/>
      <c r="X355" s="1566"/>
      <c r="Y355" s="1566"/>
      <c r="Z355" s="1566"/>
      <c r="AA355" s="1566"/>
      <c r="AB355" s="1566"/>
      <c r="AC355" s="1566"/>
      <c r="AD355" s="1566"/>
      <c r="AE355" s="1566"/>
      <c r="AF355" s="1566"/>
      <c r="AG355" s="1566"/>
      <c r="AH355" s="1566"/>
      <c r="AI355" s="1566"/>
      <c r="AJ355" s="1566"/>
      <c r="AK355" s="1566"/>
      <c r="AL355" s="1"/>
    </row>
    <row r="356" spans="1:38" ht="13">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5" customFormat="1" ht="13">
      <c r="A365" s="1"/>
      <c r="B365" s="358"/>
      <c r="C365" s="1"/>
      <c r="D365" s="1"/>
      <c r="E365" s="1565" t="s">
        <v>2052</v>
      </c>
    </row>
    <row r="366" spans="1:38" s="1565" customFormat="1" ht="13">
      <c r="A366" s="1"/>
      <c r="B366" s="358"/>
      <c r="C366" s="1"/>
      <c r="D366" s="1"/>
    </row>
    <row r="367" spans="1:38" ht="13">
      <c r="A367" s="1"/>
      <c r="B367" s="358"/>
      <c r="C367" s="1"/>
      <c r="D367" s="1"/>
      <c r="E367" s="1"/>
      <c r="F367" s="1563" t="s">
        <v>2053</v>
      </c>
      <c r="G367" s="1564"/>
      <c r="H367" s="1564"/>
      <c r="I367" s="1564"/>
      <c r="J367" s="1564"/>
      <c r="K367" s="1564"/>
      <c r="L367" s="1564"/>
      <c r="M367" s="1564"/>
      <c r="N367" s="1564"/>
      <c r="O367" s="1564"/>
      <c r="P367" s="1564"/>
      <c r="Q367" s="1564"/>
      <c r="R367" s="1564"/>
      <c r="S367" s="1564"/>
      <c r="T367" s="1564"/>
      <c r="U367" s="1564"/>
      <c r="V367" s="1564"/>
      <c r="W367" s="1564"/>
      <c r="X367" s="1564"/>
      <c r="Y367" s="1564"/>
      <c r="Z367" s="1564"/>
      <c r="AA367" s="1564"/>
      <c r="AB367" s="1564"/>
      <c r="AC367" s="1564"/>
      <c r="AD367" s="1564"/>
      <c r="AE367" s="1564"/>
      <c r="AF367" s="1564"/>
      <c r="AG367" s="1564"/>
      <c r="AH367" s="1564"/>
      <c r="AI367" s="1564"/>
      <c r="AJ367" s="1564"/>
      <c r="AK367" s="1564"/>
      <c r="AL367" s="1564"/>
    </row>
    <row r="368" spans="1:38" ht="13">
      <c r="A368" s="1"/>
      <c r="B368" s="358"/>
      <c r="C368" s="1"/>
      <c r="D368" s="1"/>
      <c r="E368" s="1"/>
      <c r="F368" s="1564"/>
      <c r="G368" s="1564"/>
      <c r="H368" s="1564"/>
      <c r="I368" s="1564"/>
      <c r="J368" s="1564"/>
      <c r="K368" s="1564"/>
      <c r="L368" s="1564"/>
      <c r="M368" s="1564"/>
      <c r="N368" s="1564"/>
      <c r="O368" s="1564"/>
      <c r="P368" s="1564"/>
      <c r="Q368" s="1564"/>
      <c r="R368" s="1564"/>
      <c r="S368" s="1564"/>
      <c r="T368" s="1564"/>
      <c r="U368" s="1564"/>
      <c r="V368" s="1564"/>
      <c r="W368" s="1564"/>
      <c r="X368" s="1564"/>
      <c r="Y368" s="1564"/>
      <c r="Z368" s="1564"/>
      <c r="AA368" s="1564"/>
      <c r="AB368" s="1564"/>
      <c r="AC368" s="1564"/>
      <c r="AD368" s="1564"/>
      <c r="AE368" s="1564"/>
      <c r="AF368" s="1564"/>
      <c r="AG368" s="1564"/>
      <c r="AH368" s="1564"/>
      <c r="AI368" s="1564"/>
      <c r="AJ368" s="1564"/>
      <c r="AK368" s="1564"/>
      <c r="AL368" s="1564"/>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68" t="s">
        <v>1792</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1004</v>
      </c>
      <c r="F377" s="288" t="s">
        <v>831</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832</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1145</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68" t="s">
        <v>1792</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1004</v>
      </c>
      <c r="F388" s="288" t="s">
        <v>834</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835</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1146</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ht="13">
      <c r="A393" s="12"/>
      <c r="B393" s="1065" t="s">
        <v>822</v>
      </c>
      <c r="C393" s="1065"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62"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sqref="A1:AQ2"/>
    </sheetView>
  </sheetViews>
  <sheetFormatPr defaultColWidth="0" defaultRowHeight="12.5"/>
  <cols>
    <col min="1" max="5" width="2.453125" style="1506" customWidth="1"/>
    <col min="6" max="6" width="2.453125" style="1510" customWidth="1"/>
    <col min="7" max="7" width="2.453125" style="1506" customWidth="1"/>
    <col min="8" max="8" width="2.453125" style="1510" customWidth="1"/>
    <col min="9" max="10" width="2.453125" style="1506" customWidth="1"/>
    <col min="11" max="11" width="2.453125" style="1507" customWidth="1"/>
    <col min="12" max="43" width="2.453125" style="1506" customWidth="1"/>
    <col min="44" max="47" width="2.453125" style="1506" hidden="1" customWidth="1"/>
    <col min="48" max="16384" width="9.1796875" style="1506" hidden="1"/>
  </cols>
  <sheetData>
    <row r="1" spans="1:57" ht="15" customHeight="1">
      <c r="A1" s="2652" t="s">
        <v>2340</v>
      </c>
      <c r="B1" s="2652"/>
      <c r="C1" s="2652"/>
      <c r="D1" s="2652"/>
      <c r="E1" s="2652"/>
      <c r="F1" s="2652"/>
      <c r="G1" s="2652"/>
      <c r="H1" s="2652"/>
      <c r="I1" s="2652"/>
      <c r="J1" s="2652"/>
      <c r="K1" s="2652"/>
      <c r="L1" s="2652"/>
      <c r="M1" s="2652"/>
      <c r="N1" s="2652"/>
      <c r="O1" s="2652"/>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row>
    <row r="2" spans="1:57" ht="15" customHeight="1">
      <c r="A2" s="2652"/>
      <c r="B2" s="2652"/>
      <c r="C2" s="2652"/>
      <c r="D2" s="2652"/>
      <c r="E2" s="2652"/>
      <c r="F2" s="2652"/>
      <c r="G2" s="2652"/>
      <c r="H2" s="2652"/>
      <c r="I2" s="2652"/>
      <c r="J2" s="2652"/>
      <c r="K2" s="2652"/>
      <c r="L2" s="2652"/>
      <c r="M2" s="2652"/>
      <c r="N2" s="2652"/>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2652"/>
      <c r="AL2" s="2652"/>
      <c r="AM2" s="2652"/>
      <c r="AN2" s="2652"/>
      <c r="AO2" s="2652"/>
      <c r="AP2" s="2652"/>
      <c r="AQ2" s="2652"/>
    </row>
    <row r="3" spans="1:57" ht="13">
      <c r="A3" s="1508"/>
      <c r="B3" s="1508"/>
      <c r="E3" s="1509"/>
      <c r="I3" s="1511"/>
      <c r="K3" s="1512"/>
    </row>
    <row r="4" spans="1:57" ht="14.25" customHeight="1">
      <c r="A4" s="2651" t="s">
        <v>2341</v>
      </c>
      <c r="B4" s="2651"/>
      <c r="C4" s="2651"/>
      <c r="D4" s="2651"/>
      <c r="E4" s="2651"/>
      <c r="F4" s="2651"/>
      <c r="G4" s="2651"/>
      <c r="H4" s="2651"/>
      <c r="I4" s="2651"/>
      <c r="J4" s="2651"/>
      <c r="K4" s="2651"/>
      <c r="L4" s="2651"/>
      <c r="M4" s="2651"/>
      <c r="N4" s="2651"/>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2651"/>
      <c r="AL4" s="2651"/>
      <c r="AM4" s="2651"/>
      <c r="AN4" s="2651"/>
      <c r="AO4" s="2651"/>
      <c r="AP4" s="2651"/>
      <c r="AQ4" s="2651"/>
    </row>
    <row r="5" spans="1:57" ht="13">
      <c r="A5" s="1508"/>
      <c r="B5" s="1508"/>
      <c r="E5" s="1509"/>
      <c r="I5" s="1511"/>
      <c r="K5" s="1512"/>
    </row>
    <row r="6" spans="1:57" ht="13">
      <c r="A6" s="1508"/>
      <c r="B6" s="1508"/>
      <c r="D6" s="1506" t="s">
        <v>2344</v>
      </c>
      <c r="I6" s="1511"/>
      <c r="K6" s="1512"/>
      <c r="U6" s="2650" t="s">
        <v>531</v>
      </c>
      <c r="V6" s="2650"/>
      <c r="W6" s="2650"/>
      <c r="BC6" s="1506" t="s">
        <v>2342</v>
      </c>
    </row>
    <row r="7" spans="1:57" ht="13">
      <c r="A7" s="1508"/>
      <c r="B7" s="1508"/>
      <c r="D7" s="1513" t="s">
        <v>2345</v>
      </c>
      <c r="E7" s="1509"/>
      <c r="I7" s="1511"/>
      <c r="K7" s="1512"/>
      <c r="BC7" s="1506" t="s">
        <v>2343</v>
      </c>
    </row>
    <row r="8" spans="1:57" ht="13">
      <c r="A8" s="1508"/>
      <c r="B8" s="1508"/>
      <c r="D8" s="1513"/>
      <c r="E8" s="1506" t="s">
        <v>2362</v>
      </c>
      <c r="BC8" s="1506" t="s">
        <v>2346</v>
      </c>
    </row>
    <row r="9" spans="1:57" ht="13">
      <c r="A9" s="1508"/>
      <c r="B9" s="1508"/>
      <c r="E9" s="1509" t="s">
        <v>2361</v>
      </c>
      <c r="I9" s="1511"/>
      <c r="K9" s="1512"/>
      <c r="P9" s="2658"/>
      <c r="Q9" s="2658"/>
      <c r="R9" s="2658"/>
      <c r="S9" s="2658"/>
      <c r="T9" s="2658"/>
    </row>
    <row r="10" spans="1:57" ht="13">
      <c r="A10" s="1508"/>
      <c r="B10" s="1508"/>
      <c r="E10" s="1509"/>
      <c r="I10" s="1511"/>
      <c r="K10" s="1512"/>
    </row>
    <row r="11" spans="1:57" ht="13">
      <c r="A11" s="2651" t="s">
        <v>2347</v>
      </c>
      <c r="B11" s="2651"/>
      <c r="C11" s="2651"/>
      <c r="D11" s="2651"/>
      <c r="E11" s="2651"/>
      <c r="F11" s="2651"/>
      <c r="G11" s="2651"/>
      <c r="H11" s="2651"/>
      <c r="I11" s="2651"/>
      <c r="J11" s="2651"/>
      <c r="K11" s="2651"/>
      <c r="L11" s="2651"/>
      <c r="M11" s="2651"/>
      <c r="N11" s="2651"/>
      <c r="O11" s="2651"/>
      <c r="P11" s="2651"/>
      <c r="Q11" s="2651"/>
      <c r="R11" s="2651"/>
      <c r="S11" s="2651"/>
      <c r="T11" s="2651"/>
      <c r="U11" s="2651"/>
      <c r="V11" s="2651"/>
      <c r="W11" s="2651"/>
      <c r="X11" s="2651"/>
      <c r="Y11" s="2651"/>
      <c r="Z11" s="2651"/>
      <c r="AA11" s="2651"/>
      <c r="AB11" s="2651"/>
      <c r="AC11" s="2651"/>
      <c r="AD11" s="2651"/>
      <c r="AE11" s="2651"/>
      <c r="AF11" s="2651"/>
      <c r="AG11" s="2651"/>
      <c r="AH11" s="2651"/>
      <c r="AI11" s="2651"/>
      <c r="AJ11" s="2651"/>
      <c r="AK11" s="2651"/>
      <c r="AL11" s="2651"/>
      <c r="AM11" s="2651"/>
      <c r="AN11" s="2651"/>
      <c r="AO11" s="2651"/>
      <c r="AP11" s="2651"/>
      <c r="AQ11" s="2651"/>
      <c r="BC11" s="1506" t="s">
        <v>119</v>
      </c>
    </row>
    <row r="12" spans="1:57" ht="13">
      <c r="A12" s="1508"/>
      <c r="B12" s="1508"/>
      <c r="E12" s="1509"/>
      <c r="I12" s="1511"/>
      <c r="K12" s="1512"/>
      <c r="BC12" s="1506" t="s">
        <v>531</v>
      </c>
    </row>
    <row r="13" spans="1:57" ht="13">
      <c r="A13" s="1508"/>
      <c r="B13" s="1508"/>
      <c r="D13" s="1506" t="s">
        <v>2348</v>
      </c>
      <c r="E13" s="1509"/>
      <c r="I13" s="1511"/>
      <c r="K13" s="1512"/>
      <c r="T13" s="2650"/>
      <c r="U13" s="2650"/>
      <c r="V13" s="2650"/>
    </row>
    <row r="14" spans="1:57" ht="13">
      <c r="A14" s="1508"/>
      <c r="B14" s="1508"/>
      <c r="E14" s="1509" t="s">
        <v>2355</v>
      </c>
      <c r="I14" s="1511"/>
      <c r="K14" s="1512"/>
      <c r="N14" s="2656"/>
      <c r="O14" s="2656"/>
      <c r="P14" s="2656"/>
      <c r="Q14" s="2656"/>
      <c r="R14" s="2656"/>
      <c r="S14" s="2656"/>
      <c r="T14" s="2656"/>
      <c r="U14" s="2656"/>
      <c r="V14" s="2656"/>
      <c r="W14" s="2656"/>
      <c r="X14" s="2656"/>
      <c r="Y14" s="2656"/>
      <c r="Z14" s="2656"/>
      <c r="AA14" s="2656"/>
      <c r="AB14" s="2656"/>
      <c r="AC14" s="2656"/>
      <c r="AD14" s="2656"/>
      <c r="AE14" s="2656"/>
    </row>
    <row r="15" spans="1:57" ht="13">
      <c r="A15" s="1508"/>
      <c r="B15" s="1508"/>
      <c r="E15" s="1509" t="s">
        <v>2349</v>
      </c>
      <c r="I15" s="1511"/>
      <c r="K15" s="1512"/>
      <c r="N15" s="1537"/>
      <c r="O15" s="1537"/>
      <c r="P15" s="1537"/>
      <c r="Q15" s="1537"/>
      <c r="R15" s="1537"/>
      <c r="S15" s="1537"/>
      <c r="T15" s="1537"/>
      <c r="U15" s="1537"/>
      <c r="V15" s="1537"/>
      <c r="W15" s="1537"/>
      <c r="X15" s="1537"/>
      <c r="Y15" s="1537"/>
      <c r="Z15" s="1537"/>
      <c r="AA15" s="1537"/>
      <c r="AB15" s="1537"/>
      <c r="AC15" s="1537"/>
      <c r="AD15" s="1537"/>
      <c r="AE15" s="1537"/>
      <c r="BC15" s="1506" t="s">
        <v>2363</v>
      </c>
      <c r="BE15" s="1506">
        <f>'Basis &amp; Credits'!AB55</f>
        <v>2022979.9</v>
      </c>
    </row>
    <row r="16" spans="1:57" ht="13">
      <c r="A16" s="1508"/>
      <c r="B16" s="1508"/>
      <c r="BC16" s="1506" t="s">
        <v>2364</v>
      </c>
      <c r="BE16" s="1506">
        <f>'Basis &amp; Credits'!T11+'Basis &amp; Credits'!AD11</f>
        <v>32110281</v>
      </c>
    </row>
    <row r="17" spans="1:43" ht="13">
      <c r="A17" s="1508"/>
      <c r="B17" s="1508"/>
      <c r="D17" s="1506" t="s">
        <v>2350</v>
      </c>
      <c r="E17" s="1509"/>
      <c r="I17" s="1511"/>
      <c r="K17" s="1512"/>
      <c r="U17" s="2657" t="str">
        <f>IF(T13="yes",(BE15/BE16)," ")</f>
        <v xml:space="preserve"> </v>
      </c>
      <c r="V17" s="2657"/>
      <c r="W17" s="2657"/>
      <c r="X17" s="2657"/>
      <c r="Y17" s="2657"/>
    </row>
    <row r="18" spans="1:43" ht="13">
      <c r="A18" s="1508"/>
      <c r="B18" s="1508"/>
      <c r="E18" s="1509"/>
      <c r="I18" s="1511"/>
      <c r="K18" s="1512"/>
    </row>
    <row r="19" spans="1:43" ht="13">
      <c r="A19" s="2651" t="s">
        <v>2352</v>
      </c>
      <c r="B19" s="2651"/>
      <c r="C19" s="2651"/>
      <c r="D19" s="2651"/>
      <c r="E19" s="2651"/>
      <c r="F19" s="2651"/>
      <c r="G19" s="2651"/>
      <c r="H19" s="2651"/>
      <c r="I19" s="2651"/>
      <c r="J19" s="2651"/>
      <c r="K19" s="2651"/>
      <c r="L19" s="2651"/>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row>
    <row r="20" spans="1:43" ht="13">
      <c r="C20" s="1508"/>
      <c r="D20" s="1508"/>
      <c r="F20" s="1506"/>
      <c r="G20" s="1509"/>
      <c r="J20" s="1510"/>
      <c r="K20" s="1511"/>
      <c r="M20" s="1512"/>
    </row>
    <row r="21" spans="1:43" ht="13">
      <c r="C21" s="1508"/>
      <c r="D21" s="1508"/>
      <c r="F21" s="1506"/>
      <c r="G21" s="1509"/>
      <c r="J21" s="1510"/>
      <c r="K21" s="1511"/>
      <c r="M21" s="1512"/>
    </row>
    <row r="22" spans="1:43">
      <c r="C22" s="1514" t="s">
        <v>794</v>
      </c>
      <c r="D22" s="1514"/>
      <c r="E22" s="1506" t="s">
        <v>2353</v>
      </c>
      <c r="F22" s="1506"/>
      <c r="H22" s="1515"/>
      <c r="J22" s="1510"/>
      <c r="K22" s="1506"/>
      <c r="M22" s="1516"/>
      <c r="Q22" s="2659">
        <f>ROUND('Basis &amp; Credits'!AB55,0)</f>
        <v>2022980</v>
      </c>
      <c r="R22" s="2659"/>
      <c r="S22" s="2659"/>
      <c r="T22" s="2659"/>
      <c r="U22" s="2659"/>
      <c r="V22" s="2659"/>
      <c r="W22" s="2659"/>
      <c r="X22" s="2659"/>
      <c r="Y22" s="1536"/>
    </row>
    <row r="23" spans="1:43" ht="13">
      <c r="C23" s="1508"/>
      <c r="D23" s="1508"/>
      <c r="F23" s="1506"/>
      <c r="G23" s="1517"/>
      <c r="H23" s="1518"/>
      <c r="I23" s="1519"/>
      <c r="J23" s="1520"/>
      <c r="K23" s="1517"/>
      <c r="M23" s="1507"/>
    </row>
    <row r="24" spans="1:43" s="1523" customFormat="1" ht="13">
      <c r="C24" s="1521"/>
      <c r="D24" s="1521"/>
      <c r="E24" s="1522"/>
      <c r="J24" s="1520"/>
      <c r="L24" s="2662" t="s">
        <v>2330</v>
      </c>
      <c r="M24" s="2662"/>
      <c r="N24" s="2662"/>
      <c r="P24" s="2647" t="s">
        <v>2331</v>
      </c>
      <c r="Q24" s="2647"/>
      <c r="R24" s="2647"/>
      <c r="S24" s="2647"/>
      <c r="T24" s="2647"/>
      <c r="V24" s="2647" t="s">
        <v>2332</v>
      </c>
      <c r="W24" s="2647"/>
      <c r="X24" s="2647"/>
      <c r="AC24" s="1506"/>
      <c r="AD24" s="1506"/>
      <c r="AE24" s="1506"/>
      <c r="AF24" s="1506"/>
      <c r="AG24" s="1506"/>
      <c r="AH24" s="1506"/>
    </row>
    <row r="25" spans="1:43">
      <c r="C25" s="1514" t="s">
        <v>207</v>
      </c>
      <c r="D25" s="1514"/>
      <c r="E25" s="1506" t="s">
        <v>1089</v>
      </c>
      <c r="F25" s="1506"/>
      <c r="J25" s="1520"/>
      <c r="L25" s="2648" t="s">
        <v>2333</v>
      </c>
      <c r="M25" s="2648"/>
      <c r="N25" s="2648"/>
      <c r="P25" s="2648" t="s">
        <v>2334</v>
      </c>
      <c r="Q25" s="2648"/>
      <c r="R25" s="2648"/>
      <c r="S25" s="2648"/>
      <c r="T25" s="2648"/>
      <c r="V25" s="2648" t="s">
        <v>2333</v>
      </c>
      <c r="W25" s="2648"/>
      <c r="X25" s="2648"/>
    </row>
    <row r="26" spans="1:43" ht="13">
      <c r="C26" s="1508"/>
      <c r="D26" s="1508"/>
      <c r="E26" s="1524" t="s">
        <v>2335</v>
      </c>
      <c r="F26" s="1524"/>
      <c r="J26" s="1525"/>
      <c r="L26" s="2663">
        <f>Application!BN627</f>
        <v>0</v>
      </c>
      <c r="M26" s="2663"/>
      <c r="N26" s="2663"/>
      <c r="P26" s="2649">
        <v>0.9</v>
      </c>
      <c r="Q26" s="2649"/>
      <c r="R26" s="2649"/>
      <c r="S26" s="2649"/>
      <c r="T26" s="2649"/>
      <c r="V26" s="2649">
        <f>L26*P26</f>
        <v>0</v>
      </c>
      <c r="W26" s="2649"/>
      <c r="X26" s="2649"/>
    </row>
    <row r="27" spans="1:43" ht="13">
      <c r="C27" s="1508"/>
      <c r="D27" s="1508"/>
      <c r="E27" s="1523" t="s">
        <v>2336</v>
      </c>
      <c r="F27" s="1523"/>
      <c r="J27" s="1525"/>
      <c r="L27" s="2639">
        <f>Application!BS627</f>
        <v>44</v>
      </c>
      <c r="M27" s="2639">
        <f>Application!BS635+Application!BS644+Application!CX658</f>
        <v>0</v>
      </c>
      <c r="N27" s="2639"/>
      <c r="P27" s="2644">
        <v>1</v>
      </c>
      <c r="Q27" s="2644"/>
      <c r="R27" s="2644"/>
      <c r="S27" s="2644"/>
      <c r="T27" s="2644"/>
      <c r="V27" s="2645">
        <f t="shared" ref="V27:V29" si="0">L27*P27</f>
        <v>44</v>
      </c>
      <c r="W27" s="2645"/>
      <c r="X27" s="2645"/>
    </row>
    <row r="28" spans="1:43" ht="13">
      <c r="C28" s="1508"/>
      <c r="D28" s="1508"/>
      <c r="E28" s="1523" t="s">
        <v>2337</v>
      </c>
      <c r="F28" s="1523"/>
      <c r="J28" s="1525"/>
      <c r="L28" s="2639">
        <f>Application!BX627</f>
        <v>5</v>
      </c>
      <c r="M28" s="2639">
        <f>Application!BX635+Application!BX644+Application!DC658</f>
        <v>0</v>
      </c>
      <c r="N28" s="2639"/>
      <c r="P28" s="2644">
        <v>1.25</v>
      </c>
      <c r="Q28" s="2644"/>
      <c r="R28" s="2644"/>
      <c r="S28" s="2644"/>
      <c r="T28" s="2644"/>
      <c r="V28" s="2645">
        <f t="shared" si="0"/>
        <v>6.25</v>
      </c>
      <c r="W28" s="2645"/>
      <c r="X28" s="2645"/>
    </row>
    <row r="29" spans="1:43" ht="13">
      <c r="C29" s="1508"/>
      <c r="D29" s="1508"/>
      <c r="E29" s="1523" t="s">
        <v>2338</v>
      </c>
      <c r="F29" s="1523"/>
      <c r="J29" s="1525"/>
      <c r="L29" s="2639">
        <f>Application!CC627</f>
        <v>0</v>
      </c>
      <c r="M29" s="2639">
        <f>Application!CC635+Application!CC644+Application!DH658</f>
        <v>0</v>
      </c>
      <c r="N29" s="2639"/>
      <c r="P29" s="2644">
        <v>1.5</v>
      </c>
      <c r="Q29" s="2644"/>
      <c r="R29" s="2644"/>
      <c r="S29" s="2644"/>
      <c r="T29" s="2644"/>
      <c r="V29" s="2645">
        <f t="shared" si="0"/>
        <v>0</v>
      </c>
      <c r="W29" s="2645"/>
      <c r="X29" s="2645"/>
    </row>
    <row r="30" spans="1:43" ht="13">
      <c r="C30" s="1508"/>
      <c r="D30" s="1508"/>
      <c r="E30" s="1523" t="s">
        <v>2339</v>
      </c>
      <c r="F30" s="1523"/>
      <c r="J30" s="1525"/>
      <c r="L30" s="2640">
        <f>Application!CH627+Application!CM627</f>
        <v>0</v>
      </c>
      <c r="M30" s="2640"/>
      <c r="N30" s="2640"/>
      <c r="P30" s="2644">
        <v>1.75</v>
      </c>
      <c r="Q30" s="2644"/>
      <c r="R30" s="2644">
        <f>1.75+0.25*0</f>
        <v>1.75</v>
      </c>
      <c r="S30" s="2644"/>
      <c r="T30" s="2644"/>
      <c r="V30" s="2646">
        <f>L30*P30</f>
        <v>0</v>
      </c>
      <c r="W30" s="2646"/>
      <c r="X30" s="2646"/>
    </row>
    <row r="31" spans="1:43" ht="13">
      <c r="C31" s="1508"/>
      <c r="D31" s="1508"/>
      <c r="F31" s="1506"/>
      <c r="J31" s="1510"/>
      <c r="L31" s="2660">
        <f>SUM(L26:N30)</f>
        <v>49</v>
      </c>
      <c r="M31" s="2661"/>
      <c r="N31" s="2661"/>
      <c r="V31" s="2649">
        <f>SUM(V26:X30)</f>
        <v>50.25</v>
      </c>
      <c r="W31" s="2649"/>
      <c r="X31" s="2649"/>
      <c r="AA31" s="1509"/>
    </row>
    <row r="32" spans="1:43" ht="13">
      <c r="C32" s="1508"/>
      <c r="D32" s="1508"/>
      <c r="F32" s="1506"/>
      <c r="G32" s="1509"/>
      <c r="J32" s="1510"/>
      <c r="K32" s="1526"/>
      <c r="N32" s="1510"/>
    </row>
    <row r="33" spans="1:27" ht="13">
      <c r="C33" s="1514" t="s">
        <v>208</v>
      </c>
      <c r="D33" s="1514"/>
      <c r="E33" s="1527" t="s">
        <v>2354</v>
      </c>
      <c r="H33" s="1528"/>
      <c r="I33" s="1529"/>
      <c r="J33" s="1530"/>
      <c r="K33" s="1526"/>
      <c r="M33" s="1507"/>
      <c r="V33" s="2641">
        <f>IF(V31&gt;0,V31/Q22," ")</f>
        <v>2.4839593075561796E-5</v>
      </c>
      <c r="W33" s="2642"/>
      <c r="X33" s="2642"/>
      <c r="Y33" s="2642"/>
      <c r="Z33" s="2642"/>
      <c r="AA33" s="2643"/>
    </row>
    <row r="34" spans="1:27">
      <c r="F34" s="1506"/>
      <c r="J34" s="1510"/>
      <c r="K34" s="1506"/>
      <c r="M34" s="1507"/>
    </row>
    <row r="35" spans="1:27" ht="13">
      <c r="E35" s="1508" t="s">
        <v>2365</v>
      </c>
      <c r="F35" s="1508"/>
      <c r="G35" s="1508"/>
      <c r="H35" s="1527"/>
      <c r="I35" s="1508"/>
      <c r="J35" s="1527"/>
      <c r="K35" s="1508"/>
      <c r="L35" s="1508"/>
      <c r="M35" s="1538"/>
      <c r="N35" s="1508"/>
      <c r="O35" s="1508"/>
      <c r="P35" s="1508"/>
      <c r="Q35" s="1508"/>
      <c r="R35" s="1508"/>
      <c r="V35" s="2653">
        <f>IF(V31&gt;0,1/V33," ")</f>
        <v>40258.308457711442</v>
      </c>
      <c r="W35" s="2654"/>
      <c r="X35" s="2654"/>
      <c r="Y35" s="2654"/>
      <c r="Z35" s="2654"/>
      <c r="AA35" s="2655"/>
    </row>
    <row r="36" spans="1:27" ht="12.75" customHeight="1">
      <c r="B36" s="1531"/>
      <c r="C36" s="1531"/>
      <c r="D36" s="1531"/>
      <c r="E36" s="1531"/>
      <c r="F36" s="1531"/>
      <c r="G36" s="1531"/>
      <c r="H36" s="1531"/>
      <c r="I36" s="1531"/>
    </row>
    <row r="37" spans="1:27">
      <c r="A37" s="1531"/>
      <c r="B37" s="1531"/>
      <c r="C37" s="1531"/>
      <c r="D37" s="1531"/>
      <c r="E37" s="1531"/>
      <c r="F37" s="1531"/>
      <c r="G37" s="1531"/>
      <c r="H37" s="1531"/>
      <c r="I37" s="1531"/>
    </row>
    <row r="38" spans="1:27">
      <c r="A38" s="1531"/>
      <c r="B38" s="1531"/>
      <c r="C38" s="1531"/>
      <c r="D38" s="1531"/>
      <c r="E38" s="1531"/>
      <c r="F38" s="1531"/>
      <c r="G38" s="1531"/>
      <c r="H38" s="1531"/>
      <c r="I38" s="1531"/>
    </row>
    <row r="39" spans="1:27">
      <c r="A39" s="1531"/>
      <c r="B39" s="1531"/>
      <c r="C39" s="1531"/>
      <c r="D39" s="1531"/>
      <c r="E39" s="1531"/>
      <c r="F39" s="1531"/>
      <c r="G39" s="1531"/>
      <c r="H39" s="1531"/>
      <c r="I39" s="153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70" zoomScaleNormal="100" zoomScaleSheetLayoutView="70" workbookViewId="0">
      <selection activeCell="G50" sqref="G50"/>
    </sheetView>
  </sheetViews>
  <sheetFormatPr defaultColWidth="8.81640625" defaultRowHeight="0" customHeight="1" zeroHeight="1"/>
  <cols>
    <col min="1" max="1" width="3.453125" style="793" customWidth="1"/>
    <col min="2" max="4" width="17.453125" style="793" customWidth="1"/>
    <col min="5" max="5" width="15.453125" style="793" customWidth="1"/>
    <col min="6" max="6" width="2.453125" style="793" customWidth="1"/>
    <col min="7" max="7" width="14.453125" style="793" customWidth="1"/>
    <col min="8" max="9" width="2.453125" style="793" customWidth="1"/>
    <col min="10" max="10" width="3.453125" style="793" customWidth="1"/>
    <col min="11" max="14" width="2.453125" style="793" customWidth="1"/>
    <col min="15" max="15" width="43.6328125" style="793" customWidth="1"/>
    <col min="16" max="16" width="7.453125" style="793" customWidth="1"/>
    <col min="17" max="17" width="3.453125" style="793" customWidth="1"/>
    <col min="18" max="19" width="10.453125" style="793" customWidth="1"/>
    <col min="20" max="16384" width="8.81640625" style="793"/>
  </cols>
  <sheetData>
    <row r="1" spans="1:19" ht="15" customHeight="1">
      <c r="A1" s="2700" t="s">
        <v>2121</v>
      </c>
      <c r="B1" s="2700"/>
      <c r="C1" s="2700"/>
      <c r="D1" s="2700"/>
      <c r="E1" s="2700"/>
      <c r="F1" s="2700"/>
      <c r="G1" s="2700"/>
      <c r="H1" s="2700"/>
      <c r="I1" s="2700"/>
      <c r="J1" s="2700"/>
      <c r="K1" s="2700"/>
      <c r="L1" s="2700"/>
      <c r="M1" s="2700"/>
      <c r="N1" s="2700"/>
      <c r="O1" s="2700"/>
      <c r="P1" s="2700"/>
      <c r="Q1" s="2700"/>
      <c r="R1" s="2700"/>
      <c r="S1" s="2700"/>
    </row>
    <row r="2" spans="1:19" ht="15" customHeight="1">
      <c r="A2" s="2700"/>
      <c r="B2" s="2700"/>
      <c r="C2" s="2700"/>
      <c r="D2" s="2700"/>
      <c r="E2" s="2700"/>
      <c r="F2" s="2700"/>
      <c r="G2" s="2700"/>
      <c r="H2" s="2700"/>
      <c r="I2" s="2700"/>
      <c r="J2" s="2700"/>
      <c r="K2" s="2700"/>
      <c r="L2" s="2700"/>
      <c r="M2" s="2700"/>
      <c r="N2" s="2700"/>
      <c r="O2" s="2700"/>
      <c r="P2" s="2700"/>
      <c r="Q2" s="2700"/>
      <c r="R2" s="2700"/>
      <c r="S2" s="2700"/>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701" t="s">
        <v>1833</v>
      </c>
      <c r="C4" s="2701"/>
      <c r="D4" s="2701"/>
      <c r="E4" s="2701"/>
      <c r="F4" s="2701"/>
      <c r="G4" s="2701"/>
      <c r="H4" s="2701"/>
      <c r="I4" s="2701"/>
      <c r="J4" s="2701"/>
      <c r="K4" s="2701"/>
      <c r="L4" s="2701"/>
      <c r="M4" s="2701"/>
      <c r="N4" s="2701"/>
      <c r="O4" s="2701"/>
      <c r="P4" s="2701"/>
      <c r="Q4" s="2701"/>
      <c r="R4" s="2701"/>
      <c r="S4" s="817"/>
    </row>
    <row r="5" spans="1:19" ht="15" customHeight="1">
      <c r="A5" s="816"/>
      <c r="B5" s="2701"/>
      <c r="C5" s="2701"/>
      <c r="D5" s="2701"/>
      <c r="E5" s="2701"/>
      <c r="F5" s="2701"/>
      <c r="G5" s="2701"/>
      <c r="H5" s="2701"/>
      <c r="I5" s="2701"/>
      <c r="J5" s="2701"/>
      <c r="K5" s="2701"/>
      <c r="L5" s="2701"/>
      <c r="M5" s="2701"/>
      <c r="N5" s="2701"/>
      <c r="O5" s="2701"/>
      <c r="P5" s="2701"/>
      <c r="Q5" s="2701"/>
      <c r="R5" s="2701"/>
      <c r="S5" s="817"/>
    </row>
    <row r="6" spans="1:19" ht="15" customHeight="1">
      <c r="A6" s="816"/>
      <c r="B6" s="2701"/>
      <c r="C6" s="2701"/>
      <c r="D6" s="2701"/>
      <c r="E6" s="2701"/>
      <c r="F6" s="2701"/>
      <c r="G6" s="2701"/>
      <c r="H6" s="2701"/>
      <c r="I6" s="2701"/>
      <c r="J6" s="2701"/>
      <c r="K6" s="2701"/>
      <c r="L6" s="2701"/>
      <c r="M6" s="2701"/>
      <c r="N6" s="2701"/>
      <c r="O6" s="2701"/>
      <c r="P6" s="2701"/>
      <c r="Q6" s="2701"/>
      <c r="R6" s="2701"/>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701" t="s">
        <v>1909</v>
      </c>
      <c r="C8" s="2701"/>
      <c r="D8" s="2701"/>
      <c r="E8" s="2701"/>
      <c r="F8" s="2701"/>
      <c r="G8" s="2701"/>
      <c r="H8" s="2701"/>
      <c r="I8" s="2701"/>
      <c r="J8" s="2701"/>
      <c r="K8" s="2701"/>
      <c r="L8" s="2701"/>
      <c r="M8" s="2701"/>
      <c r="N8" s="2701"/>
      <c r="O8" s="2701"/>
      <c r="P8" s="2701"/>
      <c r="Q8" s="2701"/>
      <c r="R8" s="2701"/>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702" t="s">
        <v>1910</v>
      </c>
      <c r="C10" s="2702"/>
      <c r="D10" s="2702"/>
      <c r="E10" s="2702"/>
      <c r="F10" s="2702"/>
      <c r="G10" s="2702"/>
      <c r="H10" s="2702"/>
      <c r="I10" s="2702"/>
      <c r="J10" s="2702"/>
      <c r="K10" s="2702"/>
      <c r="L10" s="2702"/>
      <c r="M10" s="2702"/>
      <c r="N10" s="2702"/>
      <c r="O10" s="2702"/>
      <c r="P10" s="2702"/>
      <c r="Q10" s="2702"/>
      <c r="R10" s="2702"/>
      <c r="S10" s="817"/>
    </row>
    <row r="11" spans="1:19" ht="15" customHeight="1">
      <c r="A11" s="816"/>
      <c r="B11" s="2702"/>
      <c r="C11" s="2702"/>
      <c r="D11" s="2702"/>
      <c r="E11" s="2702"/>
      <c r="F11" s="2702"/>
      <c r="G11" s="2702"/>
      <c r="H11" s="2702"/>
      <c r="I11" s="2702"/>
      <c r="J11" s="2702"/>
      <c r="K11" s="2702"/>
      <c r="L11" s="2702"/>
      <c r="M11" s="2702"/>
      <c r="N11" s="2702"/>
      <c r="O11" s="2702"/>
      <c r="P11" s="2702"/>
      <c r="Q11" s="2702"/>
      <c r="R11" s="2702"/>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702" t="s">
        <v>2222</v>
      </c>
      <c r="C13" s="2702"/>
      <c r="D13" s="2702"/>
      <c r="E13" s="2702"/>
      <c r="F13" s="2702"/>
      <c r="G13" s="2702"/>
      <c r="H13" s="2702"/>
      <c r="I13" s="2702"/>
      <c r="J13" s="2702"/>
      <c r="K13" s="2702"/>
      <c r="L13" s="2702"/>
      <c r="M13" s="2702"/>
      <c r="N13" s="2702"/>
      <c r="O13" s="2702"/>
      <c r="P13" s="2702"/>
      <c r="Q13" s="2702"/>
      <c r="R13" s="2702"/>
      <c r="S13" s="817"/>
    </row>
    <row r="14" spans="1:19" ht="15" customHeight="1">
      <c r="A14" s="816"/>
      <c r="B14" s="2702"/>
      <c r="C14" s="2702"/>
      <c r="D14" s="2702"/>
      <c r="E14" s="2702"/>
      <c r="F14" s="2702"/>
      <c r="G14" s="2702"/>
      <c r="H14" s="2702"/>
      <c r="I14" s="2702"/>
      <c r="J14" s="2702"/>
      <c r="K14" s="2702"/>
      <c r="L14" s="2702"/>
      <c r="M14" s="2702"/>
      <c r="N14" s="2702"/>
      <c r="O14" s="2702"/>
      <c r="P14" s="2702"/>
      <c r="Q14" s="2702"/>
      <c r="R14" s="2702"/>
      <c r="S14" s="817"/>
    </row>
    <row r="15" spans="1:19" ht="15" customHeight="1">
      <c r="A15" s="816"/>
      <c r="B15" s="2702"/>
      <c r="C15" s="2702"/>
      <c r="D15" s="2702"/>
      <c r="E15" s="2702"/>
      <c r="F15" s="2702"/>
      <c r="G15" s="2702"/>
      <c r="H15" s="2702"/>
      <c r="I15" s="2702"/>
      <c r="J15" s="2702"/>
      <c r="K15" s="2702"/>
      <c r="L15" s="2702"/>
      <c r="M15" s="2702"/>
      <c r="N15" s="2702"/>
      <c r="O15" s="2702"/>
      <c r="P15" s="2702"/>
      <c r="Q15" s="2702"/>
      <c r="R15" s="2702"/>
      <c r="S15" s="817"/>
    </row>
    <row r="16" spans="1:19" ht="15" customHeight="1">
      <c r="A16" s="816"/>
      <c r="B16" s="2702"/>
      <c r="C16" s="2702"/>
      <c r="D16" s="2702"/>
      <c r="E16" s="2702"/>
      <c r="F16" s="2702"/>
      <c r="G16" s="2702"/>
      <c r="H16" s="2702"/>
      <c r="I16" s="2702"/>
      <c r="J16" s="2702"/>
      <c r="K16" s="2702"/>
      <c r="L16" s="2702"/>
      <c r="M16" s="2702"/>
      <c r="N16" s="2702"/>
      <c r="O16" s="2702"/>
      <c r="P16" s="2702"/>
      <c r="Q16" s="2702"/>
      <c r="R16" s="2702"/>
      <c r="S16" s="817"/>
    </row>
    <row r="17" spans="1:19" ht="15" customHeight="1">
      <c r="A17" s="816"/>
      <c r="B17" s="2702"/>
      <c r="C17" s="2702"/>
      <c r="D17" s="2702"/>
      <c r="E17" s="2702"/>
      <c r="F17" s="2702"/>
      <c r="G17" s="2702"/>
      <c r="H17" s="2702"/>
      <c r="I17" s="2702"/>
      <c r="J17" s="2702"/>
      <c r="K17" s="2702"/>
      <c r="L17" s="2702"/>
      <c r="M17" s="2702"/>
      <c r="N17" s="2702"/>
      <c r="O17" s="2702"/>
      <c r="P17" s="2702"/>
      <c r="Q17" s="2702"/>
      <c r="R17" s="2702"/>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703" t="s">
        <v>2032</v>
      </c>
      <c r="C19" s="2703"/>
      <c r="D19" s="2703"/>
      <c r="E19" s="2703"/>
      <c r="F19" s="2703"/>
      <c r="G19" s="2703"/>
      <c r="H19" s="2703"/>
      <c r="I19" s="2703"/>
      <c r="J19" s="2703"/>
      <c r="K19" s="2703"/>
      <c r="L19" s="2703"/>
      <c r="M19" s="2703"/>
      <c r="N19" s="2703"/>
      <c r="O19" s="2703"/>
      <c r="P19" s="2703"/>
      <c r="Q19" s="2703"/>
      <c r="R19" s="2703"/>
      <c r="S19" s="817"/>
    </row>
    <row r="20" spans="1:19" ht="15" customHeight="1">
      <c r="A20" s="816"/>
      <c r="B20" s="2703"/>
      <c r="C20" s="2703"/>
      <c r="D20" s="2703"/>
      <c r="E20" s="2703"/>
      <c r="F20" s="2703"/>
      <c r="G20" s="2703"/>
      <c r="H20" s="2703"/>
      <c r="I20" s="2703"/>
      <c r="J20" s="2703"/>
      <c r="K20" s="2703"/>
      <c r="L20" s="2703"/>
      <c r="M20" s="2703"/>
      <c r="N20" s="2703"/>
      <c r="O20" s="2703"/>
      <c r="P20" s="2703"/>
      <c r="Q20" s="2703"/>
      <c r="R20" s="2703"/>
      <c r="S20" s="817"/>
    </row>
    <row r="21" spans="1:19" ht="15" customHeight="1">
      <c r="A21" s="816"/>
      <c r="B21" s="2703"/>
      <c r="C21" s="2703"/>
      <c r="D21" s="2703"/>
      <c r="E21" s="2703"/>
      <c r="F21" s="2703"/>
      <c r="G21" s="2703"/>
      <c r="H21" s="2703"/>
      <c r="I21" s="2703"/>
      <c r="J21" s="2703"/>
      <c r="K21" s="2703"/>
      <c r="L21" s="2703"/>
      <c r="M21" s="2703"/>
      <c r="N21" s="2703"/>
      <c r="O21" s="2703"/>
      <c r="P21" s="2703"/>
      <c r="Q21" s="2703"/>
      <c r="R21" s="2703"/>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703" t="s">
        <v>2033</v>
      </c>
      <c r="C23" s="2703"/>
      <c r="D23" s="2703"/>
      <c r="E23" s="2703"/>
      <c r="F23" s="2703"/>
      <c r="G23" s="2703"/>
      <c r="H23" s="2703"/>
      <c r="I23" s="2703"/>
      <c r="J23" s="2703"/>
      <c r="K23" s="2703"/>
      <c r="L23" s="2703"/>
      <c r="M23" s="2703"/>
      <c r="N23" s="2703"/>
      <c r="O23" s="2703"/>
      <c r="P23" s="2703"/>
      <c r="Q23" s="2703"/>
      <c r="R23" s="2703"/>
      <c r="S23" s="817"/>
    </row>
    <row r="24" spans="1:19" ht="15" customHeight="1">
      <c r="A24" s="818"/>
      <c r="B24" s="2703"/>
      <c r="C24" s="2703"/>
      <c r="D24" s="2703"/>
      <c r="E24" s="2703"/>
      <c r="F24" s="2703"/>
      <c r="G24" s="2703"/>
      <c r="H24" s="2703"/>
      <c r="I24" s="2703"/>
      <c r="J24" s="2703"/>
      <c r="K24" s="2703"/>
      <c r="L24" s="2703"/>
      <c r="M24" s="2703"/>
      <c r="N24" s="2703"/>
      <c r="O24" s="2703"/>
      <c r="P24" s="2703"/>
      <c r="Q24" s="2703"/>
      <c r="R24" s="2703"/>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701" t="s">
        <v>1908</v>
      </c>
      <c r="C26" s="2701"/>
      <c r="D26" s="2701"/>
      <c r="E26" s="2701"/>
      <c r="F26" s="2701"/>
      <c r="G26" s="2701"/>
      <c r="H26" s="2701"/>
      <c r="I26" s="2701"/>
      <c r="J26" s="2701"/>
      <c r="K26" s="2701"/>
      <c r="L26" s="2701"/>
      <c r="M26" s="2701"/>
      <c r="N26" s="2701"/>
      <c r="O26" s="2701"/>
      <c r="P26" s="2701"/>
      <c r="Q26" s="2701"/>
      <c r="R26" s="2701"/>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156</v>
      </c>
      <c r="C28" s="818"/>
      <c r="D28" s="818"/>
      <c r="E28" s="818"/>
      <c r="F28" s="818"/>
      <c r="G28" s="818"/>
      <c r="H28" s="818"/>
      <c r="I28" s="818"/>
      <c r="J28" s="818"/>
      <c r="K28" s="818"/>
      <c r="L28" s="818"/>
      <c r="M28" s="818"/>
      <c r="N28" s="818"/>
      <c r="O28" s="818"/>
      <c r="P28" s="818"/>
      <c r="Q28" s="818"/>
      <c r="R28" s="818"/>
      <c r="S28" s="818"/>
    </row>
    <row r="29" spans="1:19" ht="15" customHeight="1">
      <c r="A29" s="818"/>
      <c r="B29" s="2708" t="s">
        <v>1812</v>
      </c>
      <c r="C29" s="2708"/>
      <c r="D29" s="2708"/>
      <c r="E29" s="2708"/>
      <c r="F29" s="2708"/>
      <c r="G29" s="2708"/>
      <c r="H29" s="820"/>
      <c r="I29" s="820"/>
      <c r="J29" s="820"/>
      <c r="K29" s="820"/>
      <c r="L29" s="820"/>
      <c r="M29" s="820"/>
      <c r="N29" s="820"/>
      <c r="O29" s="2706" t="s">
        <v>1821</v>
      </c>
      <c r="P29" s="818"/>
      <c r="Q29" s="818"/>
      <c r="R29" s="818"/>
      <c r="S29" s="818"/>
    </row>
    <row r="30" spans="1:19" ht="15" customHeight="1">
      <c r="A30" s="818"/>
      <c r="B30" s="2708"/>
      <c r="C30" s="2708"/>
      <c r="D30" s="2708"/>
      <c r="E30" s="2708"/>
      <c r="F30" s="2708"/>
      <c r="G30" s="2708"/>
      <c r="H30" s="820"/>
      <c r="I30" s="820"/>
      <c r="J30" s="820"/>
      <c r="K30" s="820"/>
      <c r="L30" s="820"/>
      <c r="M30" s="820"/>
      <c r="N30" s="820"/>
      <c r="O30" s="2706"/>
      <c r="P30" s="818"/>
      <c r="Q30" s="818"/>
      <c r="R30" s="818"/>
      <c r="S30" s="818"/>
    </row>
    <row r="31" spans="1:19" ht="15" customHeight="1">
      <c r="A31" s="818"/>
      <c r="B31" s="2708"/>
      <c r="C31" s="2708"/>
      <c r="D31" s="2708"/>
      <c r="E31" s="2708"/>
      <c r="F31" s="2708"/>
      <c r="G31" s="2708"/>
      <c r="H31" s="820"/>
      <c r="I31" s="820"/>
      <c r="J31" s="820"/>
      <c r="K31" s="820"/>
      <c r="L31" s="820"/>
      <c r="M31" s="820"/>
      <c r="N31" s="820"/>
      <c r="O31" s="2706"/>
      <c r="P31" s="818"/>
      <c r="Q31" s="818"/>
      <c r="R31" s="818"/>
      <c r="S31" s="818"/>
    </row>
    <row r="32" spans="1:19" ht="15" customHeight="1">
      <c r="A32" s="818"/>
      <c r="B32" s="2709"/>
      <c r="C32" s="2709"/>
      <c r="D32" s="2709"/>
      <c r="E32" s="2709"/>
      <c r="F32" s="2709"/>
      <c r="G32" s="2709"/>
      <c r="H32" s="818"/>
      <c r="I32" s="2675" t="s">
        <v>155</v>
      </c>
      <c r="J32" s="2667" t="s">
        <v>1095</v>
      </c>
      <c r="K32" s="2710">
        <v>1</v>
      </c>
      <c r="L32" s="818"/>
      <c r="M32" s="821"/>
      <c r="N32" s="818"/>
      <c r="O32" s="2707"/>
      <c r="P32" s="2667" t="s">
        <v>2220</v>
      </c>
      <c r="Q32" s="818"/>
      <c r="R32" s="818"/>
      <c r="S32" s="818"/>
    </row>
    <row r="33" spans="1:19" ht="15" customHeight="1">
      <c r="A33" s="818"/>
      <c r="B33" s="2665" t="s">
        <v>1816</v>
      </c>
      <c r="C33" s="2665"/>
      <c r="D33" s="2665"/>
      <c r="E33" s="2665"/>
      <c r="F33" s="2665"/>
      <c r="G33" s="2665"/>
      <c r="H33" s="818"/>
      <c r="I33" s="2675"/>
      <c r="J33" s="2667"/>
      <c r="K33" s="2710"/>
      <c r="L33" s="818"/>
      <c r="M33" s="822"/>
      <c r="N33" s="818"/>
      <c r="O33" s="2665" t="s">
        <v>1816</v>
      </c>
      <c r="P33" s="2667"/>
      <c r="Q33" s="818"/>
      <c r="R33" s="818"/>
      <c r="S33" s="818"/>
    </row>
    <row r="34" spans="1:19" ht="15" customHeight="1">
      <c r="A34" s="818"/>
      <c r="B34" s="2666"/>
      <c r="C34" s="2666"/>
      <c r="D34" s="2666"/>
      <c r="E34" s="2666"/>
      <c r="F34" s="2666"/>
      <c r="G34" s="2666"/>
      <c r="H34" s="818"/>
      <c r="I34" s="1050"/>
      <c r="J34" s="1049"/>
      <c r="K34" s="1051"/>
      <c r="L34" s="818"/>
      <c r="M34" s="822"/>
      <c r="N34" s="818"/>
      <c r="O34" s="2666"/>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89" t="s">
        <v>1804</v>
      </c>
      <c r="C37" s="2689"/>
      <c r="D37" s="2689"/>
      <c r="E37" s="2689"/>
      <c r="F37" s="829"/>
      <c r="G37" s="829"/>
      <c r="H37" s="830"/>
      <c r="I37" s="831"/>
      <c r="J37" s="831"/>
      <c r="P37" s="818"/>
      <c r="Q37" s="832"/>
      <c r="R37" s="832"/>
      <c r="S37" s="818"/>
    </row>
    <row r="38" spans="1:19" ht="15" customHeight="1">
      <c r="A38" s="818"/>
      <c r="B38" s="2694" t="s">
        <v>1822</v>
      </c>
      <c r="C38" s="2694"/>
      <c r="D38" s="2694"/>
      <c r="E38" s="2694"/>
      <c r="F38" s="1045"/>
      <c r="G38" s="833">
        <f>D110</f>
        <v>2100486.2916294788</v>
      </c>
      <c r="H38" s="834"/>
      <c r="I38" s="835"/>
      <c r="J38" s="834"/>
      <c r="L38" s="1325"/>
      <c r="M38" s="1325"/>
      <c r="N38" s="1325"/>
      <c r="O38" s="1325"/>
      <c r="P38" s="781"/>
      <c r="Q38" s="2664"/>
      <c r="R38" s="2664"/>
      <c r="S38" s="781"/>
    </row>
    <row r="39" spans="1:19" ht="15" customHeight="1">
      <c r="A39" s="597"/>
      <c r="B39" s="2695" t="s">
        <v>1417</v>
      </c>
      <c r="C39" s="2695"/>
      <c r="D39" s="2695"/>
      <c r="E39" s="2695"/>
      <c r="F39" s="1045"/>
      <c r="G39" s="1002"/>
      <c r="H39" s="834"/>
      <c r="I39" s="835"/>
      <c r="J39" s="834"/>
      <c r="L39" s="834"/>
      <c r="M39" s="832"/>
      <c r="N39" s="832"/>
      <c r="O39" s="832"/>
      <c r="P39" s="781"/>
      <c r="Q39" s="1182"/>
      <c r="R39" s="1182"/>
      <c r="S39" s="781"/>
    </row>
    <row r="40" spans="1:19" ht="15" customHeight="1">
      <c r="A40" s="597"/>
      <c r="B40" s="2695" t="s">
        <v>1418</v>
      </c>
      <c r="C40" s="2695"/>
      <c r="D40" s="2695"/>
      <c r="E40" s="2695"/>
      <c r="F40" s="1045"/>
      <c r="G40" s="1002"/>
      <c r="H40" s="834"/>
      <c r="I40" s="835"/>
      <c r="J40" s="834"/>
      <c r="K40" s="2699"/>
      <c r="L40" s="2699"/>
      <c r="M40" s="2699"/>
      <c r="N40" s="2699"/>
      <c r="O40" s="2699"/>
      <c r="P40" s="1074"/>
      <c r="Q40" s="2664"/>
      <c r="R40" s="2664"/>
      <c r="S40" s="818"/>
    </row>
    <row r="41" spans="1:19" ht="15" customHeight="1">
      <c r="A41" s="597"/>
      <c r="B41" s="2696" t="s">
        <v>1817</v>
      </c>
      <c r="C41" s="2696"/>
      <c r="D41" s="2696"/>
      <c r="E41" s="2696"/>
      <c r="F41" s="1045"/>
      <c r="G41" s="834"/>
      <c r="H41" s="834"/>
      <c r="I41" s="835"/>
      <c r="J41" s="834"/>
      <c r="K41" s="834"/>
      <c r="L41" s="834"/>
      <c r="M41" s="832"/>
      <c r="N41" s="832"/>
      <c r="O41" s="832"/>
      <c r="P41" s="781"/>
      <c r="Q41" s="836"/>
      <c r="R41" s="836"/>
      <c r="S41" s="818"/>
    </row>
    <row r="42" spans="1:19" ht="15" customHeight="1">
      <c r="A42" s="597"/>
      <c r="B42" s="1004" t="s">
        <v>2535</v>
      </c>
      <c r="C42" s="1004"/>
      <c r="D42" s="997"/>
      <c r="E42" s="1048">
        <v>1614460</v>
      </c>
      <c r="F42" s="1045"/>
      <c r="G42" s="834"/>
      <c r="H42" s="834"/>
      <c r="I42" s="835"/>
      <c r="J42" s="834"/>
      <c r="K42" s="2699"/>
      <c r="L42" s="2699"/>
      <c r="M42" s="2699"/>
      <c r="N42" s="2699"/>
      <c r="O42" s="2699"/>
      <c r="P42" s="1074"/>
      <c r="Q42" s="2664"/>
      <c r="R42" s="2664"/>
      <c r="S42" s="818"/>
    </row>
    <row r="43" spans="1:19" ht="15" customHeight="1">
      <c r="A43" s="597"/>
      <c r="B43" s="1004" t="s">
        <v>2455</v>
      </c>
      <c r="C43" s="1004"/>
      <c r="D43" s="813"/>
      <c r="E43" s="1314">
        <v>660011</v>
      </c>
      <c r="F43" s="1045"/>
      <c r="G43" s="834"/>
      <c r="H43" s="834"/>
      <c r="I43" s="835"/>
      <c r="J43" s="834"/>
      <c r="L43" s="834"/>
      <c r="M43" s="832"/>
      <c r="N43" s="832"/>
      <c r="O43" s="832"/>
      <c r="P43" s="781"/>
      <c r="Q43" s="836"/>
      <c r="R43" s="836"/>
      <c r="S43" s="818"/>
    </row>
    <row r="44" spans="1:19" ht="15" customHeight="1">
      <c r="A44" s="597"/>
      <c r="B44" s="1004" t="s">
        <v>2464</v>
      </c>
      <c r="C44" s="1004"/>
      <c r="D44" s="813"/>
      <c r="E44" s="1048">
        <v>805549</v>
      </c>
      <c r="F44" s="1045"/>
      <c r="G44" s="834"/>
      <c r="H44" s="834"/>
      <c r="I44" s="835"/>
      <c r="K44" s="1331" t="s">
        <v>2102</v>
      </c>
      <c r="P44" s="1074"/>
      <c r="Q44" s="2664"/>
      <c r="R44" s="2664"/>
      <c r="S44" s="818"/>
    </row>
    <row r="45" spans="1:19" ht="15" customHeight="1">
      <c r="A45" s="597"/>
      <c r="B45" s="1004" t="s">
        <v>2536</v>
      </c>
      <c r="C45" s="1004"/>
      <c r="D45" s="813"/>
      <c r="E45" s="1048">
        <v>2492956</v>
      </c>
      <c r="F45" s="1045"/>
      <c r="G45" s="834"/>
      <c r="H45" s="834"/>
      <c r="I45" s="835"/>
      <c r="K45" s="1332" t="s">
        <v>2097</v>
      </c>
      <c r="L45" s="1332"/>
      <c r="M45" s="834"/>
      <c r="N45" s="834"/>
      <c r="O45" s="834"/>
      <c r="P45" s="834"/>
      <c r="Q45" s="597"/>
      <c r="R45" s="597"/>
      <c r="S45" s="818"/>
    </row>
    <row r="46" spans="1:19" ht="15" customHeight="1">
      <c r="A46" s="597"/>
      <c r="B46" s="1004" t="s">
        <v>2483</v>
      </c>
      <c r="C46" s="1004"/>
      <c r="D46" s="813"/>
      <c r="E46" s="1048">
        <v>4529506</v>
      </c>
      <c r="F46" s="1045"/>
      <c r="G46" s="834"/>
      <c r="H46" s="834"/>
      <c r="I46" s="835"/>
      <c r="J46" s="834"/>
      <c r="K46" s="2670" t="s">
        <v>2098</v>
      </c>
      <c r="L46" s="2670"/>
      <c r="M46" s="2670"/>
      <c r="N46" s="2670"/>
      <c r="O46" s="2670"/>
      <c r="P46" s="818"/>
      <c r="Q46" s="2668"/>
      <c r="R46" s="2668"/>
      <c r="S46" s="818"/>
    </row>
    <row r="47" spans="1:19" ht="15" customHeight="1">
      <c r="A47" s="597"/>
      <c r="B47" s="1004" t="s">
        <v>2456</v>
      </c>
      <c r="C47" s="1004"/>
      <c r="D47" s="813"/>
      <c r="E47" s="1048">
        <v>2000000</v>
      </c>
      <c r="F47" s="1045"/>
      <c r="G47" s="834"/>
      <c r="H47" s="834"/>
      <c r="I47" s="835"/>
      <c r="J47" s="834"/>
      <c r="K47" s="2669" t="s">
        <v>2099</v>
      </c>
      <c r="L47" s="2669"/>
      <c r="M47" s="2669"/>
      <c r="N47" s="2669"/>
      <c r="O47" s="2669"/>
      <c r="P47" s="818"/>
      <c r="Q47" s="2705"/>
      <c r="R47" s="2705"/>
      <c r="S47" s="818"/>
    </row>
    <row r="48" spans="1:19" ht="15" customHeight="1">
      <c r="A48" s="597"/>
      <c r="B48" s="1004"/>
      <c r="C48" s="1004"/>
      <c r="D48" s="813"/>
      <c r="E48" s="1048"/>
      <c r="F48" s="1045"/>
      <c r="G48" s="834"/>
      <c r="H48" s="834"/>
      <c r="I48" s="835"/>
      <c r="J48" s="834"/>
      <c r="K48" s="2704" t="s">
        <v>2100</v>
      </c>
      <c r="L48" s="2704"/>
      <c r="M48" s="2704"/>
      <c r="N48" s="2704"/>
      <c r="O48" s="2704"/>
      <c r="P48" s="818"/>
      <c r="Q48" s="2670">
        <f>Q46+Q47</f>
        <v>0</v>
      </c>
      <c r="R48" s="2670"/>
      <c r="S48" s="818"/>
    </row>
    <row r="49" spans="1:29" ht="15" customHeight="1">
      <c r="A49" s="597"/>
      <c r="B49" s="1004"/>
      <c r="C49" s="1004"/>
      <c r="D49" s="813"/>
      <c r="E49" s="1048"/>
      <c r="F49" s="1045"/>
      <c r="G49" s="834"/>
      <c r="H49" s="834"/>
      <c r="I49" s="835"/>
      <c r="J49" s="834"/>
      <c r="K49" s="597"/>
      <c r="L49" s="597"/>
      <c r="M49" s="597"/>
      <c r="N49" s="597"/>
      <c r="O49" s="597"/>
      <c r="P49" s="597"/>
      <c r="Q49" s="597"/>
      <c r="R49" s="597"/>
      <c r="S49" s="818"/>
    </row>
    <row r="50" spans="1:29" ht="15" customHeight="1">
      <c r="A50" s="597"/>
      <c r="B50" s="1000" t="s">
        <v>1911</v>
      </c>
      <c r="C50" s="1000"/>
      <c r="D50" s="1003"/>
      <c r="E50" s="1001">
        <f>'Sources and Uses Budget'!B15</f>
        <v>0</v>
      </c>
      <c r="F50" s="1045"/>
      <c r="G50" s="834"/>
      <c r="H50" s="834"/>
      <c r="I50" s="835"/>
      <c r="J50" s="834"/>
      <c r="K50" s="597"/>
      <c r="L50" s="597"/>
      <c r="M50" s="597"/>
      <c r="N50" s="597"/>
      <c r="O50" s="597"/>
      <c r="P50" s="597"/>
      <c r="Q50" s="597"/>
      <c r="R50" s="597"/>
      <c r="S50" s="818"/>
    </row>
    <row r="51" spans="1:29" ht="15" customHeight="1">
      <c r="A51" s="597"/>
      <c r="B51" s="999" t="s">
        <v>1486</v>
      </c>
      <c r="C51" s="999"/>
      <c r="D51" s="1003"/>
      <c r="E51" s="1001">
        <v>142923</v>
      </c>
      <c r="F51" s="1045"/>
      <c r="G51" s="834"/>
      <c r="H51" s="834"/>
      <c r="I51" s="835"/>
      <c r="J51" s="834"/>
      <c r="K51" s="597"/>
      <c r="L51" s="597"/>
      <c r="M51" s="597"/>
      <c r="N51" s="597"/>
      <c r="O51" s="597"/>
      <c r="P51" s="597"/>
      <c r="Q51" s="597"/>
      <c r="R51" s="597"/>
      <c r="S51" s="818"/>
    </row>
    <row r="52" spans="1:29" s="817" customFormat="1" ht="15" customHeight="1">
      <c r="B52" s="2694" t="s">
        <v>1813</v>
      </c>
      <c r="C52" s="2694"/>
      <c r="D52" s="2694"/>
      <c r="E52" s="2694"/>
      <c r="F52" s="1045"/>
      <c r="G52" s="833">
        <f>SUM(E42:E49)-ABS(E50)-ABS(E51)</f>
        <v>11959559</v>
      </c>
      <c r="H52" s="834"/>
      <c r="I52" s="835"/>
      <c r="J52" s="834"/>
    </row>
    <row r="53" spans="1:29" ht="15" customHeight="1">
      <c r="A53" s="597"/>
      <c r="B53" s="818"/>
      <c r="C53" s="839"/>
      <c r="D53" s="839" t="s">
        <v>973</v>
      </c>
      <c r="E53" s="840"/>
      <c r="F53" s="840"/>
      <c r="G53" s="841">
        <f>SUM(G38:G40)+G52</f>
        <v>14060045.291629478</v>
      </c>
      <c r="H53" s="837"/>
      <c r="I53" s="835"/>
      <c r="J53" s="834"/>
      <c r="K53" s="834"/>
      <c r="L53" s="834"/>
      <c r="M53" s="818"/>
      <c r="N53" s="818"/>
      <c r="O53" s="818"/>
      <c r="P53" s="818"/>
      <c r="Q53" s="818"/>
      <c r="R53" s="818"/>
      <c r="S53" s="818"/>
    </row>
    <row r="54" spans="1:29" ht="15" customHeight="1">
      <c r="A54" s="597"/>
      <c r="B54" s="842"/>
      <c r="C54" s="842"/>
      <c r="D54" s="842"/>
      <c r="E54" s="842"/>
      <c r="F54" s="842"/>
      <c r="G54" s="842"/>
      <c r="H54" s="824"/>
      <c r="I54" s="838"/>
      <c r="J54" s="838"/>
      <c r="K54" s="838"/>
      <c r="L54" s="838"/>
      <c r="M54" s="838"/>
      <c r="N54" s="838"/>
      <c r="O54" s="824"/>
      <c r="P54" s="824"/>
      <c r="Q54" s="824"/>
      <c r="R54" s="824"/>
      <c r="S54" s="818"/>
    </row>
    <row r="55" spans="1:29" ht="15" customHeight="1">
      <c r="A55" s="597"/>
      <c r="B55" s="1045"/>
      <c r="C55" s="1045"/>
      <c r="D55" s="1045"/>
      <c r="E55" s="1045"/>
      <c r="F55" s="1045"/>
      <c r="G55" s="1045"/>
      <c r="H55" s="1045"/>
      <c r="I55" s="1045"/>
      <c r="J55" s="1045"/>
      <c r="K55" s="1045"/>
      <c r="L55" s="1045"/>
      <c r="M55" s="1045"/>
      <c r="N55" s="1045"/>
      <c r="O55" s="1045"/>
      <c r="P55" s="1045"/>
      <c r="Q55" s="818"/>
      <c r="R55" s="818"/>
      <c r="S55" s="818"/>
      <c r="U55" s="1260" t="s">
        <v>136</v>
      </c>
      <c r="AC55" s="1260" t="s">
        <v>1077</v>
      </c>
    </row>
    <row r="56" spans="1:29" ht="15" customHeight="1">
      <c r="A56" s="597"/>
      <c r="B56" s="2697" t="s">
        <v>1396</v>
      </c>
      <c r="C56" s="2697"/>
      <c r="D56" s="1045"/>
      <c r="E56" s="1045"/>
      <c r="F56" s="1045"/>
      <c r="G56" s="1045"/>
      <c r="H56" s="1045"/>
      <c r="I56" s="1045"/>
      <c r="J56" s="1045"/>
      <c r="K56" s="1045"/>
      <c r="L56" s="1045"/>
      <c r="M56" s="1045"/>
      <c r="N56" s="1045"/>
      <c r="O56" s="1045"/>
      <c r="P56" s="1045"/>
      <c r="Q56" s="818"/>
      <c r="R56" s="818"/>
      <c r="S56" s="818"/>
      <c r="U56" s="1259" t="s">
        <v>2026</v>
      </c>
      <c r="AC56" s="1313">
        <v>0.2</v>
      </c>
    </row>
    <row r="57" spans="1:29" ht="15" customHeight="1">
      <c r="A57" s="837"/>
      <c r="B57" s="2698" t="s">
        <v>1807</v>
      </c>
      <c r="C57" s="2698"/>
      <c r="D57" s="2698"/>
      <c r="E57" s="2698"/>
      <c r="F57" s="2698"/>
      <c r="G57" s="2698"/>
      <c r="H57" s="2698"/>
      <c r="I57" s="2698"/>
      <c r="J57" s="2698"/>
      <c r="K57" s="2698"/>
      <c r="L57" s="2698"/>
      <c r="M57" s="2698"/>
      <c r="N57" s="2698"/>
      <c r="O57" s="2698"/>
      <c r="P57" s="1045"/>
      <c r="Q57" s="818"/>
      <c r="R57" s="818"/>
      <c r="S57" s="818"/>
      <c r="U57" s="1259" t="s">
        <v>2027</v>
      </c>
      <c r="AC57" s="1313">
        <v>0.1</v>
      </c>
    </row>
    <row r="58" spans="1:29" ht="15" customHeight="1">
      <c r="A58" s="818"/>
      <c r="B58" s="2689" t="s">
        <v>1806</v>
      </c>
      <c r="C58" s="2690"/>
      <c r="D58" s="2690"/>
      <c r="E58" s="2690"/>
      <c r="F58" s="844"/>
      <c r="G58" s="844"/>
      <c r="H58" s="845"/>
      <c r="I58" s="845"/>
      <c r="J58" s="2691">
        <f>('Sources and Uses Budget'!D104+Q47)/('Sources and Uses Budget'!B104+Q48)</f>
        <v>0</v>
      </c>
      <c r="K58" s="2692"/>
      <c r="L58" s="2692"/>
      <c r="M58" s="2692"/>
      <c r="N58" s="2693"/>
      <c r="O58" s="845"/>
      <c r="P58" s="845"/>
      <c r="Q58" s="818"/>
      <c r="R58" s="818"/>
      <c r="S58" s="818"/>
      <c r="U58" s="1259" t="s">
        <v>2028</v>
      </c>
      <c r="AC58" s="1313">
        <v>0.1</v>
      </c>
    </row>
    <row r="59" spans="1:29" ht="15" customHeight="1">
      <c r="A59" s="818"/>
      <c r="B59" s="2679" t="s">
        <v>2031</v>
      </c>
      <c r="C59" s="2679"/>
      <c r="D59" s="2679"/>
      <c r="E59" s="2679"/>
      <c r="F59" s="2679"/>
      <c r="G59" s="2679"/>
      <c r="H59" s="2679"/>
      <c r="I59" s="2679"/>
      <c r="J59" s="2679"/>
      <c r="K59" s="2679"/>
      <c r="L59" s="2679"/>
      <c r="M59" s="2679"/>
      <c r="N59" s="2679"/>
      <c r="O59" s="2679"/>
      <c r="P59" s="845"/>
      <c r="Q59" s="818"/>
      <c r="R59" s="818"/>
      <c r="S59" s="818"/>
      <c r="U59" s="1259" t="s">
        <v>2029</v>
      </c>
      <c r="AC59" s="1313">
        <v>0.05</v>
      </c>
    </row>
    <row r="60" spans="1:29" ht="15" customHeight="1" thickBot="1">
      <c r="A60" s="818"/>
      <c r="B60" s="2679"/>
      <c r="C60" s="2679"/>
      <c r="D60" s="2679"/>
      <c r="E60" s="2679"/>
      <c r="F60" s="2679"/>
      <c r="G60" s="2679"/>
      <c r="H60" s="2679"/>
      <c r="I60" s="2679"/>
      <c r="J60" s="2679"/>
      <c r="K60" s="2679"/>
      <c r="L60" s="2679"/>
      <c r="M60" s="2679"/>
      <c r="N60" s="2679"/>
      <c r="O60" s="2679"/>
      <c r="P60" s="845"/>
      <c r="Q60" s="818"/>
      <c r="R60" s="818"/>
      <c r="S60" s="818"/>
      <c r="U60" s="1260"/>
      <c r="AC60" s="1261"/>
    </row>
    <row r="61" spans="1:29" ht="15" customHeight="1">
      <c r="A61" s="818"/>
      <c r="B61" s="2680" t="s">
        <v>1808</v>
      </c>
      <c r="C61" s="2680"/>
      <c r="D61" s="2680"/>
      <c r="E61" s="2680"/>
      <c r="F61" s="2680"/>
      <c r="G61" s="2680"/>
      <c r="H61" s="2680"/>
      <c r="I61" s="2680"/>
      <c r="J61" s="2680"/>
      <c r="K61" s="2680"/>
      <c r="L61" s="2680"/>
      <c r="M61" s="2680"/>
      <c r="N61" s="2680"/>
      <c r="O61" s="2680"/>
      <c r="P61" s="845"/>
      <c r="Q61" s="818"/>
      <c r="R61" s="818"/>
      <c r="S61" s="818"/>
      <c r="U61" s="2711">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712"/>
    </row>
    <row r="63" spans="1:29" ht="15" customHeight="1">
      <c r="A63" s="818"/>
      <c r="B63" s="832"/>
      <c r="C63" s="832"/>
      <c r="D63" s="832"/>
      <c r="E63" s="1331"/>
      <c r="F63" s="832"/>
      <c r="G63" s="832"/>
      <c r="H63" s="832"/>
      <c r="I63" s="1269"/>
      <c r="J63" s="2685" t="s">
        <v>2221</v>
      </c>
      <c r="K63" s="2686"/>
      <c r="L63" s="2686"/>
      <c r="M63" s="2686"/>
      <c r="N63" s="2686"/>
      <c r="O63" s="2686"/>
      <c r="P63" s="2686"/>
      <c r="Q63" s="2686"/>
      <c r="R63" s="2686"/>
      <c r="S63" s="818"/>
      <c r="U63" s="2711">
        <f>IF(J67="Non-rural project, Census Tract is High Resource (10 percentage points)",AC57,0)</f>
        <v>0</v>
      </c>
    </row>
    <row r="64" spans="1:29" ht="15" customHeight="1" thickBot="1">
      <c r="A64" s="818"/>
      <c r="B64" s="2681" t="s">
        <v>1818</v>
      </c>
      <c r="C64" s="2681"/>
      <c r="D64" s="832"/>
      <c r="F64" s="832"/>
      <c r="G64" s="1333" t="s">
        <v>2101</v>
      </c>
      <c r="H64" s="832"/>
      <c r="I64" s="1270"/>
      <c r="J64" s="2687"/>
      <c r="K64" s="2688"/>
      <c r="L64" s="2688"/>
      <c r="M64" s="2688"/>
      <c r="N64" s="2688"/>
      <c r="O64" s="2688"/>
      <c r="P64" s="2688"/>
      <c r="Q64" s="2688"/>
      <c r="R64" s="2688"/>
      <c r="S64" s="818"/>
      <c r="U64" s="2712"/>
    </row>
    <row r="65" spans="1:22" ht="15" customHeight="1">
      <c r="A65" s="818"/>
      <c r="B65" s="847" t="s">
        <v>1811</v>
      </c>
      <c r="C65" s="1010" t="str">
        <f>IF(Application!M349="Yes","Yes","No")</f>
        <v>Yes</v>
      </c>
      <c r="E65" s="1334"/>
      <c r="F65" s="1334"/>
      <c r="G65" s="1335" t="s">
        <v>2103</v>
      </c>
      <c r="H65" s="832"/>
      <c r="I65" s="1270"/>
      <c r="J65" s="2687"/>
      <c r="K65" s="2688"/>
      <c r="L65" s="2688"/>
      <c r="M65" s="2688"/>
      <c r="N65" s="2688"/>
      <c r="O65" s="2688"/>
      <c r="P65" s="2688"/>
      <c r="Q65" s="2688"/>
      <c r="R65" s="2688"/>
      <c r="S65" s="818"/>
      <c r="U65" s="2711">
        <f>IF(J67="Rural project, Census Tract is Highest Resource (10 percentage points)",AC58,0)</f>
        <v>0</v>
      </c>
    </row>
    <row r="66" spans="1:22" ht="15" customHeight="1" thickBot="1">
      <c r="A66" s="818"/>
      <c r="B66" s="848" t="s">
        <v>1895</v>
      </c>
      <c r="C66" s="1011">
        <f>Application!AG430-Application!AG431</f>
        <v>50</v>
      </c>
      <c r="D66" s="1334"/>
      <c r="E66" s="848" t="s">
        <v>2104</v>
      </c>
      <c r="F66" s="1334"/>
      <c r="G66" s="1058"/>
      <c r="H66" s="849"/>
      <c r="I66" s="1271"/>
      <c r="J66" s="2687"/>
      <c r="K66" s="2688"/>
      <c r="L66" s="2688"/>
      <c r="M66" s="2688"/>
      <c r="N66" s="2688"/>
      <c r="O66" s="2688"/>
      <c r="P66" s="2688"/>
      <c r="Q66" s="2688"/>
      <c r="R66" s="2688"/>
      <c r="S66" s="818"/>
      <c r="U66" s="2712"/>
    </row>
    <row r="67" spans="1:22" ht="15" customHeight="1">
      <c r="A67" s="818"/>
      <c r="B67" s="848" t="s">
        <v>1805</v>
      </c>
      <c r="C67" s="1012">
        <f>MIN(IF(AND(C65="Yes",G67&gt;=50),(0.75+(G67/200)),1),1.5)</f>
        <v>1</v>
      </c>
      <c r="D67" s="849"/>
      <c r="E67" s="848" t="s">
        <v>1896</v>
      </c>
      <c r="G67" s="1011">
        <f>C66+G66</f>
        <v>50</v>
      </c>
      <c r="H67" s="849"/>
      <c r="I67" s="1271"/>
      <c r="J67" s="2684" t="s">
        <v>136</v>
      </c>
      <c r="K67" s="2684"/>
      <c r="L67" s="2684"/>
      <c r="M67" s="2684"/>
      <c r="N67" s="2684"/>
      <c r="O67" s="2684"/>
      <c r="P67" s="2684"/>
      <c r="Q67" s="2684"/>
      <c r="R67" s="2684"/>
      <c r="S67" s="818"/>
      <c r="U67" s="2711">
        <f>IF(J67="Rural project, Census Tract is High Resource (5 percentage points)",AC59,0)</f>
        <v>0</v>
      </c>
    </row>
    <row r="68" spans="1:22" ht="15" customHeight="1" thickBot="1">
      <c r="A68" s="818"/>
      <c r="B68" s="824"/>
      <c r="C68" s="824"/>
      <c r="D68" s="824"/>
      <c r="E68" s="824"/>
      <c r="F68" s="824"/>
      <c r="G68" s="824"/>
      <c r="H68" s="824"/>
      <c r="I68" s="1272"/>
      <c r="J68" s="824"/>
      <c r="K68" s="824"/>
      <c r="L68" s="824"/>
      <c r="M68" s="824"/>
      <c r="N68" s="824"/>
      <c r="O68" s="824"/>
      <c r="P68" s="824"/>
      <c r="Q68" s="824"/>
      <c r="R68" s="824"/>
      <c r="S68" s="818"/>
      <c r="U68" s="2712"/>
    </row>
    <row r="69" spans="1:22" ht="15" customHeight="1">
      <c r="A69" s="818"/>
      <c r="B69" s="818"/>
      <c r="C69" s="818"/>
      <c r="D69" s="818"/>
      <c r="E69" s="818"/>
      <c r="F69" s="818"/>
      <c r="G69" s="818"/>
      <c r="H69" s="818"/>
      <c r="I69" s="818"/>
      <c r="J69" s="818"/>
      <c r="K69" s="818"/>
      <c r="L69" s="818"/>
      <c r="M69" s="818"/>
      <c r="N69" s="818"/>
      <c r="O69" s="818"/>
      <c r="P69" s="818"/>
      <c r="Q69" s="818"/>
      <c r="R69" s="818"/>
      <c r="S69" s="818"/>
      <c r="U69" s="2715">
        <f>SUM(U61:U68)</f>
        <v>0</v>
      </c>
    </row>
    <row r="70" spans="1:22" ht="15" customHeight="1" thickBot="1">
      <c r="A70" s="818"/>
      <c r="B70" s="2682" t="s">
        <v>1815</v>
      </c>
      <c r="C70" s="2682"/>
      <c r="D70" s="819"/>
      <c r="E70" s="819"/>
      <c r="F70" s="819"/>
      <c r="G70" s="819"/>
      <c r="H70" s="818"/>
      <c r="I70" s="818"/>
      <c r="J70" s="818"/>
      <c r="K70" s="818"/>
      <c r="L70" s="818"/>
      <c r="M70" s="818"/>
      <c r="N70" s="818"/>
      <c r="O70" s="818"/>
      <c r="P70" s="818"/>
      <c r="Q70" s="818"/>
      <c r="R70" s="818"/>
      <c r="S70" s="818"/>
      <c r="U70" s="2716"/>
      <c r="V70" s="638" t="s">
        <v>2030</v>
      </c>
    </row>
    <row r="71" spans="1:22" ht="15" customHeight="1">
      <c r="A71" s="818"/>
      <c r="B71" s="2683" t="s">
        <v>1819</v>
      </c>
      <c r="C71" s="2683"/>
      <c r="D71" s="2683"/>
      <c r="E71" s="819"/>
      <c r="F71" s="819"/>
      <c r="G71" s="833">
        <f>G53*(1-J58)</f>
        <v>14060045.291629478</v>
      </c>
      <c r="H71" s="818"/>
      <c r="I71" s="818"/>
      <c r="J71" s="851"/>
      <c r="K71" s="1167" t="s">
        <v>1821</v>
      </c>
      <c r="L71" s="1167"/>
      <c r="M71" s="1167"/>
      <c r="N71" s="1167"/>
      <c r="O71" s="1167"/>
      <c r="P71" s="818"/>
      <c r="Q71" s="2670">
        <f>'Basis &amp; Credits'!T23+'Basis &amp; Credits'!Y23+'Basis &amp; Credits'!AD23+'Basis &amp; Credits'!AI23</f>
        <v>17290430</v>
      </c>
      <c r="R71" s="2670"/>
      <c r="S71" s="818"/>
    </row>
    <row r="72" spans="1:22" ht="15" customHeight="1">
      <c r="A72" s="818"/>
      <c r="B72" s="2672" t="s">
        <v>1820</v>
      </c>
      <c r="C72" s="2672"/>
      <c r="D72" s="2672"/>
      <c r="E72" s="819"/>
      <c r="F72" s="819"/>
      <c r="G72" s="833">
        <f>G71*C67</f>
        <v>14060045.291629478</v>
      </c>
      <c r="H72" s="818"/>
      <c r="I72" s="818"/>
      <c r="J72" s="851"/>
      <c r="K72" s="1273"/>
      <c r="L72" s="1273"/>
      <c r="M72" s="1273"/>
      <c r="N72" s="1273"/>
      <c r="O72" s="1273"/>
      <c r="P72" s="818"/>
      <c r="Q72" s="2664"/>
      <c r="R72" s="2664"/>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73">
        <f>$G$72</f>
        <v>14060045.291629478</v>
      </c>
      <c r="C75" s="2674"/>
      <c r="D75" s="2674"/>
      <c r="E75" s="2674"/>
      <c r="F75" s="2674"/>
      <c r="G75" s="2674"/>
      <c r="H75" s="852"/>
      <c r="I75" s="2675" t="s">
        <v>155</v>
      </c>
      <c r="J75" s="2667" t="s">
        <v>1095</v>
      </c>
      <c r="K75" s="2675">
        <v>1</v>
      </c>
      <c r="L75" s="818"/>
      <c r="M75" s="824"/>
      <c r="N75" s="850"/>
      <c r="O75" s="1060">
        <f>$Q$71</f>
        <v>17290430</v>
      </c>
      <c r="P75" s="2667" t="s">
        <v>2220</v>
      </c>
      <c r="Q75" s="2676" t="s">
        <v>154</v>
      </c>
      <c r="R75" s="2713">
        <f>((B75/B76)+((1-(O75/O76))/2))+U69</f>
        <v>0.65480588096754211</v>
      </c>
    </row>
    <row r="76" spans="1:22" ht="15" customHeight="1" thickBot="1">
      <c r="A76" s="818"/>
      <c r="B76" s="2677">
        <f>'Sources and Uses Budget'!$C$104+$Q$46-($E$50+$E$51)*(1-$J$58)</f>
        <v>34978195</v>
      </c>
      <c r="C76" s="2678"/>
      <c r="D76" s="2678"/>
      <c r="E76" s="2678"/>
      <c r="F76" s="2678"/>
      <c r="G76" s="2677"/>
      <c r="H76" s="818"/>
      <c r="I76" s="2675"/>
      <c r="J76" s="2667"/>
      <c r="K76" s="2675"/>
      <c r="L76" s="818"/>
      <c r="M76" s="1041"/>
      <c r="N76" s="818"/>
      <c r="O76" s="1059">
        <f>B76</f>
        <v>34978195</v>
      </c>
      <c r="P76" s="2667"/>
      <c r="Q76" s="2676"/>
      <c r="R76" s="2714"/>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6" t="s">
        <v>1814</v>
      </c>
      <c r="C79" s="832"/>
      <c r="D79" s="832"/>
      <c r="E79" s="832"/>
      <c r="F79" s="832"/>
      <c r="G79" s="832"/>
      <c r="H79" s="832"/>
      <c r="I79" s="832"/>
      <c r="J79" s="832"/>
      <c r="K79" s="832"/>
      <c r="L79" s="832"/>
      <c r="M79" s="832"/>
      <c r="N79" s="832"/>
      <c r="O79" s="832"/>
      <c r="P79" s="832"/>
      <c r="Q79" s="832"/>
      <c r="R79" s="832"/>
      <c r="S79" s="818"/>
    </row>
    <row r="80" spans="1:22" ht="15" customHeight="1">
      <c r="A80" s="818"/>
      <c r="C80" s="1166"/>
      <c r="D80" s="1166"/>
      <c r="E80" s="1166"/>
      <c r="F80" s="1166"/>
      <c r="G80" s="1166"/>
      <c r="H80" s="1166"/>
      <c r="I80" s="1166"/>
      <c r="J80" s="1166"/>
      <c r="K80" s="1166"/>
      <c r="L80" s="1166"/>
      <c r="M80" s="1166"/>
      <c r="N80" s="1166"/>
      <c r="O80" s="1166"/>
      <c r="P80" s="818"/>
      <c r="Q80" s="818"/>
      <c r="R80" s="818"/>
      <c r="S80" s="818"/>
    </row>
    <row r="81" spans="1:19" ht="15" customHeight="1">
      <c r="A81" s="818"/>
      <c r="B81" s="795" t="s">
        <v>2095</v>
      </c>
      <c r="C81" s="1047"/>
      <c r="D81" s="1047"/>
      <c r="E81" s="1047"/>
      <c r="F81" s="1047"/>
      <c r="G81" s="818"/>
      <c r="H81" s="1047"/>
      <c r="I81" s="835"/>
      <c r="J81" s="1047"/>
      <c r="K81" s="795" t="s">
        <v>2096</v>
      </c>
      <c r="L81" s="1047"/>
      <c r="M81" s="1047"/>
      <c r="N81" s="1047"/>
      <c r="O81" s="1047"/>
      <c r="P81" s="818"/>
      <c r="Q81" s="818"/>
      <c r="R81" s="818"/>
      <c r="S81" s="818"/>
    </row>
    <row r="82" spans="1:19" ht="15" customHeight="1">
      <c r="A82" s="818"/>
      <c r="B82" s="1290" t="s">
        <v>2036</v>
      </c>
      <c r="C82" s="1279"/>
      <c r="D82" s="1274"/>
      <c r="E82" s="1279"/>
      <c r="F82" s="1279"/>
      <c r="G82" s="1281"/>
      <c r="H82" s="818"/>
      <c r="I82" s="835"/>
      <c r="J82" s="818"/>
      <c r="L82" s="818"/>
      <c r="M82" s="818"/>
      <c r="N82" s="818"/>
      <c r="O82" s="818"/>
      <c r="P82" s="818"/>
      <c r="Q82" s="818"/>
      <c r="R82" s="818"/>
      <c r="S82" s="818"/>
    </row>
    <row r="83" spans="1:19" ht="15" customHeight="1">
      <c r="A83" s="818"/>
      <c r="B83" s="1288" t="s">
        <v>2039</v>
      </c>
      <c r="C83" s="1279"/>
      <c r="D83" s="1280"/>
      <c r="E83" s="1277"/>
      <c r="F83" s="1277"/>
      <c r="G83" s="1281"/>
      <c r="H83" s="818"/>
      <c r="I83" s="835"/>
      <c r="J83" s="818"/>
      <c r="K83" s="1262" t="s">
        <v>1897</v>
      </c>
      <c r="L83" s="818"/>
      <c r="M83" s="818"/>
      <c r="N83" s="818"/>
      <c r="O83" s="818"/>
      <c r="P83" s="818"/>
      <c r="Q83" s="818"/>
      <c r="R83" s="818"/>
      <c r="S83" s="818"/>
    </row>
    <row r="84" spans="1:19" ht="15" customHeight="1">
      <c r="A84" s="818"/>
      <c r="B84" s="1289" t="s">
        <v>2176</v>
      </c>
      <c r="C84" s="1282"/>
      <c r="D84" s="1283"/>
      <c r="E84" s="1275"/>
      <c r="F84" s="1275"/>
      <c r="G84" s="1284"/>
      <c r="H84" s="818"/>
      <c r="I84" s="835"/>
      <c r="J84" s="818"/>
      <c r="K84" s="1262" t="s">
        <v>1828</v>
      </c>
      <c r="L84" s="1163"/>
      <c r="M84" s="1163"/>
      <c r="N84" s="1163"/>
      <c r="O84" s="1163"/>
      <c r="P84" s="1163"/>
      <c r="Q84" s="2668"/>
      <c r="R84" s="2668"/>
      <c r="S84" s="818"/>
    </row>
    <row r="85" spans="1:19" ht="15" customHeight="1">
      <c r="A85" s="818"/>
      <c r="B85" s="1289" t="s">
        <v>2035</v>
      </c>
      <c r="C85" s="1285"/>
      <c r="D85" s="1286"/>
      <c r="E85" s="1278"/>
      <c r="F85" s="1278"/>
      <c r="G85" s="1287"/>
      <c r="H85" s="818"/>
      <c r="I85" s="835"/>
      <c r="J85" s="818"/>
      <c r="L85" s="1164"/>
      <c r="M85" s="1164"/>
      <c r="N85" s="1164"/>
      <c r="O85" s="1164"/>
      <c r="P85" s="1164"/>
      <c r="S85" s="818"/>
    </row>
    <row r="86" spans="1:19" ht="15" customHeight="1">
      <c r="A86" s="818"/>
      <c r="B86" s="1290" t="s">
        <v>2119</v>
      </c>
      <c r="C86" s="1282"/>
      <c r="D86" s="1283"/>
      <c r="E86" s="1275"/>
      <c r="F86" s="1275"/>
      <c r="G86" s="1276"/>
      <c r="H86" s="818"/>
      <c r="I86" s="835"/>
      <c r="J86" s="818"/>
      <c r="L86" s="1165"/>
      <c r="M86" s="1165"/>
      <c r="N86" s="1165"/>
      <c r="O86" s="1342" t="s">
        <v>1127</v>
      </c>
      <c r="P86" s="1165"/>
      <c r="Q86" s="818"/>
      <c r="R86" s="597"/>
      <c r="S86" s="818"/>
    </row>
    <row r="87" spans="1:19" ht="15" customHeight="1">
      <c r="A87" s="818"/>
      <c r="B87" s="1290" t="s">
        <v>2202</v>
      </c>
      <c r="C87" s="1285"/>
      <c r="D87" s="1274"/>
      <c r="E87" s="1279"/>
      <c r="F87" s="1279"/>
      <c r="G87" s="1347"/>
      <c r="H87" s="818"/>
      <c r="I87" s="835"/>
      <c r="J87" s="818"/>
      <c r="S87" s="818"/>
    </row>
    <row r="88" spans="1:19" ht="15" customHeight="1">
      <c r="A88" s="818"/>
      <c r="B88" s="1343"/>
      <c r="C88" s="1344"/>
      <c r="D88" s="1345"/>
      <c r="E88" s="1346" t="s">
        <v>2034</v>
      </c>
      <c r="F88" s="1277"/>
      <c r="G88" s="1277" t="s">
        <v>1096</v>
      </c>
      <c r="H88" s="818"/>
      <c r="I88" s="835"/>
      <c r="J88" s="818"/>
      <c r="K88" s="1263" t="s">
        <v>1827</v>
      </c>
      <c r="L88" s="1163"/>
      <c r="M88" s="1163"/>
      <c r="N88" s="1163"/>
      <c r="O88" s="1163"/>
      <c r="P88" s="1163"/>
      <c r="Q88" s="818"/>
      <c r="R88" s="597"/>
      <c r="S88" s="818"/>
    </row>
    <row r="89" spans="1:19" ht="15" customHeight="1">
      <c r="A89" s="818"/>
      <c r="B89" s="853" t="s">
        <v>1089</v>
      </c>
      <c r="C89" s="854" t="s">
        <v>1090</v>
      </c>
      <c r="D89" s="1291" t="s">
        <v>2037</v>
      </c>
      <c r="E89" s="1291" t="s">
        <v>2120</v>
      </c>
      <c r="F89" s="855"/>
      <c r="G89" s="855" t="s">
        <v>2038</v>
      </c>
      <c r="H89" s="818"/>
      <c r="I89" s="835"/>
      <c r="J89" s="818"/>
      <c r="K89" s="1263" t="s">
        <v>1829</v>
      </c>
      <c r="L89" s="1164"/>
      <c r="M89" s="1164"/>
      <c r="N89" s="1164"/>
      <c r="O89" s="1164"/>
      <c r="P89" s="1164"/>
      <c r="Q89" s="2668"/>
      <c r="R89" s="2668"/>
      <c r="S89" s="818"/>
    </row>
    <row r="90" spans="1:19" ht="15" customHeight="1">
      <c r="A90" s="597"/>
      <c r="B90" s="796" t="s">
        <v>2525</v>
      </c>
      <c r="C90" s="797">
        <v>0</v>
      </c>
      <c r="D90" s="798">
        <v>841</v>
      </c>
      <c r="E90" s="799">
        <v>649</v>
      </c>
      <c r="F90" s="863"/>
      <c r="G90" s="856">
        <f>MAX(($E90-$D90)*$C90*12,0)</f>
        <v>0</v>
      </c>
      <c r="H90" s="818"/>
      <c r="I90" s="835"/>
      <c r="J90" s="818"/>
      <c r="K90" s="1263" t="s">
        <v>1830</v>
      </c>
      <c r="L90" s="1164"/>
      <c r="M90" s="1164"/>
      <c r="N90" s="1164"/>
      <c r="O90" s="1164"/>
      <c r="P90" s="1164"/>
      <c r="Q90" s="2671"/>
      <c r="R90" s="2671"/>
      <c r="S90" s="818"/>
    </row>
    <row r="91" spans="1:19" ht="15" customHeight="1">
      <c r="A91" s="597"/>
      <c r="B91" s="796" t="s">
        <v>2525</v>
      </c>
      <c r="C91" s="797">
        <v>17</v>
      </c>
      <c r="D91" s="798">
        <v>841</v>
      </c>
      <c r="E91" s="799">
        <f>1671-36</f>
        <v>1635</v>
      </c>
      <c r="F91" s="863"/>
      <c r="G91" s="856">
        <f t="shared" ref="G91:G97" si="0">MAX(($E91-$D91)*$C91*12,0)</f>
        <v>161976</v>
      </c>
      <c r="H91" s="818"/>
      <c r="I91" s="835"/>
      <c r="J91" s="818"/>
      <c r="K91" s="1263" t="s">
        <v>1834</v>
      </c>
      <c r="L91" s="1164"/>
      <c r="M91" s="1164"/>
      <c r="N91" s="1164"/>
      <c r="O91" s="1164"/>
      <c r="P91" s="1164"/>
      <c r="Q91" s="2669">
        <f>IFERROR(Q89/Q90,0)</f>
        <v>0</v>
      </c>
      <c r="R91" s="2669"/>
      <c r="S91" s="818"/>
    </row>
    <row r="92" spans="1:19" ht="15" customHeight="1">
      <c r="A92" s="597"/>
      <c r="B92" s="796" t="s">
        <v>2526</v>
      </c>
      <c r="C92" s="797">
        <v>5</v>
      </c>
      <c r="D92" s="798">
        <v>1009</v>
      </c>
      <c r="E92" s="799">
        <v>2071</v>
      </c>
      <c r="F92" s="863"/>
      <c r="G92" s="856">
        <f t="shared" si="0"/>
        <v>63720</v>
      </c>
      <c r="H92" s="818"/>
      <c r="I92" s="835"/>
      <c r="J92" s="818"/>
      <c r="S92" s="818"/>
    </row>
    <row r="93" spans="1:19" ht="15" customHeight="1">
      <c r="A93" s="597"/>
      <c r="B93" s="796" t="s">
        <v>2526</v>
      </c>
      <c r="C93" s="797">
        <v>0</v>
      </c>
      <c r="D93" s="798">
        <v>1009</v>
      </c>
      <c r="E93" s="799">
        <f>2115-44</f>
        <v>2071</v>
      </c>
      <c r="F93" s="863"/>
      <c r="G93" s="856">
        <f t="shared" si="0"/>
        <v>0</v>
      </c>
      <c r="H93" s="818"/>
      <c r="I93" s="835"/>
      <c r="J93" s="818"/>
      <c r="K93" s="1264" t="s">
        <v>1835</v>
      </c>
      <c r="L93" s="1162"/>
      <c r="M93" s="1162"/>
      <c r="N93" s="1162"/>
      <c r="O93" s="1162"/>
      <c r="P93" s="1162"/>
      <c r="Q93" s="2670">
        <f>MAX(Q84,Q91)</f>
        <v>0</v>
      </c>
      <c r="R93" s="2670"/>
      <c r="S93" s="818"/>
    </row>
    <row r="94" spans="1:19" ht="15" customHeight="1">
      <c r="A94" s="597"/>
      <c r="B94" s="796" t="s">
        <v>680</v>
      </c>
      <c r="C94" s="797"/>
      <c r="D94" s="798"/>
      <c r="E94" s="799"/>
      <c r="F94" s="863"/>
      <c r="G94" s="856">
        <f t="shared" si="0"/>
        <v>0</v>
      </c>
      <c r="H94" s="818"/>
      <c r="I94" s="835"/>
      <c r="J94" s="818"/>
      <c r="K94" s="1264"/>
      <c r="L94" s="1162"/>
      <c r="M94" s="1162"/>
      <c r="N94" s="1162"/>
      <c r="O94" s="1162"/>
      <c r="P94" s="1162"/>
      <c r="Q94" s="1338"/>
      <c r="R94" s="1338"/>
      <c r="S94" s="818"/>
    </row>
    <row r="95" spans="1:19" ht="15" customHeight="1">
      <c r="A95" s="597"/>
      <c r="B95" s="796" t="s">
        <v>680</v>
      </c>
      <c r="C95" s="797"/>
      <c r="D95" s="798"/>
      <c r="E95" s="799"/>
      <c r="F95" s="863"/>
      <c r="G95" s="856">
        <f t="shared" si="0"/>
        <v>0</v>
      </c>
      <c r="H95" s="818"/>
      <c r="I95" s="835"/>
      <c r="J95" s="818"/>
      <c r="K95" s="1264"/>
      <c r="L95" s="1162"/>
      <c r="M95" s="1162"/>
      <c r="N95" s="1162"/>
      <c r="O95" s="1162"/>
      <c r="P95" s="1162"/>
      <c r="Q95" s="1338"/>
      <c r="R95" s="1338"/>
      <c r="S95" s="818"/>
    </row>
    <row r="96" spans="1:19" ht="15" customHeight="1">
      <c r="A96" s="597"/>
      <c r="B96" s="796" t="s">
        <v>680</v>
      </c>
      <c r="C96" s="797"/>
      <c r="D96" s="798"/>
      <c r="E96" s="799"/>
      <c r="F96" s="863"/>
      <c r="G96" s="856">
        <f t="shared" si="0"/>
        <v>0</v>
      </c>
      <c r="H96" s="818"/>
      <c r="I96" s="835"/>
      <c r="J96" s="818"/>
      <c r="K96" s="818"/>
      <c r="L96" s="818"/>
      <c r="M96" s="818"/>
      <c r="N96" s="818"/>
      <c r="O96" s="818"/>
      <c r="P96" s="818"/>
      <c r="Q96" s="818"/>
      <c r="R96" s="818"/>
      <c r="S96" s="818"/>
    </row>
    <row r="97" spans="1:19" ht="15" customHeight="1">
      <c r="A97" s="597"/>
      <c r="B97" s="796" t="s">
        <v>680</v>
      </c>
      <c r="C97" s="797"/>
      <c r="D97" s="798"/>
      <c r="E97" s="799"/>
      <c r="F97" s="863"/>
      <c r="G97" s="856">
        <f t="shared" si="0"/>
        <v>0</v>
      </c>
      <c r="H97" s="818"/>
      <c r="I97" s="835"/>
      <c r="J97" s="818"/>
      <c r="K97" s="818"/>
      <c r="L97" s="818"/>
      <c r="M97" s="818"/>
      <c r="N97" s="818"/>
      <c r="O97" s="818"/>
      <c r="P97" s="818"/>
      <c r="Q97" s="818"/>
      <c r="R97" s="818"/>
      <c r="S97" s="818"/>
    </row>
    <row r="98" spans="1:19" ht="15" customHeight="1">
      <c r="A98" s="597"/>
      <c r="B98" s="818"/>
      <c r="C98" s="858"/>
      <c r="D98" s="832"/>
      <c r="E98" s="1046" t="s">
        <v>1933</v>
      </c>
      <c r="F98" s="1046"/>
      <c r="G98" s="1090">
        <f>SUM(G90:G97)</f>
        <v>225696</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1831</v>
      </c>
      <c r="C100" s="818"/>
      <c r="D100" s="1008">
        <f>G98+Q93</f>
        <v>225696</v>
      </c>
      <c r="E100" s="818"/>
      <c r="F100" s="818"/>
      <c r="G100" s="818"/>
      <c r="H100" s="818"/>
      <c r="I100" s="835"/>
      <c r="J100" s="818"/>
      <c r="K100" s="818"/>
      <c r="L100" s="818"/>
      <c r="M100" s="818"/>
      <c r="N100" s="818"/>
      <c r="O100" s="818"/>
      <c r="P100" s="818"/>
      <c r="Q100" s="818"/>
      <c r="R100" s="818"/>
      <c r="S100" s="818"/>
    </row>
    <row r="101" spans="1:19" ht="15" customHeight="1">
      <c r="A101" s="818"/>
      <c r="B101" s="843" t="s">
        <v>1091</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1128</v>
      </c>
      <c r="C102" s="818"/>
      <c r="D102" s="1008">
        <f>D100-(D100*D101)</f>
        <v>214411.2</v>
      </c>
      <c r="E102" s="818"/>
      <c r="F102" s="818"/>
      <c r="G102" s="818"/>
      <c r="H102" s="818"/>
      <c r="I102" s="818"/>
      <c r="J102" s="818"/>
      <c r="K102" s="818"/>
      <c r="L102" s="818"/>
      <c r="M102" s="818"/>
      <c r="N102" s="818"/>
      <c r="O102" s="818"/>
      <c r="P102" s="818"/>
      <c r="Q102" s="818"/>
      <c r="R102" s="818"/>
      <c r="S102" s="818"/>
    </row>
    <row r="103" spans="1:19" ht="15" customHeight="1">
      <c r="A103" s="818"/>
      <c r="B103" s="843" t="s">
        <v>1823</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1832</v>
      </c>
      <c r="C104" s="818"/>
      <c r="D104" s="1008">
        <f>D102/D108</f>
        <v>186444.52173913046</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1824</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1825</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1206</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1826</v>
      </c>
      <c r="C110" s="832"/>
      <c r="D110" s="1009">
        <f>PV(D107/12,D106*12,-D104/12, ,0)</f>
        <v>2100486.2916294788</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22"/>
  <sheetViews>
    <sheetView view="pageBreakPreview" zoomScaleNormal="100" zoomScaleSheetLayoutView="100" workbookViewId="0">
      <selection activeCell="E56" sqref="E56"/>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
      <c r="A4" s="610" t="s">
        <v>1189</v>
      </c>
      <c r="B4" s="610"/>
      <c r="C4" s="634">
        <v>1.0249999999999999</v>
      </c>
      <c r="D4" s="610"/>
      <c r="E4" s="610">
        <f>Application!Y779</f>
        <v>479148</v>
      </c>
      <c r="F4" s="610"/>
      <c r="G4" s="610">
        <f>E4*$C$4</f>
        <v>491126.69999999995</v>
      </c>
      <c r="H4" s="610"/>
      <c r="I4" s="610">
        <f>G4*$C$4</f>
        <v>503404.86749999993</v>
      </c>
      <c r="J4" s="610"/>
      <c r="K4" s="610">
        <f>I4*$C$4</f>
        <v>515989.98918749992</v>
      </c>
      <c r="L4" s="610"/>
      <c r="M4" s="610">
        <f>K4*$C$4</f>
        <v>528889.73891718732</v>
      </c>
      <c r="N4" s="610"/>
      <c r="O4" s="610">
        <f>M4*$C$4</f>
        <v>542111.9823901169</v>
      </c>
      <c r="P4" s="610"/>
      <c r="Q4" s="610">
        <f>O4*$C$4</f>
        <v>555664.78194986982</v>
      </c>
      <c r="R4" s="610"/>
      <c r="S4" s="610">
        <f>Q4*$C$4</f>
        <v>569556.40149861656</v>
      </c>
      <c r="T4" s="610"/>
      <c r="U4" s="610">
        <f>S4*$C$4</f>
        <v>583795.31153608195</v>
      </c>
      <c r="V4" s="610"/>
      <c r="W4" s="610">
        <f>U4*$C$4</f>
        <v>598390.19432448398</v>
      </c>
      <c r="X4" s="610"/>
      <c r="Y4" s="610">
        <f>W4*$C$4</f>
        <v>613349.94918259606</v>
      </c>
      <c r="Z4" s="610"/>
      <c r="AA4" s="610">
        <f>Y4*$C$4</f>
        <v>628683.69791216089</v>
      </c>
      <c r="AB4" s="610"/>
      <c r="AC4" s="610">
        <f>AA4*$C$4</f>
        <v>644400.79035996483</v>
      </c>
      <c r="AD4" s="610"/>
      <c r="AE4" s="610">
        <f>AC4*$C$4</f>
        <v>660510.81011896394</v>
      </c>
      <c r="AF4" s="610"/>
      <c r="AG4" s="610">
        <f>AE4*$C$4</f>
        <v>677023.58037193795</v>
      </c>
      <c r="AH4" s="610"/>
    </row>
    <row r="5" spans="1:34" ht="14">
      <c r="A5" s="600"/>
      <c r="B5" s="600" t="s">
        <v>1091</v>
      </c>
      <c r="C5" s="635">
        <f>IF(Application!$D$214="Special Needs",0.1,0.05)</f>
        <v>0.05</v>
      </c>
      <c r="D5" s="600"/>
      <c r="E5" s="612">
        <f>-E4*$C$5</f>
        <v>-23957.4</v>
      </c>
      <c r="F5" s="612"/>
      <c r="G5" s="612">
        <f>-G4*$C$5</f>
        <v>-24556.334999999999</v>
      </c>
      <c r="H5" s="612"/>
      <c r="I5" s="612">
        <f>-I4*$C$5</f>
        <v>-25170.243374999998</v>
      </c>
      <c r="J5" s="612"/>
      <c r="K5" s="612">
        <f>-K4*$C$5</f>
        <v>-25799.499459374998</v>
      </c>
      <c r="L5" s="612"/>
      <c r="M5" s="612">
        <f>-M4*$C$5</f>
        <v>-26444.486945859368</v>
      </c>
      <c r="N5" s="612"/>
      <c r="O5" s="612">
        <f>-O4*$C$5</f>
        <v>-27105.599119505845</v>
      </c>
      <c r="P5" s="612"/>
      <c r="Q5" s="612">
        <f>-Q4*$C$5</f>
        <v>-27783.239097493493</v>
      </c>
      <c r="R5" s="612"/>
      <c r="S5" s="612">
        <f>-S4*$C$5</f>
        <v>-28477.820074930831</v>
      </c>
      <c r="T5" s="612"/>
      <c r="U5" s="612">
        <f>-U4*$C$5</f>
        <v>-29189.7655768041</v>
      </c>
      <c r="V5" s="612"/>
      <c r="W5" s="612">
        <f>-W4*$C$5</f>
        <v>-29919.509716224202</v>
      </c>
      <c r="X5" s="612"/>
      <c r="Y5" s="612">
        <f>-Y4*$C$5</f>
        <v>-30667.497459129805</v>
      </c>
      <c r="Z5" s="612"/>
      <c r="AA5" s="612">
        <f>-AA4*$C$5</f>
        <v>-31434.184895608047</v>
      </c>
      <c r="AB5" s="612"/>
      <c r="AC5" s="612">
        <f>-AC4*$C$5</f>
        <v>-32220.039517998244</v>
      </c>
      <c r="AD5" s="612"/>
      <c r="AE5" s="612">
        <f>-AE4*$C$5</f>
        <v>-33025.5405059482</v>
      </c>
      <c r="AF5" s="612"/>
      <c r="AG5" s="612">
        <f>-AG4*$C$5</f>
        <v>-33851.1790185969</v>
      </c>
      <c r="AH5" s="600"/>
    </row>
    <row r="6" spans="1:34" ht="14">
      <c r="A6" s="600" t="s">
        <v>1190</v>
      </c>
      <c r="B6" s="600"/>
      <c r="C6" s="634">
        <v>1.0249999999999999</v>
      </c>
      <c r="D6" s="600"/>
      <c r="E6" s="613">
        <f>Application!Z787</f>
        <v>188868</v>
      </c>
      <c r="F6" s="613"/>
      <c r="G6" s="613">
        <f>E6*$C$6</f>
        <v>193589.69999999998</v>
      </c>
      <c r="H6" s="613"/>
      <c r="I6" s="613">
        <f>G6*$C$6</f>
        <v>198429.44249999998</v>
      </c>
      <c r="J6" s="613"/>
      <c r="K6" s="613">
        <f>I6*$C$6</f>
        <v>203390.17856249996</v>
      </c>
      <c r="L6" s="613"/>
      <c r="M6" s="613">
        <f>K6*$C$6</f>
        <v>208474.93302656244</v>
      </c>
      <c r="N6" s="613"/>
      <c r="O6" s="613">
        <f>M6*$C$6</f>
        <v>213686.8063522265</v>
      </c>
      <c r="P6" s="613"/>
      <c r="Q6" s="613">
        <f>O6*$C$6</f>
        <v>219028.97651103215</v>
      </c>
      <c r="R6" s="613"/>
      <c r="S6" s="613">
        <f>Q6*$C$6</f>
        <v>224504.70092380792</v>
      </c>
      <c r="T6" s="613"/>
      <c r="U6" s="613">
        <f>S6*$C$6</f>
        <v>230117.31844690311</v>
      </c>
      <c r="V6" s="613"/>
      <c r="W6" s="613">
        <f>U6*$C$6</f>
        <v>235870.25140807568</v>
      </c>
      <c r="X6" s="613"/>
      <c r="Y6" s="613">
        <f>W6*$C$6</f>
        <v>241767.00769327756</v>
      </c>
      <c r="Z6" s="613"/>
      <c r="AA6" s="613">
        <f>Y6*$C$6</f>
        <v>247811.18288560948</v>
      </c>
      <c r="AB6" s="613"/>
      <c r="AC6" s="613">
        <f>AA6*$C$6</f>
        <v>254006.4624577497</v>
      </c>
      <c r="AD6" s="613"/>
      <c r="AE6" s="613">
        <f>AC6*$C$6</f>
        <v>260356.62401919343</v>
      </c>
      <c r="AF6" s="613"/>
      <c r="AG6" s="613">
        <f>AE6*$C$6</f>
        <v>266865.53961967322</v>
      </c>
      <c r="AH6" s="600"/>
    </row>
    <row r="7" spans="1:34" ht="14">
      <c r="A7" s="600"/>
      <c r="B7" s="600" t="s">
        <v>1091</v>
      </c>
      <c r="C7" s="635">
        <f>IF(Application!$D$214="Special Needs",0.1,0.05)</f>
        <v>0.05</v>
      </c>
      <c r="D7" s="600"/>
      <c r="E7" s="612">
        <f>-E6*$C$7</f>
        <v>-9443.4</v>
      </c>
      <c r="F7" s="612"/>
      <c r="G7" s="612">
        <f>-G6*$C$7</f>
        <v>-9679.4849999999988</v>
      </c>
      <c r="H7" s="612"/>
      <c r="I7" s="612">
        <f>-I6*$C$7</f>
        <v>-9921.4721250000002</v>
      </c>
      <c r="J7" s="612"/>
      <c r="K7" s="612">
        <f>-K6*$C$7</f>
        <v>-10169.508928124998</v>
      </c>
      <c r="L7" s="612"/>
      <c r="M7" s="612">
        <f>-M6*$C$7</f>
        <v>-10423.746651328123</v>
      </c>
      <c r="N7" s="612"/>
      <c r="O7" s="612">
        <f>-O6*$C$7</f>
        <v>-10684.340317611326</v>
      </c>
      <c r="P7" s="612"/>
      <c r="Q7" s="612">
        <f>-Q6*$C$7</f>
        <v>-10951.448825551608</v>
      </c>
      <c r="R7" s="612"/>
      <c r="S7" s="612">
        <f>-S6*$C$7</f>
        <v>-11225.235046190397</v>
      </c>
      <c r="T7" s="612"/>
      <c r="U7" s="612">
        <f>-U6*$C$7</f>
        <v>-11505.865922345156</v>
      </c>
      <c r="V7" s="612"/>
      <c r="W7" s="612">
        <f>-W6*$C$7</f>
        <v>-11793.512570403786</v>
      </c>
      <c r="X7" s="612"/>
      <c r="Y7" s="612">
        <f>-Y6*$C$7</f>
        <v>-12088.350384663878</v>
      </c>
      <c r="Z7" s="612"/>
      <c r="AA7" s="612">
        <f>-AA6*$C$7</f>
        <v>-12390.559144280474</v>
      </c>
      <c r="AB7" s="612"/>
      <c r="AC7" s="612">
        <f>-AC6*$C$7</f>
        <v>-12700.323122887487</v>
      </c>
      <c r="AD7" s="612"/>
      <c r="AE7" s="612">
        <f>-AE6*$C$7</f>
        <v>-13017.831200959672</v>
      </c>
      <c r="AF7" s="612"/>
      <c r="AG7" s="612">
        <f>-AG6*$C$7</f>
        <v>-13343.276980983661</v>
      </c>
      <c r="AH7" s="600"/>
    </row>
    <row r="8" spans="1:34" ht="14">
      <c r="A8" s="600" t="s">
        <v>289</v>
      </c>
      <c r="B8" s="600"/>
      <c r="C8" s="634">
        <v>1.0249999999999999</v>
      </c>
      <c r="D8" s="600"/>
      <c r="E8" s="613">
        <f>Application!Z795</f>
        <v>7800</v>
      </c>
      <c r="F8" s="613"/>
      <c r="G8" s="613">
        <f>E8*$C$8</f>
        <v>7994.9999999999991</v>
      </c>
      <c r="H8" s="613"/>
      <c r="I8" s="613">
        <f>G8*$C$8</f>
        <v>8194.8749999999982</v>
      </c>
      <c r="J8" s="613"/>
      <c r="K8" s="613">
        <f>I8*$C$8</f>
        <v>8399.7468749999971</v>
      </c>
      <c r="L8" s="613"/>
      <c r="M8" s="613">
        <f>K8*$C$8</f>
        <v>8609.7405468749967</v>
      </c>
      <c r="N8" s="613"/>
      <c r="O8" s="613">
        <f>M8*$C$8</f>
        <v>8824.9840605468708</v>
      </c>
      <c r="P8" s="613"/>
      <c r="Q8" s="613">
        <f>O8*$C$8</f>
        <v>9045.608662060542</v>
      </c>
      <c r="R8" s="613"/>
      <c r="S8" s="613">
        <f>Q8*$C$8</f>
        <v>9271.7488786120539</v>
      </c>
      <c r="T8" s="613"/>
      <c r="U8" s="613">
        <f>S8*$C$8</f>
        <v>9503.5426005773552</v>
      </c>
      <c r="V8" s="613"/>
      <c r="W8" s="613">
        <f>U8*$C$8</f>
        <v>9741.1311655917889</v>
      </c>
      <c r="X8" s="613"/>
      <c r="Y8" s="613">
        <f>W8*$C$8</f>
        <v>9984.659444731582</v>
      </c>
      <c r="Z8" s="613"/>
      <c r="AA8" s="613">
        <f>Y8*$C$8</f>
        <v>10234.27593084987</v>
      </c>
      <c r="AB8" s="613"/>
      <c r="AC8" s="613">
        <f>AA8*$C$8</f>
        <v>10490.132829121116</v>
      </c>
      <c r="AD8" s="613"/>
      <c r="AE8" s="613">
        <f>AC8*$C$8</f>
        <v>10752.386149849142</v>
      </c>
      <c r="AF8" s="613"/>
      <c r="AG8" s="613">
        <f>AE8*$C$8</f>
        <v>11021.19580359537</v>
      </c>
      <c r="AH8" s="600"/>
    </row>
    <row r="9" spans="1:34" ht="14">
      <c r="A9" s="600"/>
      <c r="B9" s="600" t="s">
        <v>1091</v>
      </c>
      <c r="C9" s="635">
        <f>IF(Application!$D$214="Special Needs",0.1,0.05)</f>
        <v>0.05</v>
      </c>
      <c r="D9" s="600"/>
      <c r="E9" s="632">
        <f>-E8*$C$9</f>
        <v>-390</v>
      </c>
      <c r="F9" s="612"/>
      <c r="G9" s="632">
        <f>-G8*$C$9</f>
        <v>-399.75</v>
      </c>
      <c r="H9" s="612"/>
      <c r="I9" s="632">
        <f>-I8*$C$9</f>
        <v>-409.74374999999992</v>
      </c>
      <c r="J9" s="612"/>
      <c r="K9" s="632">
        <f>-K8*$C$9</f>
        <v>-419.98734374999987</v>
      </c>
      <c r="L9" s="612"/>
      <c r="M9" s="632">
        <f>-M8*$C$9</f>
        <v>-430.48702734374984</v>
      </c>
      <c r="N9" s="612"/>
      <c r="O9" s="632">
        <f>-O8*$C$9</f>
        <v>-441.24920302734358</v>
      </c>
      <c r="P9" s="612"/>
      <c r="Q9" s="632">
        <f>-Q8*$C$9</f>
        <v>-452.28043310302712</v>
      </c>
      <c r="R9" s="612"/>
      <c r="S9" s="632">
        <f>-S8*$C$9</f>
        <v>-463.58744393060272</v>
      </c>
      <c r="T9" s="612"/>
      <c r="U9" s="632">
        <f>-U8*$C$9</f>
        <v>-475.17713002886779</v>
      </c>
      <c r="V9" s="612"/>
      <c r="W9" s="632">
        <f>-W8*$C$9</f>
        <v>-487.05655827958947</v>
      </c>
      <c r="X9" s="612"/>
      <c r="Y9" s="632">
        <f>-Y8*$C$9</f>
        <v>-499.23297223657914</v>
      </c>
      <c r="Z9" s="612"/>
      <c r="AA9" s="632">
        <f>-AA8*$C$9</f>
        <v>-511.71379654249353</v>
      </c>
      <c r="AB9" s="612"/>
      <c r="AC9" s="632">
        <f>-AC8*$C$9</f>
        <v>-524.50664145605583</v>
      </c>
      <c r="AD9" s="612"/>
      <c r="AE9" s="632">
        <f>-AE8*$C$9</f>
        <v>-537.6193074924571</v>
      </c>
      <c r="AF9" s="612"/>
      <c r="AG9" s="632">
        <f>-AG8*$C$9</f>
        <v>-551.05979017976858</v>
      </c>
      <c r="AH9" s="600"/>
    </row>
    <row r="10" spans="1:34" ht="14">
      <c r="A10" s="614" t="s">
        <v>1191</v>
      </c>
      <c r="B10" s="614"/>
      <c r="C10" s="605"/>
      <c r="D10" s="614"/>
      <c r="E10" s="614">
        <f>SUM(E4:E9)</f>
        <v>642025.19999999995</v>
      </c>
      <c r="F10" s="614"/>
      <c r="G10" s="614">
        <f>SUM(G4:G9)</f>
        <v>658075.82999999996</v>
      </c>
      <c r="H10" s="614"/>
      <c r="I10" s="614">
        <f>SUM(I4:I9)</f>
        <v>674527.72574999987</v>
      </c>
      <c r="J10" s="614"/>
      <c r="K10" s="614">
        <f>SUM(K4:K9)</f>
        <v>691390.91889374983</v>
      </c>
      <c r="L10" s="614"/>
      <c r="M10" s="614">
        <f>SUM(M4:M9)</f>
        <v>708675.69186609355</v>
      </c>
      <c r="N10" s="614"/>
      <c r="O10" s="614">
        <f>SUM(O4:O9)</f>
        <v>726392.58416274574</v>
      </c>
      <c r="P10" s="614"/>
      <c r="Q10" s="614">
        <f>SUM(Q4:Q9)</f>
        <v>744552.39876681438</v>
      </c>
      <c r="R10" s="614"/>
      <c r="S10" s="614">
        <f>SUM(S4:S9)</f>
        <v>763166.20873598475</v>
      </c>
      <c r="T10" s="614"/>
      <c r="U10" s="614">
        <f>SUM(U4:U9)</f>
        <v>782245.36395438435</v>
      </c>
      <c r="V10" s="614"/>
      <c r="W10" s="614">
        <f>SUM(W4:W9)</f>
        <v>801801.49805324397</v>
      </c>
      <c r="X10" s="614"/>
      <c r="Y10" s="614">
        <f>SUM(Y4:Y9)</f>
        <v>821846.53550457489</v>
      </c>
      <c r="Z10" s="614"/>
      <c r="AA10" s="614">
        <f>SUM(AA4:AA9)</f>
        <v>842392.69889218919</v>
      </c>
      <c r="AB10" s="614"/>
      <c r="AC10" s="614">
        <f>SUM(AC4:AC9)</f>
        <v>863452.51636449387</v>
      </c>
      <c r="AD10" s="614"/>
      <c r="AE10" s="614">
        <f>SUM(AE4:AE9)</f>
        <v>885038.82927360618</v>
      </c>
      <c r="AF10" s="614"/>
      <c r="AG10" s="614">
        <f>SUM(AG4:AG9)</f>
        <v>907164.8000054463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1194</v>
      </c>
      <c r="B14" s="610"/>
      <c r="C14" s="625"/>
      <c r="D14" s="610"/>
      <c r="E14" s="610">
        <f>Application!W825</f>
        <v>20286</v>
      </c>
      <c r="F14" s="610"/>
      <c r="G14" s="610">
        <f t="shared" ref="G14:G20" si="0">E14*$C$13</f>
        <v>20996.01</v>
      </c>
      <c r="H14" s="610"/>
      <c r="I14" s="610">
        <f t="shared" ref="I14:I20" si="1">G14*$C$13</f>
        <v>21730.870349999997</v>
      </c>
      <c r="J14" s="610"/>
      <c r="K14" s="610">
        <f t="shared" ref="K14:K20" si="2">I14*$C$13</f>
        <v>22491.450812249997</v>
      </c>
      <c r="L14" s="610"/>
      <c r="M14" s="610">
        <f t="shared" ref="M14:M20" si="3">K14*$C$13</f>
        <v>23278.651590678746</v>
      </c>
      <c r="N14" s="610"/>
      <c r="O14" s="610">
        <f t="shared" ref="O14:O20" si="4">M14*$C$13</f>
        <v>24093.4043963525</v>
      </c>
      <c r="P14" s="610"/>
      <c r="Q14" s="610">
        <f t="shared" ref="Q14:Q20" si="5">O14*$C$13</f>
        <v>24936.673550224834</v>
      </c>
      <c r="R14" s="610"/>
      <c r="S14" s="610">
        <f t="shared" ref="S14:S20" si="6">Q14*$C$13</f>
        <v>25809.457124482702</v>
      </c>
      <c r="T14" s="610"/>
      <c r="U14" s="610">
        <f t="shared" ref="U14:U20" si="7">S14*$C$13</f>
        <v>26712.788123839593</v>
      </c>
      <c r="V14" s="610"/>
      <c r="W14" s="610">
        <f t="shared" ref="W14:W20" si="8">U14*$C$13</f>
        <v>27647.735708173976</v>
      </c>
      <c r="X14" s="610"/>
      <c r="Y14" s="610">
        <f t="shared" ref="Y14:Y20" si="9">W14*$C$13</f>
        <v>28615.406457960064</v>
      </c>
      <c r="Z14" s="610"/>
      <c r="AA14" s="610">
        <f t="shared" ref="AA14:AA20" si="10">Y14*$C$13</f>
        <v>29616.945683988662</v>
      </c>
      <c r="AB14" s="610"/>
      <c r="AC14" s="610">
        <f t="shared" ref="AC14:AC20" si="11">AA14*$C$13</f>
        <v>30653.538782928263</v>
      </c>
      <c r="AD14" s="610"/>
      <c r="AE14" s="610">
        <f t="shared" ref="AE14:AE20" si="12">AC14*$C$13</f>
        <v>31726.412640330749</v>
      </c>
      <c r="AF14" s="610"/>
      <c r="AG14" s="610">
        <f t="shared" ref="AG14:AG20" si="13">AE14*$C$13</f>
        <v>32836.83708274232</v>
      </c>
      <c r="AH14" s="610"/>
    </row>
    <row r="15" spans="1:34" ht="14">
      <c r="A15" s="600" t="s">
        <v>517</v>
      </c>
      <c r="B15" s="600"/>
      <c r="C15" s="624"/>
      <c r="D15" s="600"/>
      <c r="E15" s="613">
        <f>Application!W827</f>
        <v>31449</v>
      </c>
      <c r="F15" s="613"/>
      <c r="G15" s="613">
        <f t="shared" si="0"/>
        <v>32549.714999999997</v>
      </c>
      <c r="H15" s="613"/>
      <c r="I15" s="613">
        <f t="shared" si="1"/>
        <v>33688.955024999996</v>
      </c>
      <c r="J15" s="613"/>
      <c r="K15" s="613">
        <f t="shared" si="2"/>
        <v>34868.068450874991</v>
      </c>
      <c r="L15" s="613"/>
      <c r="M15" s="613">
        <f t="shared" si="3"/>
        <v>36088.450846655614</v>
      </c>
      <c r="N15" s="613"/>
      <c r="O15" s="613">
        <f t="shared" si="4"/>
        <v>37351.54662628856</v>
      </c>
      <c r="P15" s="613"/>
      <c r="Q15" s="613">
        <f t="shared" si="5"/>
        <v>38658.85075820866</v>
      </c>
      <c r="R15" s="613"/>
      <c r="S15" s="613">
        <f t="shared" si="6"/>
        <v>40011.910534745963</v>
      </c>
      <c r="T15" s="613"/>
      <c r="U15" s="613">
        <f t="shared" si="7"/>
        <v>41412.32740346207</v>
      </c>
      <c r="V15" s="613"/>
      <c r="W15" s="613">
        <f t="shared" si="8"/>
        <v>42861.758862583236</v>
      </c>
      <c r="X15" s="613"/>
      <c r="Y15" s="613">
        <f t="shared" si="9"/>
        <v>44361.920422773648</v>
      </c>
      <c r="Z15" s="613"/>
      <c r="AA15" s="613">
        <f t="shared" si="10"/>
        <v>45914.587637570723</v>
      </c>
      <c r="AB15" s="613"/>
      <c r="AC15" s="613">
        <f t="shared" si="11"/>
        <v>47521.598204885697</v>
      </c>
      <c r="AD15" s="613"/>
      <c r="AE15" s="613">
        <f t="shared" si="12"/>
        <v>49184.854142056691</v>
      </c>
      <c r="AF15" s="613"/>
      <c r="AG15" s="613">
        <f t="shared" si="13"/>
        <v>50906.324037028673</v>
      </c>
      <c r="AH15" s="600"/>
    </row>
    <row r="16" spans="1:34" ht="14">
      <c r="A16" s="600" t="s">
        <v>800</v>
      </c>
      <c r="B16" s="600"/>
      <c r="C16" s="624"/>
      <c r="D16" s="600"/>
      <c r="E16" s="613">
        <f>Application!W833</f>
        <v>26000</v>
      </c>
      <c r="F16" s="613"/>
      <c r="G16" s="613">
        <f t="shared" si="0"/>
        <v>26909.999999999996</v>
      </c>
      <c r="H16" s="613"/>
      <c r="I16" s="613">
        <f t="shared" si="1"/>
        <v>27851.849999999995</v>
      </c>
      <c r="J16" s="613"/>
      <c r="K16" s="613">
        <f t="shared" si="2"/>
        <v>28826.664749999993</v>
      </c>
      <c r="L16" s="613"/>
      <c r="M16" s="613">
        <f t="shared" si="3"/>
        <v>29835.598016249991</v>
      </c>
      <c r="N16" s="613"/>
      <c r="O16" s="613">
        <f t="shared" si="4"/>
        <v>30879.843946818739</v>
      </c>
      <c r="P16" s="613"/>
      <c r="Q16" s="613">
        <f t="shared" si="5"/>
        <v>31960.638484957391</v>
      </c>
      <c r="R16" s="613"/>
      <c r="S16" s="613">
        <f t="shared" si="6"/>
        <v>33079.2608319309</v>
      </c>
      <c r="T16" s="613"/>
      <c r="U16" s="613">
        <f t="shared" si="7"/>
        <v>34237.034961048477</v>
      </c>
      <c r="V16" s="613"/>
      <c r="W16" s="613">
        <f t="shared" si="8"/>
        <v>35435.331184685172</v>
      </c>
      <c r="X16" s="613"/>
      <c r="Y16" s="613">
        <f t="shared" si="9"/>
        <v>36675.567776149153</v>
      </c>
      <c r="Z16" s="613"/>
      <c r="AA16" s="613">
        <f t="shared" si="10"/>
        <v>37959.212648314373</v>
      </c>
      <c r="AB16" s="613"/>
      <c r="AC16" s="613">
        <f t="shared" si="11"/>
        <v>39287.785091005375</v>
      </c>
      <c r="AD16" s="613"/>
      <c r="AE16" s="613">
        <f t="shared" si="12"/>
        <v>40662.857569190557</v>
      </c>
      <c r="AF16" s="613"/>
      <c r="AG16" s="613">
        <f t="shared" si="13"/>
        <v>42086.057584112226</v>
      </c>
      <c r="AH16" s="600"/>
    </row>
    <row r="17" spans="1:33" ht="14">
      <c r="A17" s="600" t="s">
        <v>1195</v>
      </c>
      <c r="B17" s="600"/>
      <c r="C17" s="624"/>
      <c r="D17" s="600"/>
      <c r="E17" s="613">
        <f>Application!W840</f>
        <v>100000</v>
      </c>
      <c r="F17" s="613"/>
      <c r="G17" s="613">
        <f t="shared" si="0"/>
        <v>103499.99999999999</v>
      </c>
      <c r="H17" s="613"/>
      <c r="I17" s="613">
        <f t="shared" si="1"/>
        <v>107122.49999999997</v>
      </c>
      <c r="J17" s="613"/>
      <c r="K17" s="613">
        <f t="shared" si="2"/>
        <v>110871.78749999996</v>
      </c>
      <c r="L17" s="613"/>
      <c r="M17" s="613">
        <f t="shared" si="3"/>
        <v>114752.30006249995</v>
      </c>
      <c r="N17" s="613"/>
      <c r="O17" s="613">
        <f t="shared" si="4"/>
        <v>118768.63056468744</v>
      </c>
      <c r="P17" s="613"/>
      <c r="Q17" s="613">
        <f t="shared" si="5"/>
        <v>122925.53263445149</v>
      </c>
      <c r="R17" s="613"/>
      <c r="S17" s="613">
        <f t="shared" si="6"/>
        <v>127227.92627665728</v>
      </c>
      <c r="T17" s="613"/>
      <c r="U17" s="613">
        <f t="shared" si="7"/>
        <v>131680.90369634028</v>
      </c>
      <c r="V17" s="613"/>
      <c r="W17" s="613">
        <f t="shared" si="8"/>
        <v>136289.73532571219</v>
      </c>
      <c r="X17" s="613"/>
      <c r="Y17" s="613">
        <f t="shared" si="9"/>
        <v>141059.8760621121</v>
      </c>
      <c r="Z17" s="613"/>
      <c r="AA17" s="613">
        <f t="shared" si="10"/>
        <v>145996.97172428601</v>
      </c>
      <c r="AB17" s="613"/>
      <c r="AC17" s="613">
        <f t="shared" si="11"/>
        <v>151106.865734636</v>
      </c>
      <c r="AD17" s="613"/>
      <c r="AE17" s="613">
        <f t="shared" si="12"/>
        <v>156395.60603534823</v>
      </c>
      <c r="AF17" s="613"/>
      <c r="AG17" s="613">
        <f t="shared" si="13"/>
        <v>161869.4522465854</v>
      </c>
    </row>
    <row r="18" spans="1:33" ht="14">
      <c r="A18" s="600" t="s">
        <v>1034</v>
      </c>
      <c r="B18" s="600"/>
      <c r="C18" s="624"/>
      <c r="D18" s="600"/>
      <c r="E18" s="613">
        <f>Application!W841</f>
        <v>50000</v>
      </c>
      <c r="F18" s="613"/>
      <c r="G18" s="613">
        <f t="shared" si="0"/>
        <v>51749.999999999993</v>
      </c>
      <c r="H18" s="613"/>
      <c r="I18" s="613">
        <f t="shared" si="1"/>
        <v>53561.249999999985</v>
      </c>
      <c r="J18" s="613"/>
      <c r="K18" s="613">
        <f t="shared" si="2"/>
        <v>55435.893749999981</v>
      </c>
      <c r="L18" s="613"/>
      <c r="M18" s="613">
        <f t="shared" si="3"/>
        <v>57376.150031249977</v>
      </c>
      <c r="N18" s="613"/>
      <c r="O18" s="613">
        <f t="shared" si="4"/>
        <v>59384.315282343719</v>
      </c>
      <c r="P18" s="613"/>
      <c r="Q18" s="613">
        <f t="shared" si="5"/>
        <v>61462.766317225745</v>
      </c>
      <c r="R18" s="613"/>
      <c r="S18" s="613">
        <f t="shared" si="6"/>
        <v>63613.96313832864</v>
      </c>
      <c r="T18" s="613"/>
      <c r="U18" s="613">
        <f t="shared" si="7"/>
        <v>65840.451848170138</v>
      </c>
      <c r="V18" s="613"/>
      <c r="W18" s="613">
        <f t="shared" si="8"/>
        <v>68144.867662856093</v>
      </c>
      <c r="X18" s="613"/>
      <c r="Y18" s="613">
        <f t="shared" si="9"/>
        <v>70529.938031056052</v>
      </c>
      <c r="Z18" s="613"/>
      <c r="AA18" s="613">
        <f t="shared" si="10"/>
        <v>72998.485862143003</v>
      </c>
      <c r="AB18" s="613"/>
      <c r="AC18" s="613">
        <f t="shared" si="11"/>
        <v>75553.432867317999</v>
      </c>
      <c r="AD18" s="613"/>
      <c r="AE18" s="613">
        <f t="shared" si="12"/>
        <v>78197.803017674116</v>
      </c>
      <c r="AF18" s="613"/>
      <c r="AG18" s="613">
        <f t="shared" si="13"/>
        <v>80934.726123292698</v>
      </c>
    </row>
    <row r="19" spans="1:33" ht="14">
      <c r="A19" s="600" t="s">
        <v>60</v>
      </c>
      <c r="B19" s="600"/>
      <c r="C19" s="624"/>
      <c r="D19" s="600"/>
      <c r="E19" s="613">
        <f>Application!W850</f>
        <v>44710</v>
      </c>
      <c r="F19" s="613"/>
      <c r="G19" s="613">
        <f t="shared" si="0"/>
        <v>46274.85</v>
      </c>
      <c r="H19" s="613"/>
      <c r="I19" s="613">
        <f t="shared" si="1"/>
        <v>47894.469749999997</v>
      </c>
      <c r="J19" s="613"/>
      <c r="K19" s="613">
        <f t="shared" si="2"/>
        <v>49570.776191249992</v>
      </c>
      <c r="L19" s="613"/>
      <c r="M19" s="613">
        <f t="shared" si="3"/>
        <v>51305.753357943737</v>
      </c>
      <c r="N19" s="613"/>
      <c r="O19" s="613">
        <f t="shared" si="4"/>
        <v>53101.454725471762</v>
      </c>
      <c r="P19" s="613"/>
      <c r="Q19" s="613">
        <f t="shared" si="5"/>
        <v>54960.005640863266</v>
      </c>
      <c r="R19" s="613"/>
      <c r="S19" s="613">
        <f t="shared" si="6"/>
        <v>56883.605838293479</v>
      </c>
      <c r="T19" s="613"/>
      <c r="U19" s="613">
        <f t="shared" si="7"/>
        <v>58874.532042633749</v>
      </c>
      <c r="V19" s="613"/>
      <c r="W19" s="613">
        <f t="shared" si="8"/>
        <v>60935.140664125924</v>
      </c>
      <c r="X19" s="613"/>
      <c r="Y19" s="613">
        <f t="shared" si="9"/>
        <v>63067.870587370329</v>
      </c>
      <c r="Z19" s="613"/>
      <c r="AA19" s="613">
        <f t="shared" si="10"/>
        <v>65275.246057928285</v>
      </c>
      <c r="AB19" s="613"/>
      <c r="AC19" s="613">
        <f t="shared" si="11"/>
        <v>67559.879669955772</v>
      </c>
      <c r="AD19" s="613"/>
      <c r="AE19" s="613">
        <f t="shared" si="12"/>
        <v>69924.475458404224</v>
      </c>
      <c r="AF19" s="613"/>
      <c r="AG19" s="613">
        <f t="shared" si="13"/>
        <v>72371.832099448366</v>
      </c>
    </row>
    <row r="20" spans="1:33" ht="14">
      <c r="A20" s="2718" t="s">
        <v>2532</v>
      </c>
      <c r="B20" s="2718"/>
      <c r="C20" s="624"/>
      <c r="D20" s="600"/>
      <c r="E20" s="623">
        <f>Application!W857</f>
        <v>6300</v>
      </c>
      <c r="F20" s="613"/>
      <c r="G20" s="623">
        <f t="shared" si="0"/>
        <v>6520.4999999999991</v>
      </c>
      <c r="H20" s="613"/>
      <c r="I20" s="623">
        <f t="shared" si="1"/>
        <v>6748.7174999999988</v>
      </c>
      <c r="J20" s="613"/>
      <c r="K20" s="623">
        <f t="shared" si="2"/>
        <v>6984.9226124999986</v>
      </c>
      <c r="L20" s="613"/>
      <c r="M20" s="623">
        <f t="shared" si="3"/>
        <v>7229.3949039374984</v>
      </c>
      <c r="N20" s="613"/>
      <c r="O20" s="623">
        <f t="shared" si="4"/>
        <v>7482.4237255753105</v>
      </c>
      <c r="P20" s="613"/>
      <c r="Q20" s="623">
        <f t="shared" si="5"/>
        <v>7744.3085559704459</v>
      </c>
      <c r="R20" s="613"/>
      <c r="S20" s="623">
        <f t="shared" si="6"/>
        <v>8015.3593554294112</v>
      </c>
      <c r="T20" s="613"/>
      <c r="U20" s="623">
        <f t="shared" si="7"/>
        <v>8295.8969328694402</v>
      </c>
      <c r="V20" s="613"/>
      <c r="W20" s="623">
        <f t="shared" si="8"/>
        <v>8586.2533255198705</v>
      </c>
      <c r="X20" s="613"/>
      <c r="Y20" s="623">
        <f t="shared" si="9"/>
        <v>8886.7721919130654</v>
      </c>
      <c r="Z20" s="613"/>
      <c r="AA20" s="623">
        <f t="shared" si="10"/>
        <v>9197.8092186300219</v>
      </c>
      <c r="AB20" s="613"/>
      <c r="AC20" s="623">
        <f t="shared" si="11"/>
        <v>9519.7325412820719</v>
      </c>
      <c r="AD20" s="613"/>
      <c r="AE20" s="623">
        <f t="shared" si="12"/>
        <v>9852.9231802269442</v>
      </c>
      <c r="AF20" s="613"/>
      <c r="AG20" s="623">
        <f t="shared" si="13"/>
        <v>10197.775491534887</v>
      </c>
    </row>
    <row r="21" spans="1:33" ht="14">
      <c r="A21" s="614" t="s">
        <v>1196</v>
      </c>
      <c r="B21" s="614"/>
      <c r="C21" s="624"/>
      <c r="D21" s="614"/>
      <c r="E21" s="614">
        <f>SUM(E14:E20)</f>
        <v>278745</v>
      </c>
      <c r="F21" s="614"/>
      <c r="G21" s="614">
        <f>SUM(G14:G20)</f>
        <v>288501.07499999995</v>
      </c>
      <c r="H21" s="614"/>
      <c r="I21" s="614">
        <f>SUM(I14:I20)</f>
        <v>298598.61262499995</v>
      </c>
      <c r="J21" s="614"/>
      <c r="K21" s="614">
        <f>SUM(K14:K20)</f>
        <v>309049.56406687491</v>
      </c>
      <c r="L21" s="614"/>
      <c r="M21" s="614">
        <f>SUM(M14:M20)</f>
        <v>319866.29880921548</v>
      </c>
      <c r="N21" s="614"/>
      <c r="O21" s="614">
        <f>SUM(O14:O20)</f>
        <v>331061.61926753807</v>
      </c>
      <c r="P21" s="614"/>
      <c r="Q21" s="614">
        <f>SUM(Q14:Q20)</f>
        <v>342648.77594190184</v>
      </c>
      <c r="R21" s="614"/>
      <c r="S21" s="614">
        <f>SUM(S14:S20)</f>
        <v>354641.4830998684</v>
      </c>
      <c r="T21" s="614"/>
      <c r="U21" s="614">
        <f>SUM(U14:U20)</f>
        <v>367053.93500836374</v>
      </c>
      <c r="V21" s="614"/>
      <c r="W21" s="614">
        <f>SUM(W14:W20)</f>
        <v>379900.82273365639</v>
      </c>
      <c r="X21" s="614"/>
      <c r="Y21" s="614">
        <f>SUM(Y14:Y20)</f>
        <v>393197.35152933438</v>
      </c>
      <c r="Z21" s="614"/>
      <c r="AA21" s="614">
        <f>SUM(AA14:AA20)</f>
        <v>406959.25883286109</v>
      </c>
      <c r="AB21" s="614"/>
      <c r="AC21" s="614">
        <f>SUM(AC14:AC20)</f>
        <v>421202.83289201115</v>
      </c>
      <c r="AD21" s="614"/>
      <c r="AE21" s="614">
        <f>SUM(AE14:AE20)</f>
        <v>435944.9320432315</v>
      </c>
      <c r="AF21" s="614"/>
      <c r="AG21" s="614">
        <f>SUM(AG14:AG20)</f>
        <v>451203.0046647446</v>
      </c>
    </row>
    <row r="22" spans="1:33" s="1384"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4" customFormat="1" ht="14">
      <c r="A23" s="1403" t="s">
        <v>2216</v>
      </c>
      <c r="B23" s="1403"/>
      <c r="C23" s="1404"/>
      <c r="D23" s="1403"/>
      <c r="E23" s="1405"/>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1197</v>
      </c>
      <c r="B26" s="600"/>
      <c r="C26" s="636">
        <v>1.0349999999999999</v>
      </c>
      <c r="D26" s="600"/>
      <c r="E26" s="613">
        <f>Application!AC866</f>
        <v>20000</v>
      </c>
      <c r="F26" s="613"/>
      <c r="G26" s="613">
        <f>E26*$C$26</f>
        <v>20700</v>
      </c>
      <c r="H26" s="613"/>
      <c r="I26" s="613">
        <f>G26*$C$26</f>
        <v>21424.5</v>
      </c>
      <c r="J26" s="613"/>
      <c r="K26" s="613">
        <f>I26*$C$26</f>
        <v>22174.357499999998</v>
      </c>
      <c r="L26" s="613"/>
      <c r="M26" s="613">
        <f>K26*$C$26</f>
        <v>22950.460012499996</v>
      </c>
      <c r="N26" s="613"/>
      <c r="O26" s="613">
        <f>M26*$C$26</f>
        <v>23753.726112937493</v>
      </c>
      <c r="P26" s="613"/>
      <c r="Q26" s="613">
        <f>O26*$C$26</f>
        <v>24585.106526890304</v>
      </c>
      <c r="R26" s="613"/>
      <c r="S26" s="613">
        <f>Q26*$C$26</f>
        <v>25445.585255331462</v>
      </c>
      <c r="T26" s="613"/>
      <c r="U26" s="613">
        <f>S26*$C$26</f>
        <v>26336.18073926806</v>
      </c>
      <c r="V26" s="613"/>
      <c r="W26" s="613">
        <f>U26*$C$26</f>
        <v>27257.947065142442</v>
      </c>
      <c r="X26" s="613"/>
      <c r="Y26" s="613">
        <f>W26*$C$26</f>
        <v>28211.975212422425</v>
      </c>
      <c r="Z26" s="613"/>
      <c r="AA26" s="613">
        <f>Y26*$C$26</f>
        <v>29199.394344857206</v>
      </c>
      <c r="AB26" s="613"/>
      <c r="AC26" s="613">
        <f>AA26*$C$26</f>
        <v>30221.373146927206</v>
      </c>
      <c r="AD26" s="613"/>
      <c r="AE26" s="613">
        <f>AC26*$C$26</f>
        <v>31279.121207069657</v>
      </c>
      <c r="AF26" s="613"/>
      <c r="AG26" s="613">
        <f>AE26*$C$26</f>
        <v>32373.890449317092</v>
      </c>
    </row>
    <row r="27" spans="1:33" ht="14">
      <c r="A27" s="1403" t="s">
        <v>1198</v>
      </c>
      <c r="B27" s="600"/>
      <c r="C27" s="636"/>
      <c r="D27" s="600"/>
      <c r="E27" s="613">
        <f>Application!AC867</f>
        <v>25000</v>
      </c>
      <c r="F27" s="613"/>
      <c r="G27" s="613">
        <f>$E$27</f>
        <v>25000</v>
      </c>
      <c r="H27" s="613"/>
      <c r="I27" s="613">
        <f>$E$27</f>
        <v>25000</v>
      </c>
      <c r="J27" s="613"/>
      <c r="K27" s="613">
        <f>$E$27</f>
        <v>25000</v>
      </c>
      <c r="L27" s="613"/>
      <c r="M27" s="613">
        <f>$E$27</f>
        <v>25000</v>
      </c>
      <c r="N27" s="613"/>
      <c r="O27" s="613">
        <f>$E$27</f>
        <v>25000</v>
      </c>
      <c r="P27" s="613"/>
      <c r="Q27" s="613">
        <f>$E$27</f>
        <v>25000</v>
      </c>
      <c r="R27" s="613"/>
      <c r="S27" s="613">
        <f>$E$27</f>
        <v>25000</v>
      </c>
      <c r="T27" s="613"/>
      <c r="U27" s="613">
        <f>$E$27</f>
        <v>25000</v>
      </c>
      <c r="V27" s="613"/>
      <c r="W27" s="613">
        <f>$E$27</f>
        <v>25000</v>
      </c>
      <c r="X27" s="613"/>
      <c r="Y27" s="613">
        <f>$E$27</f>
        <v>25000</v>
      </c>
      <c r="Z27" s="613"/>
      <c r="AA27" s="613">
        <f>$E$27</f>
        <v>25000</v>
      </c>
      <c r="AB27" s="613"/>
      <c r="AC27" s="613">
        <f>$E$27</f>
        <v>25000</v>
      </c>
      <c r="AD27" s="613"/>
      <c r="AE27" s="613">
        <f>$E$27</f>
        <v>25000</v>
      </c>
      <c r="AF27" s="613"/>
      <c r="AG27" s="613">
        <f>$E$27</f>
        <v>25000</v>
      </c>
    </row>
    <row r="28" spans="1:33" s="1384" customFormat="1" ht="14">
      <c r="A28" s="1403"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
      <c r="A29" s="1403" t="s">
        <v>1199</v>
      </c>
      <c r="B29" s="600"/>
      <c r="C29" s="634">
        <v>1.02</v>
      </c>
      <c r="D29" s="600"/>
      <c r="E29" s="613">
        <f>Application!AC869</f>
        <v>2000</v>
      </c>
      <c r="F29" s="613"/>
      <c r="G29" s="613">
        <f>E29*$C$29</f>
        <v>2040</v>
      </c>
      <c r="H29" s="613"/>
      <c r="I29" s="613">
        <f>G29*$C$29</f>
        <v>2080.8000000000002</v>
      </c>
      <c r="J29" s="613"/>
      <c r="K29" s="613">
        <f>I29*$C$29</f>
        <v>2122.4160000000002</v>
      </c>
      <c r="L29" s="613"/>
      <c r="M29" s="613">
        <f>K29*$C$29</f>
        <v>2164.8643200000001</v>
      </c>
      <c r="N29" s="613"/>
      <c r="O29" s="613">
        <f>M29*$C$29</f>
        <v>2208.1616064</v>
      </c>
      <c r="P29" s="613"/>
      <c r="Q29" s="613">
        <f>O29*$C$29</f>
        <v>2252.3248385279999</v>
      </c>
      <c r="R29" s="613"/>
      <c r="S29" s="613">
        <f>Q29*$C$29</f>
        <v>2297.3713352985601</v>
      </c>
      <c r="T29" s="613"/>
      <c r="U29" s="613">
        <f>S29*$C$29</f>
        <v>2343.3187620045314</v>
      </c>
      <c r="V29" s="613"/>
      <c r="W29" s="613">
        <f>U29*$C$29</f>
        <v>2390.1851372446222</v>
      </c>
      <c r="X29" s="613"/>
      <c r="Y29" s="613">
        <f>W29*$C$29</f>
        <v>2437.9888399895149</v>
      </c>
      <c r="Z29" s="613"/>
      <c r="AA29" s="613">
        <f>Y29*$C$29</f>
        <v>2486.7486167893053</v>
      </c>
      <c r="AB29" s="613"/>
      <c r="AC29" s="613">
        <f>AA29*$C$29</f>
        <v>2536.4835891250914</v>
      </c>
      <c r="AD29" s="613"/>
      <c r="AE29" s="613">
        <f>AC29*$C$29</f>
        <v>2587.2132609075934</v>
      </c>
      <c r="AF29" s="613"/>
      <c r="AG29" s="613">
        <f>AE29*$C$29</f>
        <v>2638.9575261257455</v>
      </c>
    </row>
    <row r="30" spans="1:33" s="1384" customFormat="1" ht="14">
      <c r="A30" s="1403" t="s">
        <v>2218</v>
      </c>
      <c r="B30" s="600"/>
      <c r="C30" s="634">
        <v>1.0349999999999999</v>
      </c>
      <c r="D30" s="600"/>
      <c r="E30" s="613">
        <f>Application!AC870</f>
        <v>42000</v>
      </c>
      <c r="F30" s="613"/>
      <c r="G30" s="613">
        <f>E30*$C$30</f>
        <v>43470</v>
      </c>
      <c r="H30" s="613"/>
      <c r="I30" s="613">
        <f>G30*$C$30</f>
        <v>44991.45</v>
      </c>
      <c r="J30" s="613"/>
      <c r="K30" s="613">
        <f>I30*$C$30</f>
        <v>46566.150749999993</v>
      </c>
      <c r="L30" s="613"/>
      <c r="M30" s="613">
        <f>K30*$C$30</f>
        <v>48195.966026249989</v>
      </c>
      <c r="N30" s="613"/>
      <c r="O30" s="613">
        <f>M30*$C$30</f>
        <v>49882.824837168737</v>
      </c>
      <c r="P30" s="613"/>
      <c r="Q30" s="613">
        <f>O30*$C$30</f>
        <v>51628.723706469638</v>
      </c>
      <c r="R30" s="613"/>
      <c r="S30" s="613">
        <f>Q30*$C$30</f>
        <v>53435.72903619607</v>
      </c>
      <c r="T30" s="613"/>
      <c r="U30" s="613">
        <f>S30*$C$30</f>
        <v>55305.97955246293</v>
      </c>
      <c r="V30" s="613"/>
      <c r="W30" s="613">
        <f>U30*$C$30</f>
        <v>57241.688836799127</v>
      </c>
      <c r="X30" s="613"/>
      <c r="Y30" s="613">
        <f>W30*$C$30</f>
        <v>59245.147946087091</v>
      </c>
      <c r="Z30" s="613"/>
      <c r="AA30" s="613">
        <f>Y30*$C$30</f>
        <v>61318.728124200134</v>
      </c>
      <c r="AB30" s="613"/>
      <c r="AC30" s="613">
        <f>AA30*$C$30</f>
        <v>63464.883608547134</v>
      </c>
      <c r="AD30" s="613"/>
      <c r="AE30" s="613">
        <f>AC30*$C$30</f>
        <v>65686.154534846282</v>
      </c>
      <c r="AF30" s="613"/>
      <c r="AG30" s="613">
        <f>AE30*$C$30</f>
        <v>67985.169943565896</v>
      </c>
    </row>
    <row r="31" spans="1:33" ht="14">
      <c r="A31" s="617" t="str">
        <f>Application!E871</f>
        <v>Other (Specify):</v>
      </c>
      <c r="B31" s="617"/>
      <c r="C31" s="774">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Application!E872</f>
        <v>Other (Specify):</v>
      </c>
      <c r="B32" s="617"/>
      <c r="C32" s="774">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367745</v>
      </c>
      <c r="F34" s="614"/>
      <c r="G34" s="614">
        <f>SUM(G21:G32)</f>
        <v>379711.07499999995</v>
      </c>
      <c r="H34" s="614"/>
      <c r="I34" s="614">
        <f>SUM(I21:I32)</f>
        <v>392095.36262499995</v>
      </c>
      <c r="J34" s="614"/>
      <c r="K34" s="614">
        <f>SUM(K21:K32)</f>
        <v>404912.48831687489</v>
      </c>
      <c r="L34" s="614"/>
      <c r="M34" s="614">
        <f>SUM(M21:M32)</f>
        <v>418177.58916796546</v>
      </c>
      <c r="N34" s="614"/>
      <c r="O34" s="614">
        <f>SUM(O21:O32)</f>
        <v>431906.33182404429</v>
      </c>
      <c r="P34" s="614"/>
      <c r="Q34" s="614">
        <f>SUM(Q21:Q32)</f>
        <v>446114.93101378978</v>
      </c>
      <c r="R34" s="614"/>
      <c r="S34" s="614">
        <f>SUM(S21:S32)</f>
        <v>460820.16872669454</v>
      </c>
      <c r="T34" s="614"/>
      <c r="U34" s="614">
        <f>SUM(U21:U32)</f>
        <v>476039.4140620993</v>
      </c>
      <c r="V34" s="614"/>
      <c r="W34" s="614">
        <f>SUM(W21:W32)</f>
        <v>491790.6437728426</v>
      </c>
      <c r="X34" s="614"/>
      <c r="Y34" s="614">
        <f>SUM(Y21:Y32)</f>
        <v>508092.46352783346</v>
      </c>
      <c r="Z34" s="614"/>
      <c r="AA34" s="614">
        <f>SUM(AA21:AA32)</f>
        <v>524964.12991870777</v>
      </c>
      <c r="AB34" s="614"/>
      <c r="AC34" s="614">
        <f>SUM(AC21:AC32)</f>
        <v>542425.57323661062</v>
      </c>
      <c r="AD34" s="614"/>
      <c r="AE34" s="614">
        <f>SUM(AE21:AE32)</f>
        <v>560497.42104605504</v>
      </c>
      <c r="AF34" s="614"/>
      <c r="AG34" s="614">
        <f>SUM(AG21:AG32)</f>
        <v>579201.02258375334</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274280.19999999995</v>
      </c>
      <c r="F36" s="614"/>
      <c r="G36" s="614">
        <f>G10-G34</f>
        <v>278364.755</v>
      </c>
      <c r="H36" s="614"/>
      <c r="I36" s="614">
        <f>I10-I34</f>
        <v>282432.36312499992</v>
      </c>
      <c r="J36" s="614"/>
      <c r="K36" s="614">
        <f>K10-K34</f>
        <v>286478.43057687493</v>
      </c>
      <c r="L36" s="614"/>
      <c r="M36" s="614">
        <f>M10-M34</f>
        <v>290498.10269812809</v>
      </c>
      <c r="N36" s="614"/>
      <c r="O36" s="614">
        <f>O10-O34</f>
        <v>294486.25233870145</v>
      </c>
      <c r="P36" s="614"/>
      <c r="Q36" s="614">
        <f>Q10-Q34</f>
        <v>298437.4677530246</v>
      </c>
      <c r="R36" s="614"/>
      <c r="S36" s="614">
        <f>S10-S34</f>
        <v>302346.04000929021</v>
      </c>
      <c r="T36" s="614"/>
      <c r="U36" s="614">
        <f>U10-U34</f>
        <v>306205.94989228505</v>
      </c>
      <c r="V36" s="614"/>
      <c r="W36" s="614">
        <f>W10-W34</f>
        <v>310010.85428040137</v>
      </c>
      <c r="X36" s="614"/>
      <c r="Y36" s="614">
        <f>Y10-Y34</f>
        <v>313754.07197674143</v>
      </c>
      <c r="Z36" s="614"/>
      <c r="AA36" s="614">
        <f>AA10-AA34</f>
        <v>317428.56897348142</v>
      </c>
      <c r="AB36" s="614"/>
      <c r="AC36" s="614">
        <f>AC10-AC34</f>
        <v>321026.94312788325</v>
      </c>
      <c r="AD36" s="614"/>
      <c r="AE36" s="614">
        <f>AE10-AE34</f>
        <v>324541.40822755115</v>
      </c>
      <c r="AF36" s="614"/>
      <c r="AG36" s="614">
        <f>AG10-AG34</f>
        <v>327963.77742169297</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Application!C632</f>
        <v>Permanent Loan</v>
      </c>
      <c r="B39" s="617"/>
      <c r="C39" s="611"/>
      <c r="D39" s="600"/>
      <c r="E39" s="610">
        <f>Application!AF632</f>
        <v>238554</v>
      </c>
      <c r="F39" s="610"/>
      <c r="G39" s="610">
        <f>$E$39</f>
        <v>238554</v>
      </c>
      <c r="H39" s="610"/>
      <c r="I39" s="610">
        <f>$E$39</f>
        <v>238554</v>
      </c>
      <c r="J39" s="610"/>
      <c r="K39" s="610">
        <f>$E$39</f>
        <v>238554</v>
      </c>
      <c r="L39" s="610"/>
      <c r="M39" s="610">
        <f>$E$39</f>
        <v>238554</v>
      </c>
      <c r="N39" s="610"/>
      <c r="O39" s="610">
        <f>$E$39</f>
        <v>238554</v>
      </c>
      <c r="P39" s="610"/>
      <c r="Q39" s="610">
        <f>$E$39</f>
        <v>238554</v>
      </c>
      <c r="R39" s="610"/>
      <c r="S39" s="610">
        <f>$E$39</f>
        <v>238554</v>
      </c>
      <c r="T39" s="610"/>
      <c r="U39" s="610">
        <f>$E$39</f>
        <v>238554</v>
      </c>
      <c r="V39" s="610"/>
      <c r="W39" s="610">
        <f>$E$39</f>
        <v>238554</v>
      </c>
      <c r="X39" s="610"/>
      <c r="Y39" s="610">
        <f>$E$39</f>
        <v>238554</v>
      </c>
      <c r="Z39" s="610"/>
      <c r="AA39" s="610">
        <f>$E$39</f>
        <v>238554</v>
      </c>
      <c r="AB39" s="610"/>
      <c r="AC39" s="610">
        <f>$E$39</f>
        <v>238554</v>
      </c>
      <c r="AD39" s="610"/>
      <c r="AE39" s="610">
        <f>$E$39</f>
        <v>238554</v>
      </c>
      <c r="AF39" s="610"/>
      <c r="AG39" s="610">
        <f>$E$39</f>
        <v>238554</v>
      </c>
      <c r="AH39" s="600"/>
      <c r="AI39" s="600"/>
    </row>
    <row r="40" spans="1:35" ht="14">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238554</v>
      </c>
      <c r="F42" s="614"/>
      <c r="G42" s="614">
        <f>SUM(G39:G41)</f>
        <v>238554</v>
      </c>
      <c r="H42" s="614"/>
      <c r="I42" s="614">
        <f>SUM(I39:I41)</f>
        <v>238554</v>
      </c>
      <c r="J42" s="614"/>
      <c r="K42" s="614">
        <f>SUM(K39:K41)</f>
        <v>238554</v>
      </c>
      <c r="L42" s="614"/>
      <c r="M42" s="614">
        <f>SUM(M39:M41)</f>
        <v>238554</v>
      </c>
      <c r="N42" s="614"/>
      <c r="O42" s="614">
        <f>SUM(O39:O41)</f>
        <v>238554</v>
      </c>
      <c r="P42" s="614"/>
      <c r="Q42" s="614">
        <f>SUM(Q39:Q41)</f>
        <v>238554</v>
      </c>
      <c r="R42" s="614"/>
      <c r="S42" s="614">
        <f>SUM(S39:S41)</f>
        <v>238554</v>
      </c>
      <c r="T42" s="614"/>
      <c r="U42" s="614">
        <f>SUM(U39:U41)</f>
        <v>238554</v>
      </c>
      <c r="V42" s="614"/>
      <c r="W42" s="614">
        <f>SUM(W39:W41)</f>
        <v>238554</v>
      </c>
      <c r="X42" s="614"/>
      <c r="Y42" s="614">
        <f>SUM(Y39:Y41)</f>
        <v>238554</v>
      </c>
      <c r="Z42" s="614"/>
      <c r="AA42" s="614">
        <f>SUM(AA39:AA41)</f>
        <v>238554</v>
      </c>
      <c r="AB42" s="614"/>
      <c r="AC42" s="614">
        <f>SUM(AC39:AC41)</f>
        <v>238554</v>
      </c>
      <c r="AD42" s="614"/>
      <c r="AE42" s="614">
        <f>SUM(AE39:AE41)</f>
        <v>238554</v>
      </c>
      <c r="AF42" s="614"/>
      <c r="AG42" s="614">
        <f>SUM(AG39:AG41)</f>
        <v>238554</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35726.199999999953</v>
      </c>
      <c r="F44" s="614"/>
      <c r="G44" s="614">
        <f>G36-G42</f>
        <v>39810.755000000005</v>
      </c>
      <c r="H44" s="614"/>
      <c r="I44" s="614">
        <f>I36-I42</f>
        <v>43878.363124999916</v>
      </c>
      <c r="J44" s="614"/>
      <c r="K44" s="614">
        <f>K36-K42</f>
        <v>47924.430576874933</v>
      </c>
      <c r="L44" s="614"/>
      <c r="M44" s="614">
        <f>M36-M42</f>
        <v>51944.102698128088</v>
      </c>
      <c r="N44" s="614"/>
      <c r="O44" s="614">
        <f>O36-O42</f>
        <v>55932.252338701452</v>
      </c>
      <c r="P44" s="614"/>
      <c r="Q44" s="614">
        <f>Q36-Q42</f>
        <v>59883.467753024597</v>
      </c>
      <c r="R44" s="614"/>
      <c r="S44" s="614">
        <f>S36-S42</f>
        <v>63792.040009290213</v>
      </c>
      <c r="T44" s="614"/>
      <c r="U44" s="614">
        <f>U36-U42</f>
        <v>67651.949892285047</v>
      </c>
      <c r="V44" s="614"/>
      <c r="W44" s="614">
        <f>W36-W42</f>
        <v>71456.85428040137</v>
      </c>
      <c r="X44" s="614"/>
      <c r="Y44" s="614">
        <f>Y36-Y42</f>
        <v>75200.071976741427</v>
      </c>
      <c r="Z44" s="614"/>
      <c r="AA44" s="614">
        <f>AA36-AA42</f>
        <v>78874.568973481422</v>
      </c>
      <c r="AB44" s="614"/>
      <c r="AC44" s="614">
        <f>AC36-AC42</f>
        <v>82472.943127883249</v>
      </c>
      <c r="AD44" s="614"/>
      <c r="AE44" s="614">
        <f>AE36-AE42</f>
        <v>85987.408227551146</v>
      </c>
      <c r="AF44" s="614"/>
      <c r="AG44" s="614">
        <f>AG36-AG42</f>
        <v>89409.777421692968</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1204</v>
      </c>
      <c r="B46" s="618"/>
      <c r="C46" s="611"/>
      <c r="D46" s="618"/>
      <c r="E46" s="618">
        <f>E44/(E4+E6+E8)</f>
        <v>5.2863797246587761E-2</v>
      </c>
      <c r="F46" s="618"/>
      <c r="G46" s="618">
        <f>G44/(G4+G6+G8)</f>
        <v>5.7470910685171357E-2</v>
      </c>
      <c r="H46" s="618"/>
      <c r="I46" s="618">
        <f>I44/(I4+I6+I8)</f>
        <v>6.1797971198888003E-2</v>
      </c>
      <c r="J46" s="618"/>
      <c r="K46" s="618">
        <f>K44/(K4+K6+K8)</f>
        <v>6.5850169280322543E-2</v>
      </c>
      <c r="L46" s="618"/>
      <c r="M46" s="618">
        <f>M44/(M4+M6+M8)</f>
        <v>6.9632552844137816E-2</v>
      </c>
      <c r="N46" s="618"/>
      <c r="O46" s="618">
        <f>O44/(O4+O6+O8)</f>
        <v>7.3150030548579395E-2</v>
      </c>
      <c r="P46" s="618"/>
      <c r="Q46" s="618">
        <f>Q44/(Q4+Q6+Q8)</f>
        <v>7.6407375034447333E-2</v>
      </c>
      <c r="R46" s="618"/>
      <c r="S46" s="618">
        <f>S44/(S4+S6+S8)</f>
        <v>7.9409226083529266E-2</v>
      </c>
      <c r="T46" s="618"/>
      <c r="U46" s="618">
        <f>U44/(U4+U6+U8)</f>
        <v>8.2160093698450579E-2</v>
      </c>
      <c r="V46" s="618"/>
      <c r="W46" s="618">
        <f>W44/(W4+W6+W8)</f>
        <v>8.4664361105837499E-2</v>
      </c>
      <c r="X46" s="618"/>
      <c r="Y46" s="618">
        <f>Y44/(Y4+Y6+Y8)</f>
        <v>8.6926287684650924E-2</v>
      </c>
      <c r="Z46" s="618"/>
      <c r="AA46" s="618">
        <f>AA44/(AA4+AA6+AA8)</f>
        <v>8.8950011821502181E-2</v>
      </c>
      <c r="AB46" s="618"/>
      <c r="AC46" s="618">
        <f>AC44/(AC4+AC6+AC8)</f>
        <v>9.0739553694710734E-2</v>
      </c>
      <c r="AD46" s="618"/>
      <c r="AE46" s="618">
        <f>AE44/(AE4+AE6+AE8)</f>
        <v>9.2298817988832049E-2</v>
      </c>
      <c r="AF46" s="618"/>
      <c r="AG46" s="618">
        <f>AG44/(AG4+AG6+AG8)</f>
        <v>9.3631596541332268E-2</v>
      </c>
      <c r="AH46" s="618"/>
      <c r="AI46" s="618"/>
    </row>
    <row r="47" spans="1:35" ht="14">
      <c r="A47" s="618" t="s">
        <v>1205</v>
      </c>
      <c r="B47" s="618"/>
      <c r="C47" s="611"/>
      <c r="D47" s="618"/>
      <c r="E47" s="618">
        <f>E44/E42</f>
        <v>0.14976147958114286</v>
      </c>
      <c r="F47" s="618"/>
      <c r="G47" s="618">
        <f>G44/G42</f>
        <v>0.16688361964167445</v>
      </c>
      <c r="H47" s="618"/>
      <c r="I47" s="618">
        <f>I44/I42</f>
        <v>0.18393471970706807</v>
      </c>
      <c r="J47" s="618"/>
      <c r="K47" s="618">
        <f>K44/K42</f>
        <v>0.20089552292929455</v>
      </c>
      <c r="L47" s="618"/>
      <c r="M47" s="618">
        <f>M44/M42</f>
        <v>0.21774567895792185</v>
      </c>
      <c r="N47" s="618"/>
      <c r="O47" s="618">
        <f>O44/O42</f>
        <v>0.23446369517468352</v>
      </c>
      <c r="P47" s="618"/>
      <c r="Q47" s="618">
        <f>Q44/Q42</f>
        <v>0.25102688595883782</v>
      </c>
      <c r="R47" s="618"/>
      <c r="S47" s="618">
        <f>S44/S42</f>
        <v>0.26741131990782052</v>
      </c>
      <c r="T47" s="618"/>
      <c r="U47" s="618">
        <f>U44/U42</f>
        <v>0.28359176493492061</v>
      </c>
      <c r="V47" s="618"/>
      <c r="W47" s="618">
        <f>W44/W42</f>
        <v>0.29954163116276133</v>
      </c>
      <c r="X47" s="618"/>
      <c r="Y47" s="618">
        <f>Y44/Y42</f>
        <v>0.31523291152838112</v>
      </c>
      <c r="Z47" s="618"/>
      <c r="AA47" s="618">
        <f>AA44/AA42</f>
        <v>0.33063612001258175</v>
      </c>
      <c r="AB47" s="618"/>
      <c r="AC47" s="618">
        <f>AC44/AC42</f>
        <v>0.34572022740294966</v>
      </c>
      <c r="AD47" s="618"/>
      <c r="AE47" s="618">
        <f>AE44/AE42</f>
        <v>0.36045259449663869</v>
      </c>
      <c r="AF47" s="618"/>
      <c r="AG47" s="618">
        <f>AG44/AG42</f>
        <v>0.37479890264549315</v>
      </c>
      <c r="AH47" s="618"/>
      <c r="AI47" s="618"/>
    </row>
    <row r="48" spans="1:35" ht="14">
      <c r="A48" s="619" t="s">
        <v>1206</v>
      </c>
      <c r="B48" s="619"/>
      <c r="C48" s="620"/>
      <c r="D48" s="619"/>
      <c r="E48" s="619">
        <f>E36/E42</f>
        <v>1.1497614795811428</v>
      </c>
      <c r="F48" s="619"/>
      <c r="G48" s="619">
        <f>G36/G42</f>
        <v>1.1668836196416745</v>
      </c>
      <c r="H48" s="619"/>
      <c r="I48" s="619">
        <f>I36/I42</f>
        <v>1.183934719707068</v>
      </c>
      <c r="J48" s="619"/>
      <c r="K48" s="619">
        <f>K36/K42</f>
        <v>1.2008955229292946</v>
      </c>
      <c r="L48" s="619"/>
      <c r="M48" s="619">
        <f>M36/M42</f>
        <v>1.2177456789579217</v>
      </c>
      <c r="N48" s="619"/>
      <c r="O48" s="619">
        <f>O36/O42</f>
        <v>1.2344636951746835</v>
      </c>
      <c r="P48" s="619"/>
      <c r="Q48" s="619">
        <f>Q36/Q42</f>
        <v>1.2510268859588378</v>
      </c>
      <c r="R48" s="619"/>
      <c r="S48" s="619">
        <f>S36/S42</f>
        <v>1.2674113199078205</v>
      </c>
      <c r="T48" s="619"/>
      <c r="U48" s="619">
        <f>U36/U42</f>
        <v>1.2835917649349207</v>
      </c>
      <c r="V48" s="619"/>
      <c r="W48" s="619">
        <f>W36/W42</f>
        <v>1.2995416311627614</v>
      </c>
      <c r="X48" s="619"/>
      <c r="Y48" s="619">
        <f>Y36/Y42</f>
        <v>1.3152329115283812</v>
      </c>
      <c r="Z48" s="619"/>
      <c r="AA48" s="619">
        <f>AA36/AA42</f>
        <v>1.3306361200125818</v>
      </c>
      <c r="AB48" s="619"/>
      <c r="AC48" s="619">
        <f>AC36/AC42</f>
        <v>1.3457202274029496</v>
      </c>
      <c r="AD48" s="619"/>
      <c r="AE48" s="619">
        <f>AE36/AE42</f>
        <v>1.3604525944966388</v>
      </c>
      <c r="AF48" s="619"/>
      <c r="AG48" s="619">
        <f>AG36/AG42</f>
        <v>1.3747989026454932</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4"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634">
        <v>1.0349999999999999</v>
      </c>
      <c r="D52" s="598"/>
      <c r="E52" s="627">
        <v>25631</v>
      </c>
      <c r="F52" s="598"/>
      <c r="G52" s="1407">
        <f>E52*$C$52</f>
        <v>26528.084999999999</v>
      </c>
      <c r="H52" s="1407"/>
      <c r="I52" s="1407">
        <f>G52*$C$52</f>
        <v>27456.567974999998</v>
      </c>
      <c r="J52" s="1407"/>
      <c r="K52" s="1407">
        <f>I52*$C$52</f>
        <v>28417.547854124994</v>
      </c>
      <c r="L52" s="1407"/>
      <c r="M52" s="1407">
        <f>K52*$C$52</f>
        <v>29412.162029019368</v>
      </c>
      <c r="N52" s="1407"/>
      <c r="O52" s="1407">
        <f>M52*$C$52</f>
        <v>30441.587700035045</v>
      </c>
      <c r="P52" s="1407"/>
      <c r="Q52" s="1407">
        <f>O52*$C$52</f>
        <v>31507.043269536269</v>
      </c>
      <c r="R52" s="1407"/>
      <c r="S52" s="1407">
        <f>Q52*$C$52</f>
        <v>32609.789783970034</v>
      </c>
      <c r="T52" s="1407"/>
      <c r="U52" s="1407">
        <f>S52*$C$52</f>
        <v>33751.132426408985</v>
      </c>
      <c r="V52" s="1407"/>
      <c r="W52" s="1407">
        <f>U52*$C$52</f>
        <v>34932.422061333295</v>
      </c>
      <c r="X52" s="1407"/>
      <c r="Y52" s="1407">
        <f>W52*$C$52</f>
        <v>36155.056833479954</v>
      </c>
      <c r="Z52" s="1407"/>
      <c r="AA52" s="1407">
        <f>Y52*$C$52</f>
        <v>37420.483822651746</v>
      </c>
      <c r="AB52" s="1407"/>
      <c r="AC52" s="1407">
        <f>AA52*$C$52</f>
        <v>38730.200756444552</v>
      </c>
      <c r="AD52" s="1407"/>
      <c r="AE52" s="1407">
        <f>AC52*$C$52</f>
        <v>40085.757782920111</v>
      </c>
      <c r="AF52" s="1407"/>
      <c r="AG52" s="1407">
        <f>AE52*$C$52</f>
        <v>41488.75930532231</v>
      </c>
      <c r="AH52" s="598"/>
      <c r="AI52" s="598"/>
    </row>
    <row r="53" spans="1:35">
      <c r="A53" s="582" t="s">
        <v>1209</v>
      </c>
      <c r="B53" s="582"/>
      <c r="C53" s="637"/>
      <c r="D53" s="582"/>
      <c r="E53" s="628"/>
      <c r="F53" s="607"/>
      <c r="G53" s="1406">
        <f t="shared" ref="G53:AG56" si="14">E53*$C$52</f>
        <v>0</v>
      </c>
      <c r="H53" s="1406"/>
      <c r="I53" s="1406">
        <f t="shared" si="14"/>
        <v>0</v>
      </c>
      <c r="J53" s="1406"/>
      <c r="K53" s="1406">
        <f t="shared" si="14"/>
        <v>0</v>
      </c>
      <c r="L53" s="1406"/>
      <c r="M53" s="1406">
        <f t="shared" si="14"/>
        <v>0</v>
      </c>
      <c r="N53" s="1406"/>
      <c r="O53" s="1406">
        <f t="shared" si="14"/>
        <v>0</v>
      </c>
      <c r="P53" s="1406"/>
      <c r="Q53" s="1406">
        <f t="shared" si="14"/>
        <v>0</v>
      </c>
      <c r="R53" s="1406"/>
      <c r="S53" s="1406">
        <f t="shared" si="14"/>
        <v>0</v>
      </c>
      <c r="T53" s="1406"/>
      <c r="U53" s="1406">
        <f t="shared" si="14"/>
        <v>0</v>
      </c>
      <c r="V53" s="1406"/>
      <c r="W53" s="1406">
        <f t="shared" si="14"/>
        <v>0</v>
      </c>
      <c r="X53" s="1406"/>
      <c r="Y53" s="1406">
        <f t="shared" si="14"/>
        <v>0</v>
      </c>
      <c r="Z53" s="1406"/>
      <c r="AA53" s="1406">
        <f t="shared" si="14"/>
        <v>0</v>
      </c>
      <c r="AB53" s="1406"/>
      <c r="AC53" s="1406">
        <f t="shared" si="14"/>
        <v>0</v>
      </c>
      <c r="AD53" s="1406"/>
      <c r="AE53" s="1406">
        <f t="shared" si="14"/>
        <v>0</v>
      </c>
      <c r="AF53" s="1406"/>
      <c r="AG53" s="1406">
        <f t="shared" si="14"/>
        <v>0</v>
      </c>
      <c r="AH53" s="607"/>
      <c r="AI53" s="607"/>
    </row>
    <row r="54" spans="1:35">
      <c r="A54" s="582" t="s">
        <v>1210</v>
      </c>
      <c r="B54" s="582"/>
      <c r="C54" s="637"/>
      <c r="D54" s="582"/>
      <c r="E54" s="628"/>
      <c r="F54" s="607"/>
      <c r="G54" s="1406">
        <f t="shared" si="14"/>
        <v>0</v>
      </c>
      <c r="H54" s="1406"/>
      <c r="I54" s="1406">
        <f t="shared" si="14"/>
        <v>0</v>
      </c>
      <c r="J54" s="1406"/>
      <c r="K54" s="1406">
        <f t="shared" si="14"/>
        <v>0</v>
      </c>
      <c r="L54" s="1406"/>
      <c r="M54" s="1406">
        <f t="shared" si="14"/>
        <v>0</v>
      </c>
      <c r="N54" s="1406"/>
      <c r="O54" s="1406">
        <f t="shared" si="14"/>
        <v>0</v>
      </c>
      <c r="P54" s="1406"/>
      <c r="Q54" s="1406">
        <f t="shared" si="14"/>
        <v>0</v>
      </c>
      <c r="R54" s="1406"/>
      <c r="S54" s="1406">
        <f t="shared" si="14"/>
        <v>0</v>
      </c>
      <c r="T54" s="1406"/>
      <c r="U54" s="1406">
        <f t="shared" si="14"/>
        <v>0</v>
      </c>
      <c r="V54" s="1406"/>
      <c r="W54" s="1406">
        <f t="shared" si="14"/>
        <v>0</v>
      </c>
      <c r="X54" s="1406"/>
      <c r="Y54" s="1406">
        <f t="shared" si="14"/>
        <v>0</v>
      </c>
      <c r="Z54" s="1406"/>
      <c r="AA54" s="1406">
        <f t="shared" si="14"/>
        <v>0</v>
      </c>
      <c r="AB54" s="1406"/>
      <c r="AC54" s="1406">
        <f t="shared" si="14"/>
        <v>0</v>
      </c>
      <c r="AD54" s="1406"/>
      <c r="AE54" s="1406">
        <f t="shared" si="14"/>
        <v>0</v>
      </c>
      <c r="AF54" s="1406"/>
      <c r="AG54" s="1406">
        <f t="shared" si="14"/>
        <v>0</v>
      </c>
      <c r="AH54" s="607"/>
      <c r="AI54" s="607"/>
    </row>
    <row r="55" spans="1:35">
      <c r="A55" s="1544" t="s">
        <v>2537</v>
      </c>
      <c r="B55" s="626"/>
      <c r="C55" s="774">
        <v>1.0349999999999999</v>
      </c>
      <c r="D55" s="582"/>
      <c r="E55" s="628">
        <v>10000</v>
      </c>
      <c r="F55" s="607"/>
      <c r="G55" s="1406">
        <f>E55*$C$55</f>
        <v>10350</v>
      </c>
      <c r="H55" s="1406"/>
      <c r="I55" s="1406">
        <f t="shared" ref="I55:AG55" si="15">G55*$C$55</f>
        <v>10712.25</v>
      </c>
      <c r="J55" s="1406"/>
      <c r="K55" s="1406">
        <f t="shared" si="15"/>
        <v>11087.178749999999</v>
      </c>
      <c r="L55" s="1406"/>
      <c r="M55" s="1406">
        <f t="shared" si="15"/>
        <v>11475.230006249998</v>
      </c>
      <c r="N55" s="1406"/>
      <c r="O55" s="1406">
        <f t="shared" si="15"/>
        <v>11876.863056468746</v>
      </c>
      <c r="P55" s="1406"/>
      <c r="Q55" s="1406">
        <f t="shared" si="15"/>
        <v>12292.553263445152</v>
      </c>
      <c r="R55" s="1406"/>
      <c r="S55" s="1406">
        <f t="shared" si="15"/>
        <v>12722.792627665731</v>
      </c>
      <c r="T55" s="1406"/>
      <c r="U55" s="1406">
        <f t="shared" si="15"/>
        <v>13168.09036963403</v>
      </c>
      <c r="V55" s="1406"/>
      <c r="W55" s="1406">
        <f t="shared" si="15"/>
        <v>13628.973532571221</v>
      </c>
      <c r="X55" s="1406"/>
      <c r="Y55" s="1406">
        <f t="shared" si="15"/>
        <v>14105.987606211213</v>
      </c>
      <c r="Z55" s="1406"/>
      <c r="AA55" s="1406">
        <f t="shared" si="15"/>
        <v>14599.697172428603</v>
      </c>
      <c r="AB55" s="1406"/>
      <c r="AC55" s="1406">
        <f t="shared" si="15"/>
        <v>15110.686573463603</v>
      </c>
      <c r="AD55" s="1406"/>
      <c r="AE55" s="1406">
        <f t="shared" si="15"/>
        <v>15639.560603534828</v>
      </c>
      <c r="AF55" s="1406"/>
      <c r="AG55" s="1406">
        <f t="shared" si="15"/>
        <v>16186.945224658546</v>
      </c>
      <c r="AH55" s="607"/>
      <c r="AI55" s="607"/>
    </row>
    <row r="56" spans="1:35">
      <c r="A56" s="626"/>
      <c r="B56" s="626"/>
      <c r="C56" s="637"/>
      <c r="D56" s="582"/>
      <c r="E56" s="633"/>
      <c r="F56" s="607"/>
      <c r="G56" s="1408">
        <f t="shared" si="14"/>
        <v>0</v>
      </c>
      <c r="H56" s="1406"/>
      <c r="I56" s="1408">
        <f t="shared" si="14"/>
        <v>0</v>
      </c>
      <c r="J56" s="1406"/>
      <c r="K56" s="1408">
        <f t="shared" si="14"/>
        <v>0</v>
      </c>
      <c r="L56" s="1406"/>
      <c r="M56" s="1408">
        <f t="shared" si="14"/>
        <v>0</v>
      </c>
      <c r="N56" s="1406"/>
      <c r="O56" s="1408">
        <f t="shared" si="14"/>
        <v>0</v>
      </c>
      <c r="P56" s="1406"/>
      <c r="Q56" s="1408">
        <f t="shared" si="14"/>
        <v>0</v>
      </c>
      <c r="R56" s="1406"/>
      <c r="S56" s="1408">
        <f t="shared" si="14"/>
        <v>0</v>
      </c>
      <c r="T56" s="1406"/>
      <c r="U56" s="1408">
        <f t="shared" si="14"/>
        <v>0</v>
      </c>
      <c r="V56" s="1406"/>
      <c r="W56" s="1408">
        <f t="shared" si="14"/>
        <v>0</v>
      </c>
      <c r="X56" s="1406"/>
      <c r="Y56" s="1408">
        <f t="shared" si="14"/>
        <v>0</v>
      </c>
      <c r="Z56" s="1406"/>
      <c r="AA56" s="1408">
        <f t="shared" si="14"/>
        <v>0</v>
      </c>
      <c r="AB56" s="1406"/>
      <c r="AC56" s="1408">
        <f t="shared" si="14"/>
        <v>0</v>
      </c>
      <c r="AD56" s="1406"/>
      <c r="AE56" s="1408">
        <f t="shared" si="14"/>
        <v>0</v>
      </c>
      <c r="AF56" s="1406"/>
      <c r="AG56" s="1408">
        <f t="shared" si="14"/>
        <v>0</v>
      </c>
      <c r="AH56" s="607"/>
      <c r="AI56" s="607"/>
    </row>
    <row r="57" spans="1:35">
      <c r="A57" s="598" t="s">
        <v>1211</v>
      </c>
      <c r="B57" s="582"/>
      <c r="C57" s="624"/>
      <c r="D57" s="582"/>
      <c r="E57" s="607">
        <f>SUM(E52:E56)</f>
        <v>35631</v>
      </c>
      <c r="F57" s="607"/>
      <c r="G57" s="607">
        <f>SUM(G52:G56)</f>
        <v>36878.084999999999</v>
      </c>
      <c r="H57" s="607"/>
      <c r="I57" s="607">
        <f>SUM(I52:I56)</f>
        <v>38168.817974999998</v>
      </c>
      <c r="J57" s="607"/>
      <c r="K57" s="607">
        <f>SUM(K52:K56)</f>
        <v>39504.726604124997</v>
      </c>
      <c r="L57" s="607"/>
      <c r="M57" s="607">
        <f>SUM(M52:M56)</f>
        <v>40887.392035269368</v>
      </c>
      <c r="N57" s="607"/>
      <c r="O57" s="607">
        <f>SUM(O52:O56)</f>
        <v>42318.450756503793</v>
      </c>
      <c r="P57" s="607"/>
      <c r="Q57" s="607">
        <f>SUM(Q52:Q56)</f>
        <v>43799.596532981421</v>
      </c>
      <c r="R57" s="607"/>
      <c r="S57" s="607">
        <f>SUM(S52:S56)</f>
        <v>45332.582411635769</v>
      </c>
      <c r="T57" s="607"/>
      <c r="U57" s="607">
        <f>SUM(U52:U56)</f>
        <v>46919.222796043017</v>
      </c>
      <c r="V57" s="607"/>
      <c r="W57" s="607">
        <f>SUM(W52:W56)</f>
        <v>48561.395593904512</v>
      </c>
      <c r="X57" s="607"/>
      <c r="Y57" s="607">
        <f>SUM(Y52:Y56)</f>
        <v>50261.044439691163</v>
      </c>
      <c r="Z57" s="607"/>
      <c r="AA57" s="607">
        <f>SUM(AA52:AA56)</f>
        <v>52020.180995080351</v>
      </c>
      <c r="AB57" s="607"/>
      <c r="AC57" s="607">
        <f>SUM(AC52:AC56)</f>
        <v>53840.887329908153</v>
      </c>
      <c r="AD57" s="607"/>
      <c r="AE57" s="607">
        <f>SUM(AE52:AE56)</f>
        <v>55725.318386454936</v>
      </c>
      <c r="AF57" s="607"/>
      <c r="AG57" s="607">
        <f>SUM(AG52:AG56)</f>
        <v>57675.704529980852</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95.199999999953434</v>
      </c>
      <c r="F59" s="598"/>
      <c r="G59" s="598">
        <f>G44-G57</f>
        <v>2932.6700000000055</v>
      </c>
      <c r="H59" s="598"/>
      <c r="I59" s="598">
        <f>I44-I57</f>
        <v>5709.5451499999181</v>
      </c>
      <c r="J59" s="598"/>
      <c r="K59" s="598">
        <f>K44-K57</f>
        <v>8419.7039727499359</v>
      </c>
      <c r="L59" s="598"/>
      <c r="M59" s="598">
        <f>M44-M57</f>
        <v>11056.710662858721</v>
      </c>
      <c r="N59" s="598"/>
      <c r="O59" s="598">
        <f>O44-O57</f>
        <v>13613.801582197659</v>
      </c>
      <c r="P59" s="598"/>
      <c r="Q59" s="598">
        <f>Q44-Q57</f>
        <v>16083.871220043176</v>
      </c>
      <c r="R59" s="598"/>
      <c r="S59" s="598">
        <f>S44-S57</f>
        <v>18459.457597654444</v>
      </c>
      <c r="T59" s="598"/>
      <c r="U59" s="598">
        <f>U44-U57</f>
        <v>20732.72709624203</v>
      </c>
      <c r="V59" s="598"/>
      <c r="W59" s="598">
        <f>W44-W57</f>
        <v>22895.458686496859</v>
      </c>
      <c r="X59" s="598"/>
      <c r="Y59" s="598">
        <f>Y44-Y57</f>
        <v>24939.027537050264</v>
      </c>
      <c r="Z59" s="598"/>
      <c r="AA59" s="598">
        <f>AA44-AA57</f>
        <v>26854.387978401071</v>
      </c>
      <c r="AB59" s="598"/>
      <c r="AC59" s="598">
        <f>AC44-AC57</f>
        <v>28632.055797975096</v>
      </c>
      <c r="AD59" s="598"/>
      <c r="AE59" s="598">
        <f>AE44-AE57</f>
        <v>30262.089841096211</v>
      </c>
      <c r="AF59" s="598"/>
      <c r="AG59" s="598">
        <f>AG44-AG57</f>
        <v>31734.072891712116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4"/>
      <c r="D61" s="598"/>
      <c r="E61" s="627">
        <v>0</v>
      </c>
      <c r="F61" s="598"/>
      <c r="G61" s="1413">
        <f>G59*$C$61</f>
        <v>0</v>
      </c>
      <c r="H61" s="1409"/>
      <c r="I61" s="1413">
        <f>I59*$C$61</f>
        <v>0</v>
      </c>
      <c r="J61" s="1409"/>
      <c r="K61" s="1413">
        <f>K59*$C$61</f>
        <v>0</v>
      </c>
      <c r="L61" s="1409"/>
      <c r="M61" s="1413">
        <f>M59*$C$61</f>
        <v>0</v>
      </c>
      <c r="N61" s="1409"/>
      <c r="O61" s="1413">
        <f>O59*$C$61</f>
        <v>0</v>
      </c>
      <c r="P61" s="1409"/>
      <c r="Q61" s="1413">
        <f>Q59*$C$61</f>
        <v>0</v>
      </c>
      <c r="R61" s="1409"/>
      <c r="S61" s="1413">
        <f>S59*$C$61</f>
        <v>0</v>
      </c>
      <c r="T61" s="1409"/>
      <c r="U61" s="1413">
        <f>U59*$C$61</f>
        <v>0</v>
      </c>
      <c r="V61" s="1409"/>
      <c r="W61" s="1413">
        <f>W59*$C$61</f>
        <v>0</v>
      </c>
      <c r="X61" s="1409"/>
      <c r="Y61" s="1413">
        <f>Y59*$C$61</f>
        <v>0</v>
      </c>
      <c r="Z61" s="1409"/>
      <c r="AA61" s="1413">
        <f>AA59*$C$61</f>
        <v>0</v>
      </c>
      <c r="AB61" s="598"/>
      <c r="AC61" s="1413">
        <f>AC59*$C$61</f>
        <v>0</v>
      </c>
      <c r="AD61" s="598"/>
      <c r="AE61" s="1413">
        <f>AE59*$C$61</f>
        <v>0</v>
      </c>
      <c r="AF61" s="598"/>
      <c r="AG61" s="1413">
        <f>AG59*$C$61</f>
        <v>0</v>
      </c>
      <c r="AH61" s="598"/>
      <c r="AI61" s="598"/>
    </row>
    <row r="62" spans="1:35" s="2" customFormat="1">
      <c r="A62" s="1409"/>
      <c r="B62" s="1409"/>
      <c r="C62" s="1410"/>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545">
        <f>SUM(C65:C69)</f>
        <v>0.49999999999999994</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1023 1025:2047 2049:3071 3073:4095 4097:5119 5121:6143 6145:7167 7169:8191 8193:9215 9217:10239 10241:11263 11265:12287 12289:13311 13313:14335 14337:15359 15361:16383" s="1409" customFormat="1" ht="13">
      <c r="A65" s="1548" t="s">
        <v>2455</v>
      </c>
      <c r="B65" s="627"/>
      <c r="C65" s="1547">
        <v>3.4299999999999997E-2</v>
      </c>
      <c r="D65" s="598"/>
      <c r="E65" s="627">
        <f>E$59*$C$65</f>
        <v>3.2653599999984024</v>
      </c>
      <c r="G65" s="627">
        <f t="shared" ref="G65:AG65" si="16">G$59*$C$65</f>
        <v>100.59058100000018</v>
      </c>
      <c r="I65" s="627">
        <f t="shared" si="16"/>
        <v>195.83739864499717</v>
      </c>
      <c r="K65" s="627">
        <f t="shared" si="16"/>
        <v>288.79584626532278</v>
      </c>
      <c r="M65" s="627">
        <f t="shared" si="16"/>
        <v>379.24517573605408</v>
      </c>
      <c r="O65" s="627">
        <f t="shared" si="16"/>
        <v>466.95339426937966</v>
      </c>
      <c r="Q65" s="627">
        <f t="shared" si="16"/>
        <v>551.67678284748092</v>
      </c>
      <c r="S65" s="627">
        <f t="shared" si="16"/>
        <v>633.15939559954734</v>
      </c>
      <c r="U65" s="627">
        <f t="shared" si="16"/>
        <v>711.13253940110155</v>
      </c>
      <c r="W65" s="627">
        <f t="shared" si="16"/>
        <v>785.31423294684214</v>
      </c>
      <c r="Y65" s="627">
        <f t="shared" si="16"/>
        <v>855.40864452082394</v>
      </c>
      <c r="AA65" s="627">
        <f t="shared" si="16"/>
        <v>921.10550765915673</v>
      </c>
      <c r="AC65" s="627">
        <f t="shared" si="16"/>
        <v>982.07951387054572</v>
      </c>
      <c r="AE65" s="627">
        <f t="shared" si="16"/>
        <v>1037.9896815495999</v>
      </c>
      <c r="AG65" s="627">
        <f t="shared" si="16"/>
        <v>1088.4787001857255</v>
      </c>
      <c r="AI65" s="627"/>
      <c r="AK65" s="627"/>
      <c r="AM65" s="627"/>
      <c r="AO65" s="627"/>
      <c r="AQ65" s="627"/>
      <c r="AS65" s="627"/>
      <c r="AU65" s="627"/>
      <c r="AW65" s="627"/>
      <c r="AY65" s="627"/>
      <c r="BA65" s="627"/>
      <c r="BC65" s="627"/>
      <c r="BE65" s="627"/>
      <c r="BG65" s="627"/>
      <c r="BI65" s="627"/>
      <c r="BK65" s="627"/>
      <c r="BM65" s="627"/>
      <c r="BO65" s="627"/>
      <c r="BQ65" s="627"/>
      <c r="BS65" s="627"/>
      <c r="BU65" s="627"/>
      <c r="BW65" s="627"/>
      <c r="BY65" s="627"/>
      <c r="CA65" s="627"/>
      <c r="CC65" s="627"/>
      <c r="CE65" s="627"/>
      <c r="CG65" s="627"/>
      <c r="CI65" s="627"/>
      <c r="CK65" s="627"/>
      <c r="CM65" s="627"/>
      <c r="CO65" s="627"/>
      <c r="CQ65" s="627"/>
      <c r="CS65" s="627"/>
      <c r="CU65" s="627"/>
      <c r="CW65" s="627"/>
      <c r="CY65" s="627"/>
      <c r="DA65" s="627"/>
      <c r="DC65" s="627"/>
      <c r="DE65" s="627"/>
      <c r="DG65" s="627"/>
      <c r="DI65" s="627"/>
      <c r="DK65" s="627"/>
      <c r="DM65" s="627"/>
      <c r="DO65" s="627"/>
      <c r="DQ65" s="627"/>
      <c r="DS65" s="627"/>
      <c r="DU65" s="627"/>
      <c r="DW65" s="627"/>
      <c r="DY65" s="627"/>
      <c r="EA65" s="627"/>
      <c r="EC65" s="627"/>
      <c r="EE65" s="627"/>
      <c r="EG65" s="627"/>
      <c r="EI65" s="627"/>
      <c r="EK65" s="627"/>
      <c r="EM65" s="627"/>
      <c r="EO65" s="627"/>
      <c r="EQ65" s="627"/>
      <c r="ES65" s="627"/>
      <c r="EU65" s="627"/>
      <c r="EW65" s="627"/>
      <c r="EY65" s="627"/>
      <c r="FA65" s="627"/>
      <c r="FC65" s="627"/>
      <c r="FE65" s="627"/>
      <c r="FG65" s="627"/>
      <c r="FI65" s="627"/>
      <c r="FK65" s="627"/>
      <c r="FM65" s="627"/>
      <c r="FO65" s="627"/>
      <c r="FQ65" s="627"/>
      <c r="FS65" s="627"/>
      <c r="FU65" s="627"/>
      <c r="FW65" s="627"/>
      <c r="FY65" s="627"/>
      <c r="GA65" s="627"/>
      <c r="GC65" s="627"/>
      <c r="GE65" s="627"/>
      <c r="GG65" s="627"/>
      <c r="GI65" s="627"/>
      <c r="GK65" s="627"/>
      <c r="GM65" s="627"/>
      <c r="GO65" s="627"/>
      <c r="GQ65" s="627"/>
      <c r="GS65" s="627"/>
      <c r="GU65" s="627"/>
      <c r="GW65" s="627"/>
      <c r="GY65" s="627"/>
      <c r="HA65" s="627"/>
      <c r="HC65" s="627"/>
      <c r="HE65" s="627"/>
      <c r="HG65" s="627"/>
      <c r="HI65" s="627"/>
      <c r="HK65" s="627"/>
      <c r="HM65" s="627"/>
      <c r="HO65" s="627"/>
      <c r="HQ65" s="627"/>
      <c r="HS65" s="627"/>
      <c r="HU65" s="627"/>
      <c r="HW65" s="627"/>
      <c r="HY65" s="627"/>
      <c r="IA65" s="627"/>
      <c r="IC65" s="627"/>
      <c r="IE65" s="627"/>
      <c r="IG65" s="627"/>
      <c r="II65" s="627"/>
      <c r="IK65" s="627"/>
      <c r="IM65" s="627"/>
      <c r="IO65" s="627"/>
      <c r="IQ65" s="627"/>
      <c r="IS65" s="627"/>
      <c r="IU65" s="627"/>
      <c r="IW65" s="627"/>
      <c r="IY65" s="627"/>
      <c r="JA65" s="627"/>
      <c r="JC65" s="627"/>
      <c r="JE65" s="627"/>
      <c r="JG65" s="627"/>
      <c r="JI65" s="627"/>
      <c r="JK65" s="627"/>
      <c r="JM65" s="627"/>
      <c r="JO65" s="627"/>
      <c r="JQ65" s="627"/>
      <c r="JS65" s="627"/>
      <c r="JU65" s="627"/>
      <c r="JW65" s="627"/>
      <c r="JY65" s="627"/>
      <c r="KA65" s="627"/>
      <c r="KC65" s="627"/>
      <c r="KE65" s="627"/>
      <c r="KG65" s="627"/>
      <c r="KI65" s="627"/>
      <c r="KK65" s="627"/>
      <c r="KM65" s="627"/>
      <c r="KO65" s="627"/>
      <c r="KQ65" s="627"/>
      <c r="KS65" s="627"/>
      <c r="KU65" s="627"/>
      <c r="KW65" s="627"/>
      <c r="KY65" s="627"/>
      <c r="LA65" s="627"/>
      <c r="LC65" s="627"/>
      <c r="LE65" s="627"/>
      <c r="LG65" s="627"/>
      <c r="LI65" s="627"/>
      <c r="LK65" s="627"/>
      <c r="LM65" s="627"/>
      <c r="LO65" s="627"/>
      <c r="LQ65" s="627"/>
      <c r="LS65" s="627"/>
      <c r="LU65" s="627"/>
      <c r="LW65" s="627"/>
      <c r="LY65" s="627"/>
      <c r="MA65" s="627"/>
      <c r="MC65" s="627"/>
      <c r="ME65" s="627"/>
      <c r="MG65" s="627"/>
      <c r="MI65" s="627"/>
      <c r="MK65" s="627"/>
      <c r="MM65" s="627"/>
      <c r="MO65" s="627"/>
      <c r="MQ65" s="627"/>
      <c r="MS65" s="627"/>
      <c r="MU65" s="627"/>
      <c r="MW65" s="627"/>
      <c r="MY65" s="627"/>
      <c r="NA65" s="627"/>
      <c r="NC65" s="627"/>
      <c r="NE65" s="627"/>
      <c r="NG65" s="627"/>
      <c r="NI65" s="627"/>
      <c r="NK65" s="627"/>
      <c r="NM65" s="627"/>
      <c r="NO65" s="627"/>
      <c r="NQ65" s="627"/>
      <c r="NS65" s="627"/>
      <c r="NU65" s="627"/>
      <c r="NW65" s="627"/>
      <c r="NY65" s="627"/>
      <c r="OA65" s="627"/>
      <c r="OC65" s="627"/>
      <c r="OE65" s="627"/>
      <c r="OG65" s="627"/>
      <c r="OI65" s="627"/>
      <c r="OK65" s="627"/>
      <c r="OM65" s="627"/>
      <c r="OO65" s="627"/>
      <c r="OQ65" s="627"/>
      <c r="OS65" s="627"/>
      <c r="OU65" s="627"/>
      <c r="OW65" s="627"/>
      <c r="OY65" s="627"/>
      <c r="PA65" s="627"/>
      <c r="PC65" s="627"/>
      <c r="PE65" s="627"/>
      <c r="PG65" s="627"/>
      <c r="PI65" s="627"/>
      <c r="PK65" s="627"/>
      <c r="PM65" s="627"/>
      <c r="PO65" s="627"/>
      <c r="PQ65" s="627"/>
      <c r="PS65" s="627"/>
      <c r="PU65" s="627"/>
      <c r="PW65" s="627"/>
      <c r="PY65" s="627"/>
      <c r="QA65" s="627"/>
      <c r="QC65" s="627"/>
      <c r="QE65" s="627"/>
      <c r="QG65" s="627"/>
      <c r="QI65" s="627"/>
      <c r="QK65" s="627"/>
      <c r="QM65" s="627"/>
      <c r="QO65" s="627"/>
      <c r="QQ65" s="627"/>
      <c r="QS65" s="627"/>
      <c r="QU65" s="627"/>
      <c r="QW65" s="627"/>
      <c r="QY65" s="627"/>
      <c r="RA65" s="627"/>
      <c r="RC65" s="627"/>
      <c r="RE65" s="627"/>
      <c r="RG65" s="627"/>
      <c r="RI65" s="627"/>
      <c r="RK65" s="627"/>
      <c r="RM65" s="627"/>
      <c r="RO65" s="627"/>
      <c r="RQ65" s="627"/>
      <c r="RS65" s="627"/>
      <c r="RU65" s="627"/>
      <c r="RW65" s="627"/>
      <c r="RY65" s="627"/>
      <c r="SA65" s="627"/>
      <c r="SC65" s="627"/>
      <c r="SE65" s="627"/>
      <c r="SG65" s="627"/>
      <c r="SI65" s="627"/>
      <c r="SK65" s="627"/>
      <c r="SM65" s="627"/>
      <c r="SO65" s="627"/>
      <c r="SQ65" s="627"/>
      <c r="SS65" s="627"/>
      <c r="SU65" s="627"/>
      <c r="SW65" s="627"/>
      <c r="SY65" s="627"/>
      <c r="TA65" s="627"/>
      <c r="TC65" s="627"/>
      <c r="TE65" s="627"/>
      <c r="TG65" s="627"/>
      <c r="TI65" s="627"/>
      <c r="TK65" s="627"/>
      <c r="TM65" s="627"/>
      <c r="TO65" s="627"/>
      <c r="TQ65" s="627"/>
      <c r="TS65" s="627"/>
      <c r="TU65" s="627"/>
      <c r="TW65" s="627"/>
      <c r="TY65" s="627"/>
      <c r="UA65" s="627"/>
      <c r="UC65" s="627"/>
      <c r="UE65" s="627"/>
      <c r="UG65" s="627"/>
      <c r="UI65" s="627"/>
      <c r="UK65" s="627"/>
      <c r="UM65" s="627"/>
      <c r="UO65" s="627"/>
      <c r="UQ65" s="627"/>
      <c r="US65" s="627"/>
      <c r="UU65" s="627"/>
      <c r="UW65" s="627"/>
      <c r="UY65" s="627"/>
      <c r="VA65" s="627"/>
      <c r="VC65" s="627"/>
      <c r="VE65" s="627"/>
      <c r="VG65" s="627"/>
      <c r="VI65" s="627"/>
      <c r="VK65" s="627"/>
      <c r="VM65" s="627"/>
      <c r="VO65" s="627"/>
      <c r="VQ65" s="627"/>
      <c r="VS65" s="627"/>
      <c r="VU65" s="627"/>
      <c r="VW65" s="627"/>
      <c r="VY65" s="627"/>
      <c r="WA65" s="627"/>
      <c r="WC65" s="627"/>
      <c r="WE65" s="627"/>
      <c r="WG65" s="627"/>
      <c r="WI65" s="627"/>
      <c r="WK65" s="627"/>
      <c r="WM65" s="627"/>
      <c r="WO65" s="627"/>
      <c r="WQ65" s="627"/>
      <c r="WS65" s="627"/>
      <c r="WU65" s="627"/>
      <c r="WW65" s="627"/>
      <c r="WY65" s="627"/>
      <c r="XA65" s="627"/>
      <c r="XC65" s="627"/>
      <c r="XE65" s="627"/>
      <c r="XG65" s="627"/>
      <c r="XI65" s="627"/>
      <c r="XK65" s="627"/>
      <c r="XM65" s="627"/>
      <c r="XO65" s="627"/>
      <c r="XQ65" s="627"/>
      <c r="XS65" s="627"/>
      <c r="XU65" s="627"/>
      <c r="XW65" s="627"/>
      <c r="XY65" s="627"/>
      <c r="YA65" s="627"/>
      <c r="YC65" s="627"/>
      <c r="YE65" s="627"/>
      <c r="YG65" s="627"/>
      <c r="YI65" s="627"/>
      <c r="YK65" s="627"/>
      <c r="YM65" s="627"/>
      <c r="YO65" s="627"/>
      <c r="YQ65" s="627"/>
      <c r="YS65" s="627"/>
      <c r="YU65" s="627"/>
      <c r="YW65" s="627"/>
      <c r="YY65" s="627"/>
      <c r="ZA65" s="627"/>
      <c r="ZC65" s="627"/>
      <c r="ZE65" s="627"/>
      <c r="ZG65" s="627"/>
      <c r="ZI65" s="627"/>
      <c r="ZK65" s="627"/>
      <c r="ZM65" s="627"/>
      <c r="ZO65" s="627"/>
      <c r="ZQ65" s="627"/>
      <c r="ZS65" s="627"/>
      <c r="ZU65" s="627"/>
      <c r="ZW65" s="627"/>
      <c r="ZY65" s="627"/>
      <c r="AAA65" s="627"/>
      <c r="AAC65" s="627"/>
      <c r="AAE65" s="627"/>
      <c r="AAG65" s="627"/>
      <c r="AAI65" s="627"/>
      <c r="AAK65" s="627"/>
      <c r="AAM65" s="627"/>
      <c r="AAO65" s="627"/>
      <c r="AAQ65" s="627"/>
      <c r="AAS65" s="627"/>
      <c r="AAU65" s="627"/>
      <c r="AAW65" s="627"/>
      <c r="AAY65" s="627"/>
      <c r="ABA65" s="627"/>
      <c r="ABC65" s="627"/>
      <c r="ABE65" s="627"/>
      <c r="ABG65" s="627"/>
      <c r="ABI65" s="627"/>
      <c r="ABK65" s="627"/>
      <c r="ABM65" s="627"/>
      <c r="ABO65" s="627"/>
      <c r="ABQ65" s="627"/>
      <c r="ABS65" s="627"/>
      <c r="ABU65" s="627"/>
      <c r="ABW65" s="627"/>
      <c r="ABY65" s="627"/>
      <c r="ACA65" s="627"/>
      <c r="ACC65" s="627"/>
      <c r="ACE65" s="627"/>
      <c r="ACG65" s="627"/>
      <c r="ACI65" s="627"/>
      <c r="ACK65" s="627"/>
      <c r="ACM65" s="627"/>
      <c r="ACO65" s="627"/>
      <c r="ACQ65" s="627"/>
      <c r="ACS65" s="627"/>
      <c r="ACU65" s="627"/>
      <c r="ACW65" s="627"/>
      <c r="ACY65" s="627"/>
      <c r="ADA65" s="627"/>
      <c r="ADC65" s="627"/>
      <c r="ADE65" s="627"/>
      <c r="ADG65" s="627"/>
      <c r="ADI65" s="627"/>
      <c r="ADK65" s="627"/>
      <c r="ADM65" s="627"/>
      <c r="ADO65" s="627"/>
      <c r="ADQ65" s="627"/>
      <c r="ADS65" s="627"/>
      <c r="ADU65" s="627"/>
      <c r="ADW65" s="627"/>
      <c r="ADY65" s="627"/>
      <c r="AEA65" s="627"/>
      <c r="AEC65" s="627"/>
      <c r="AEE65" s="627"/>
      <c r="AEG65" s="627"/>
      <c r="AEI65" s="627"/>
      <c r="AEK65" s="627"/>
      <c r="AEM65" s="627"/>
      <c r="AEO65" s="627"/>
      <c r="AEQ65" s="627"/>
      <c r="AES65" s="627"/>
      <c r="AEU65" s="627"/>
      <c r="AEW65" s="627"/>
      <c r="AEY65" s="627"/>
      <c r="AFA65" s="627"/>
      <c r="AFC65" s="627"/>
      <c r="AFE65" s="627"/>
      <c r="AFG65" s="627"/>
      <c r="AFI65" s="627"/>
      <c r="AFK65" s="627"/>
      <c r="AFM65" s="627"/>
      <c r="AFO65" s="627"/>
      <c r="AFQ65" s="627"/>
      <c r="AFS65" s="627"/>
      <c r="AFU65" s="627"/>
      <c r="AFW65" s="627"/>
      <c r="AFY65" s="627"/>
      <c r="AGA65" s="627"/>
      <c r="AGC65" s="627"/>
      <c r="AGE65" s="627"/>
      <c r="AGG65" s="627"/>
      <c r="AGI65" s="627"/>
      <c r="AGK65" s="627"/>
      <c r="AGM65" s="627"/>
      <c r="AGO65" s="627"/>
      <c r="AGQ65" s="627"/>
      <c r="AGS65" s="627"/>
      <c r="AGU65" s="627"/>
      <c r="AGW65" s="627"/>
      <c r="AGY65" s="627"/>
      <c r="AHA65" s="627"/>
      <c r="AHC65" s="627"/>
      <c r="AHE65" s="627"/>
      <c r="AHG65" s="627"/>
      <c r="AHI65" s="627"/>
      <c r="AHK65" s="627"/>
      <c r="AHM65" s="627"/>
      <c r="AHO65" s="627"/>
      <c r="AHQ65" s="627"/>
      <c r="AHS65" s="627"/>
      <c r="AHU65" s="627"/>
      <c r="AHW65" s="627"/>
      <c r="AHY65" s="627"/>
      <c r="AIA65" s="627"/>
      <c r="AIC65" s="627"/>
      <c r="AIE65" s="627"/>
      <c r="AIG65" s="627"/>
      <c r="AII65" s="627"/>
      <c r="AIK65" s="627"/>
      <c r="AIM65" s="627"/>
      <c r="AIO65" s="627"/>
      <c r="AIQ65" s="627"/>
      <c r="AIS65" s="627"/>
      <c r="AIU65" s="627"/>
      <c r="AIW65" s="627"/>
      <c r="AIY65" s="627"/>
      <c r="AJA65" s="627"/>
      <c r="AJC65" s="627"/>
      <c r="AJE65" s="627"/>
      <c r="AJG65" s="627"/>
      <c r="AJI65" s="627"/>
      <c r="AJK65" s="627"/>
      <c r="AJM65" s="627"/>
      <c r="AJO65" s="627"/>
      <c r="AJQ65" s="627"/>
      <c r="AJS65" s="627"/>
      <c r="AJU65" s="627"/>
      <c r="AJW65" s="627"/>
      <c r="AJY65" s="627"/>
      <c r="AKA65" s="627"/>
      <c r="AKC65" s="627"/>
      <c r="AKE65" s="627"/>
      <c r="AKG65" s="627"/>
      <c r="AKI65" s="627"/>
      <c r="AKK65" s="627"/>
      <c r="AKM65" s="627"/>
      <c r="AKO65" s="627"/>
      <c r="AKQ65" s="627"/>
      <c r="AKS65" s="627"/>
      <c r="AKU65" s="627"/>
      <c r="AKW65" s="627"/>
      <c r="AKY65" s="627"/>
      <c r="ALA65" s="627"/>
      <c r="ALC65" s="627"/>
      <c r="ALE65" s="627"/>
      <c r="ALG65" s="627"/>
      <c r="ALI65" s="627"/>
      <c r="ALK65" s="627"/>
      <c r="ALM65" s="627"/>
      <c r="ALO65" s="627"/>
      <c r="ALQ65" s="627"/>
      <c r="ALS65" s="627"/>
      <c r="ALU65" s="627"/>
      <c r="ALW65" s="627"/>
      <c r="ALY65" s="627"/>
      <c r="AMA65" s="627"/>
      <c r="AMC65" s="627"/>
      <c r="AME65" s="627"/>
      <c r="AMG65" s="627"/>
      <c r="AMI65" s="627"/>
      <c r="AMK65" s="627"/>
      <c r="AMM65" s="627"/>
      <c r="AMO65" s="627"/>
      <c r="AMQ65" s="627"/>
      <c r="AMS65" s="627"/>
      <c r="AMU65" s="627"/>
      <c r="AMW65" s="627"/>
      <c r="AMY65" s="627"/>
      <c r="ANA65" s="627"/>
      <c r="ANC65" s="627"/>
      <c r="ANE65" s="627"/>
      <c r="ANG65" s="627"/>
      <c r="ANI65" s="627"/>
      <c r="ANK65" s="627"/>
      <c r="ANM65" s="627"/>
      <c r="ANO65" s="627"/>
      <c r="ANQ65" s="627"/>
      <c r="ANS65" s="627"/>
      <c r="ANU65" s="627"/>
      <c r="ANW65" s="627"/>
      <c r="ANY65" s="627"/>
      <c r="AOA65" s="627"/>
      <c r="AOC65" s="627"/>
      <c r="AOE65" s="627"/>
      <c r="AOG65" s="627"/>
      <c r="AOI65" s="627"/>
      <c r="AOK65" s="627"/>
      <c r="AOM65" s="627"/>
      <c r="AOO65" s="627"/>
      <c r="AOQ65" s="627"/>
      <c r="AOS65" s="627"/>
      <c r="AOU65" s="627"/>
      <c r="AOW65" s="627"/>
      <c r="AOY65" s="627"/>
      <c r="APA65" s="627"/>
      <c r="APC65" s="627"/>
      <c r="APE65" s="627"/>
      <c r="APG65" s="627"/>
      <c r="API65" s="627"/>
      <c r="APK65" s="627"/>
      <c r="APM65" s="627"/>
      <c r="APO65" s="627"/>
      <c r="APQ65" s="627"/>
      <c r="APS65" s="627"/>
      <c r="APU65" s="627"/>
      <c r="APW65" s="627"/>
      <c r="APY65" s="627"/>
      <c r="AQA65" s="627"/>
      <c r="AQC65" s="627"/>
      <c r="AQE65" s="627"/>
      <c r="AQG65" s="627"/>
      <c r="AQI65" s="627"/>
      <c r="AQK65" s="627"/>
      <c r="AQM65" s="627"/>
      <c r="AQO65" s="627"/>
      <c r="AQQ65" s="627"/>
      <c r="AQS65" s="627"/>
      <c r="AQU65" s="627"/>
      <c r="AQW65" s="627"/>
      <c r="AQY65" s="627"/>
      <c r="ARA65" s="627"/>
      <c r="ARC65" s="627"/>
      <c r="ARE65" s="627"/>
      <c r="ARG65" s="627"/>
      <c r="ARI65" s="627"/>
      <c r="ARK65" s="627"/>
      <c r="ARM65" s="627"/>
      <c r="ARO65" s="627"/>
      <c r="ARQ65" s="627"/>
      <c r="ARS65" s="627"/>
      <c r="ARU65" s="627"/>
      <c r="ARW65" s="627"/>
      <c r="ARY65" s="627"/>
      <c r="ASA65" s="627"/>
      <c r="ASC65" s="627"/>
      <c r="ASE65" s="627"/>
      <c r="ASG65" s="627"/>
      <c r="ASI65" s="627"/>
      <c r="ASK65" s="627"/>
      <c r="ASM65" s="627"/>
      <c r="ASO65" s="627"/>
      <c r="ASQ65" s="627"/>
      <c r="ASS65" s="627"/>
      <c r="ASU65" s="627"/>
      <c r="ASW65" s="627"/>
      <c r="ASY65" s="627"/>
      <c r="ATA65" s="627"/>
      <c r="ATC65" s="627"/>
      <c r="ATE65" s="627"/>
      <c r="ATG65" s="627"/>
      <c r="ATI65" s="627"/>
      <c r="ATK65" s="627"/>
      <c r="ATM65" s="627"/>
      <c r="ATO65" s="627"/>
      <c r="ATQ65" s="627"/>
      <c r="ATS65" s="627"/>
      <c r="ATU65" s="627"/>
      <c r="ATW65" s="627"/>
      <c r="ATY65" s="627"/>
      <c r="AUA65" s="627"/>
      <c r="AUC65" s="627"/>
      <c r="AUE65" s="627"/>
      <c r="AUG65" s="627"/>
      <c r="AUI65" s="627"/>
      <c r="AUK65" s="627"/>
      <c r="AUM65" s="627"/>
      <c r="AUO65" s="627"/>
      <c r="AUQ65" s="627"/>
      <c r="AUS65" s="627"/>
      <c r="AUU65" s="627"/>
      <c r="AUW65" s="627"/>
      <c r="AUY65" s="627"/>
      <c r="AVA65" s="627"/>
      <c r="AVC65" s="627"/>
      <c r="AVE65" s="627"/>
      <c r="AVG65" s="627"/>
      <c r="AVI65" s="627"/>
      <c r="AVK65" s="627"/>
      <c r="AVM65" s="627"/>
      <c r="AVO65" s="627"/>
      <c r="AVQ65" s="627"/>
      <c r="AVS65" s="627"/>
      <c r="AVU65" s="627"/>
      <c r="AVW65" s="627"/>
      <c r="AVY65" s="627"/>
      <c r="AWA65" s="627"/>
      <c r="AWC65" s="627"/>
      <c r="AWE65" s="627"/>
      <c r="AWG65" s="627"/>
      <c r="AWI65" s="627"/>
      <c r="AWK65" s="627"/>
      <c r="AWM65" s="627"/>
      <c r="AWO65" s="627"/>
      <c r="AWQ65" s="627"/>
      <c r="AWS65" s="627"/>
      <c r="AWU65" s="627"/>
      <c r="AWW65" s="627"/>
      <c r="AWY65" s="627"/>
      <c r="AXA65" s="627"/>
      <c r="AXC65" s="627"/>
      <c r="AXE65" s="627"/>
      <c r="AXG65" s="627"/>
      <c r="AXI65" s="627"/>
      <c r="AXK65" s="627"/>
      <c r="AXM65" s="627"/>
      <c r="AXO65" s="627"/>
      <c r="AXQ65" s="627"/>
      <c r="AXS65" s="627"/>
      <c r="AXU65" s="627"/>
      <c r="AXW65" s="627"/>
      <c r="AXY65" s="627"/>
      <c r="AYA65" s="627"/>
      <c r="AYC65" s="627"/>
      <c r="AYE65" s="627"/>
      <c r="AYG65" s="627"/>
      <c r="AYI65" s="627"/>
      <c r="AYK65" s="627"/>
      <c r="AYM65" s="627"/>
      <c r="AYO65" s="627"/>
      <c r="AYQ65" s="627"/>
      <c r="AYS65" s="627"/>
      <c r="AYU65" s="627"/>
      <c r="AYW65" s="627"/>
      <c r="AYY65" s="627"/>
      <c r="AZA65" s="627"/>
      <c r="AZC65" s="627"/>
      <c r="AZE65" s="627"/>
      <c r="AZG65" s="627"/>
      <c r="AZI65" s="627"/>
      <c r="AZK65" s="627"/>
      <c r="AZM65" s="627"/>
      <c r="AZO65" s="627"/>
      <c r="AZQ65" s="627"/>
      <c r="AZS65" s="627"/>
      <c r="AZU65" s="627"/>
      <c r="AZW65" s="627"/>
      <c r="AZY65" s="627"/>
      <c r="BAA65" s="627"/>
      <c r="BAC65" s="627"/>
      <c r="BAE65" s="627"/>
      <c r="BAG65" s="627"/>
      <c r="BAI65" s="627"/>
      <c r="BAK65" s="627"/>
      <c r="BAM65" s="627"/>
      <c r="BAO65" s="627"/>
      <c r="BAQ65" s="627"/>
      <c r="BAS65" s="627"/>
      <c r="BAU65" s="627"/>
      <c r="BAW65" s="627"/>
      <c r="BAY65" s="627"/>
      <c r="BBA65" s="627"/>
      <c r="BBC65" s="627"/>
      <c r="BBE65" s="627"/>
      <c r="BBG65" s="627"/>
      <c r="BBI65" s="627"/>
      <c r="BBK65" s="627"/>
      <c r="BBM65" s="627"/>
      <c r="BBO65" s="627"/>
      <c r="BBQ65" s="627"/>
      <c r="BBS65" s="627"/>
      <c r="BBU65" s="627"/>
      <c r="BBW65" s="627"/>
      <c r="BBY65" s="627"/>
      <c r="BCA65" s="627"/>
      <c r="BCC65" s="627"/>
      <c r="BCE65" s="627"/>
      <c r="BCG65" s="627"/>
      <c r="BCI65" s="627"/>
      <c r="BCK65" s="627"/>
      <c r="BCM65" s="627"/>
      <c r="BCO65" s="627"/>
      <c r="BCQ65" s="627"/>
      <c r="BCS65" s="627"/>
      <c r="BCU65" s="627"/>
      <c r="BCW65" s="627"/>
      <c r="BCY65" s="627"/>
      <c r="BDA65" s="627"/>
      <c r="BDC65" s="627"/>
      <c r="BDE65" s="627"/>
      <c r="BDG65" s="627"/>
      <c r="BDI65" s="627"/>
      <c r="BDK65" s="627"/>
      <c r="BDM65" s="627"/>
      <c r="BDO65" s="627"/>
      <c r="BDQ65" s="627"/>
      <c r="BDS65" s="627"/>
      <c r="BDU65" s="627"/>
      <c r="BDW65" s="627"/>
      <c r="BDY65" s="627"/>
      <c r="BEA65" s="627"/>
      <c r="BEC65" s="627"/>
      <c r="BEE65" s="627"/>
      <c r="BEG65" s="627"/>
      <c r="BEI65" s="627"/>
      <c r="BEK65" s="627"/>
      <c r="BEM65" s="627"/>
      <c r="BEO65" s="627"/>
      <c r="BEQ65" s="627"/>
      <c r="BES65" s="627"/>
      <c r="BEU65" s="627"/>
      <c r="BEW65" s="627"/>
      <c r="BEY65" s="627"/>
      <c r="BFA65" s="627"/>
      <c r="BFC65" s="627"/>
      <c r="BFE65" s="627"/>
      <c r="BFG65" s="627"/>
      <c r="BFI65" s="627"/>
      <c r="BFK65" s="627"/>
      <c r="BFM65" s="627"/>
      <c r="BFO65" s="627"/>
      <c r="BFQ65" s="627"/>
      <c r="BFS65" s="627"/>
      <c r="BFU65" s="627"/>
      <c r="BFW65" s="627"/>
      <c r="BFY65" s="627"/>
      <c r="BGA65" s="627"/>
      <c r="BGC65" s="627"/>
      <c r="BGE65" s="627"/>
      <c r="BGG65" s="627"/>
      <c r="BGI65" s="627"/>
      <c r="BGK65" s="627"/>
      <c r="BGM65" s="627"/>
      <c r="BGO65" s="627"/>
      <c r="BGQ65" s="627"/>
      <c r="BGS65" s="627"/>
      <c r="BGU65" s="627"/>
      <c r="BGW65" s="627"/>
      <c r="BGY65" s="627"/>
      <c r="BHA65" s="627"/>
      <c r="BHC65" s="627"/>
      <c r="BHE65" s="627"/>
      <c r="BHG65" s="627"/>
      <c r="BHI65" s="627"/>
      <c r="BHK65" s="627"/>
      <c r="BHM65" s="627"/>
      <c r="BHO65" s="627"/>
      <c r="BHQ65" s="627"/>
      <c r="BHS65" s="627"/>
      <c r="BHU65" s="627"/>
      <c r="BHW65" s="627"/>
      <c r="BHY65" s="627"/>
      <c r="BIA65" s="627"/>
      <c r="BIC65" s="627"/>
      <c r="BIE65" s="627"/>
      <c r="BIG65" s="627"/>
      <c r="BII65" s="627"/>
      <c r="BIK65" s="627"/>
      <c r="BIM65" s="627"/>
      <c r="BIO65" s="627"/>
      <c r="BIQ65" s="627"/>
      <c r="BIS65" s="627"/>
      <c r="BIU65" s="627"/>
      <c r="BIW65" s="627"/>
      <c r="BIY65" s="627"/>
      <c r="BJA65" s="627"/>
      <c r="BJC65" s="627"/>
      <c r="BJE65" s="627"/>
      <c r="BJG65" s="627"/>
      <c r="BJI65" s="627"/>
      <c r="BJK65" s="627"/>
      <c r="BJM65" s="627"/>
      <c r="BJO65" s="627"/>
      <c r="BJQ65" s="627"/>
      <c r="BJS65" s="627"/>
      <c r="BJU65" s="627"/>
      <c r="BJW65" s="627"/>
      <c r="BJY65" s="627"/>
      <c r="BKA65" s="627"/>
      <c r="BKC65" s="627"/>
      <c r="BKE65" s="627"/>
      <c r="BKG65" s="627"/>
      <c r="BKI65" s="627"/>
      <c r="BKK65" s="627"/>
      <c r="BKM65" s="627"/>
      <c r="BKO65" s="627"/>
      <c r="BKQ65" s="627"/>
      <c r="BKS65" s="627"/>
      <c r="BKU65" s="627"/>
      <c r="BKW65" s="627"/>
      <c r="BKY65" s="627"/>
      <c r="BLA65" s="627"/>
      <c r="BLC65" s="627"/>
      <c r="BLE65" s="627"/>
      <c r="BLG65" s="627"/>
      <c r="BLI65" s="627"/>
      <c r="BLK65" s="627"/>
      <c r="BLM65" s="627"/>
      <c r="BLO65" s="627"/>
      <c r="BLQ65" s="627"/>
      <c r="BLS65" s="627"/>
      <c r="BLU65" s="627"/>
      <c r="BLW65" s="627"/>
      <c r="BLY65" s="627"/>
      <c r="BMA65" s="627"/>
      <c r="BMC65" s="627"/>
      <c r="BME65" s="627"/>
      <c r="BMG65" s="627"/>
      <c r="BMI65" s="627"/>
      <c r="BMK65" s="627"/>
      <c r="BMM65" s="627"/>
      <c r="BMO65" s="627"/>
      <c r="BMQ65" s="627"/>
      <c r="BMS65" s="627"/>
      <c r="BMU65" s="627"/>
      <c r="BMW65" s="627"/>
      <c r="BMY65" s="627"/>
      <c r="BNA65" s="627"/>
      <c r="BNC65" s="627"/>
      <c r="BNE65" s="627"/>
      <c r="BNG65" s="627"/>
      <c r="BNI65" s="627"/>
      <c r="BNK65" s="627"/>
      <c r="BNM65" s="627"/>
      <c r="BNO65" s="627"/>
      <c r="BNQ65" s="627"/>
      <c r="BNS65" s="627"/>
      <c r="BNU65" s="627"/>
      <c r="BNW65" s="627"/>
      <c r="BNY65" s="627"/>
      <c r="BOA65" s="627"/>
      <c r="BOC65" s="627"/>
      <c r="BOE65" s="627"/>
      <c r="BOG65" s="627"/>
      <c r="BOI65" s="627"/>
      <c r="BOK65" s="627"/>
      <c r="BOM65" s="627"/>
      <c r="BOO65" s="627"/>
      <c r="BOQ65" s="627"/>
      <c r="BOS65" s="627"/>
      <c r="BOU65" s="627"/>
      <c r="BOW65" s="627"/>
      <c r="BOY65" s="627"/>
      <c r="BPA65" s="627"/>
      <c r="BPC65" s="627"/>
      <c r="BPE65" s="627"/>
      <c r="BPG65" s="627"/>
      <c r="BPI65" s="627"/>
      <c r="BPK65" s="627"/>
      <c r="BPM65" s="627"/>
      <c r="BPO65" s="627"/>
      <c r="BPQ65" s="627"/>
      <c r="BPS65" s="627"/>
      <c r="BPU65" s="627"/>
      <c r="BPW65" s="627"/>
      <c r="BPY65" s="627"/>
      <c r="BQA65" s="627"/>
      <c r="BQC65" s="627"/>
      <c r="BQE65" s="627"/>
      <c r="BQG65" s="627"/>
      <c r="BQI65" s="627"/>
      <c r="BQK65" s="627"/>
      <c r="BQM65" s="627"/>
      <c r="BQO65" s="627"/>
      <c r="BQQ65" s="627"/>
      <c r="BQS65" s="627"/>
      <c r="BQU65" s="627"/>
      <c r="BQW65" s="627"/>
      <c r="BQY65" s="627"/>
      <c r="BRA65" s="627"/>
      <c r="BRC65" s="627"/>
      <c r="BRE65" s="627"/>
      <c r="BRG65" s="627"/>
      <c r="BRI65" s="627"/>
      <c r="BRK65" s="627"/>
      <c r="BRM65" s="627"/>
      <c r="BRO65" s="627"/>
      <c r="BRQ65" s="627"/>
      <c r="BRS65" s="627"/>
      <c r="BRU65" s="627"/>
      <c r="BRW65" s="627"/>
      <c r="BRY65" s="627"/>
      <c r="BSA65" s="627"/>
      <c r="BSC65" s="627"/>
      <c r="BSE65" s="627"/>
      <c r="BSG65" s="627"/>
      <c r="BSI65" s="627"/>
      <c r="BSK65" s="627"/>
      <c r="BSM65" s="627"/>
      <c r="BSO65" s="627"/>
      <c r="BSQ65" s="627"/>
      <c r="BSS65" s="627"/>
      <c r="BSU65" s="627"/>
      <c r="BSW65" s="627"/>
      <c r="BSY65" s="627"/>
      <c r="BTA65" s="627"/>
      <c r="BTC65" s="627"/>
      <c r="BTE65" s="627"/>
      <c r="BTG65" s="627"/>
      <c r="BTI65" s="627"/>
      <c r="BTK65" s="627"/>
      <c r="BTM65" s="627"/>
      <c r="BTO65" s="627"/>
      <c r="BTQ65" s="627"/>
      <c r="BTS65" s="627"/>
      <c r="BTU65" s="627"/>
      <c r="BTW65" s="627"/>
      <c r="BTY65" s="627"/>
      <c r="BUA65" s="627"/>
      <c r="BUC65" s="627"/>
      <c r="BUE65" s="627"/>
      <c r="BUG65" s="627"/>
      <c r="BUI65" s="627"/>
      <c r="BUK65" s="627"/>
      <c r="BUM65" s="627"/>
      <c r="BUO65" s="627"/>
      <c r="BUQ65" s="627"/>
      <c r="BUS65" s="627"/>
      <c r="BUU65" s="627"/>
      <c r="BUW65" s="627"/>
      <c r="BUY65" s="627"/>
      <c r="BVA65" s="627"/>
      <c r="BVC65" s="627"/>
      <c r="BVE65" s="627"/>
      <c r="BVG65" s="627"/>
      <c r="BVI65" s="627"/>
      <c r="BVK65" s="627"/>
      <c r="BVM65" s="627"/>
      <c r="BVO65" s="627"/>
      <c r="BVQ65" s="627"/>
      <c r="BVS65" s="627"/>
      <c r="BVU65" s="627"/>
      <c r="BVW65" s="627"/>
      <c r="BVY65" s="627"/>
      <c r="BWA65" s="627"/>
      <c r="BWC65" s="627"/>
      <c r="BWE65" s="627"/>
      <c r="BWG65" s="627"/>
      <c r="BWI65" s="627"/>
      <c r="BWK65" s="627"/>
      <c r="BWM65" s="627"/>
      <c r="BWO65" s="627"/>
      <c r="BWQ65" s="627"/>
      <c r="BWS65" s="627"/>
      <c r="BWU65" s="627"/>
      <c r="BWW65" s="627"/>
      <c r="BWY65" s="627"/>
      <c r="BXA65" s="627"/>
      <c r="BXC65" s="627"/>
      <c r="BXE65" s="627"/>
      <c r="BXG65" s="627"/>
      <c r="BXI65" s="627"/>
      <c r="BXK65" s="627"/>
      <c r="BXM65" s="627"/>
      <c r="BXO65" s="627"/>
      <c r="BXQ65" s="627"/>
      <c r="BXS65" s="627"/>
      <c r="BXU65" s="627"/>
      <c r="BXW65" s="627"/>
      <c r="BXY65" s="627"/>
      <c r="BYA65" s="627"/>
      <c r="BYC65" s="627"/>
      <c r="BYE65" s="627"/>
      <c r="BYG65" s="627"/>
      <c r="BYI65" s="627"/>
      <c r="BYK65" s="627"/>
      <c r="BYM65" s="627"/>
      <c r="BYO65" s="627"/>
      <c r="BYQ65" s="627"/>
      <c r="BYS65" s="627"/>
      <c r="BYU65" s="627"/>
      <c r="BYW65" s="627"/>
      <c r="BYY65" s="627"/>
      <c r="BZA65" s="627"/>
      <c r="BZC65" s="627"/>
      <c r="BZE65" s="627"/>
      <c r="BZG65" s="627"/>
      <c r="BZI65" s="627"/>
      <c r="BZK65" s="627"/>
      <c r="BZM65" s="627"/>
      <c r="BZO65" s="627"/>
      <c r="BZQ65" s="627"/>
      <c r="BZS65" s="627"/>
      <c r="BZU65" s="627"/>
      <c r="BZW65" s="627"/>
      <c r="BZY65" s="627"/>
      <c r="CAA65" s="627"/>
      <c r="CAC65" s="627"/>
      <c r="CAE65" s="627"/>
      <c r="CAG65" s="627"/>
      <c r="CAI65" s="627"/>
      <c r="CAK65" s="627"/>
      <c r="CAM65" s="627"/>
      <c r="CAO65" s="627"/>
      <c r="CAQ65" s="627"/>
      <c r="CAS65" s="627"/>
      <c r="CAU65" s="627"/>
      <c r="CAW65" s="627"/>
      <c r="CAY65" s="627"/>
      <c r="CBA65" s="627"/>
      <c r="CBC65" s="627"/>
      <c r="CBE65" s="627"/>
      <c r="CBG65" s="627"/>
      <c r="CBI65" s="627"/>
      <c r="CBK65" s="627"/>
      <c r="CBM65" s="627"/>
      <c r="CBO65" s="627"/>
      <c r="CBQ65" s="627"/>
      <c r="CBS65" s="627"/>
      <c r="CBU65" s="627"/>
      <c r="CBW65" s="627"/>
      <c r="CBY65" s="627"/>
      <c r="CCA65" s="627"/>
      <c r="CCC65" s="627"/>
      <c r="CCE65" s="627"/>
      <c r="CCG65" s="627"/>
      <c r="CCI65" s="627"/>
      <c r="CCK65" s="627"/>
      <c r="CCM65" s="627"/>
      <c r="CCO65" s="627"/>
      <c r="CCQ65" s="627"/>
      <c r="CCS65" s="627"/>
      <c r="CCU65" s="627"/>
      <c r="CCW65" s="627"/>
      <c r="CCY65" s="627"/>
      <c r="CDA65" s="627"/>
      <c r="CDC65" s="627"/>
      <c r="CDE65" s="627"/>
      <c r="CDG65" s="627"/>
      <c r="CDI65" s="627"/>
      <c r="CDK65" s="627"/>
      <c r="CDM65" s="627"/>
      <c r="CDO65" s="627"/>
      <c r="CDQ65" s="627"/>
      <c r="CDS65" s="627"/>
      <c r="CDU65" s="627"/>
      <c r="CDW65" s="627"/>
      <c r="CDY65" s="627"/>
      <c r="CEA65" s="627"/>
      <c r="CEC65" s="627"/>
      <c r="CEE65" s="627"/>
      <c r="CEG65" s="627"/>
      <c r="CEI65" s="627"/>
      <c r="CEK65" s="627"/>
      <c r="CEM65" s="627"/>
      <c r="CEO65" s="627"/>
      <c r="CEQ65" s="627"/>
      <c r="CES65" s="627"/>
      <c r="CEU65" s="627"/>
      <c r="CEW65" s="627"/>
      <c r="CEY65" s="627"/>
      <c r="CFA65" s="627"/>
      <c r="CFC65" s="627"/>
      <c r="CFE65" s="627"/>
      <c r="CFG65" s="627"/>
      <c r="CFI65" s="627"/>
      <c r="CFK65" s="627"/>
      <c r="CFM65" s="627"/>
      <c r="CFO65" s="627"/>
      <c r="CFQ65" s="627"/>
      <c r="CFS65" s="627"/>
      <c r="CFU65" s="627"/>
      <c r="CFW65" s="627"/>
      <c r="CFY65" s="627"/>
      <c r="CGA65" s="627"/>
      <c r="CGC65" s="627"/>
      <c r="CGE65" s="627"/>
      <c r="CGG65" s="627"/>
      <c r="CGI65" s="627"/>
      <c r="CGK65" s="627"/>
      <c r="CGM65" s="627"/>
      <c r="CGO65" s="627"/>
      <c r="CGQ65" s="627"/>
      <c r="CGS65" s="627"/>
      <c r="CGU65" s="627"/>
      <c r="CGW65" s="627"/>
      <c r="CGY65" s="627"/>
      <c r="CHA65" s="627"/>
      <c r="CHC65" s="627"/>
      <c r="CHE65" s="627"/>
      <c r="CHG65" s="627"/>
      <c r="CHI65" s="627"/>
      <c r="CHK65" s="627"/>
      <c r="CHM65" s="627"/>
      <c r="CHO65" s="627"/>
      <c r="CHQ65" s="627"/>
      <c r="CHS65" s="627"/>
      <c r="CHU65" s="627"/>
      <c r="CHW65" s="627"/>
      <c r="CHY65" s="627"/>
      <c r="CIA65" s="627"/>
      <c r="CIC65" s="627"/>
      <c r="CIE65" s="627"/>
      <c r="CIG65" s="627"/>
      <c r="CII65" s="627"/>
      <c r="CIK65" s="627"/>
      <c r="CIM65" s="627"/>
      <c r="CIO65" s="627"/>
      <c r="CIQ65" s="627"/>
      <c r="CIS65" s="627"/>
      <c r="CIU65" s="627"/>
      <c r="CIW65" s="627"/>
      <c r="CIY65" s="627"/>
      <c r="CJA65" s="627"/>
      <c r="CJC65" s="627"/>
      <c r="CJE65" s="627"/>
      <c r="CJG65" s="627"/>
      <c r="CJI65" s="627"/>
      <c r="CJK65" s="627"/>
      <c r="CJM65" s="627"/>
      <c r="CJO65" s="627"/>
      <c r="CJQ65" s="627"/>
      <c r="CJS65" s="627"/>
      <c r="CJU65" s="627"/>
      <c r="CJW65" s="627"/>
      <c r="CJY65" s="627"/>
      <c r="CKA65" s="627"/>
      <c r="CKC65" s="627"/>
      <c r="CKE65" s="627"/>
      <c r="CKG65" s="627"/>
      <c r="CKI65" s="627"/>
      <c r="CKK65" s="627"/>
      <c r="CKM65" s="627"/>
      <c r="CKO65" s="627"/>
      <c r="CKQ65" s="627"/>
      <c r="CKS65" s="627"/>
      <c r="CKU65" s="627"/>
      <c r="CKW65" s="627"/>
      <c r="CKY65" s="627"/>
      <c r="CLA65" s="627"/>
      <c r="CLC65" s="627"/>
      <c r="CLE65" s="627"/>
      <c r="CLG65" s="627"/>
      <c r="CLI65" s="627"/>
      <c r="CLK65" s="627"/>
      <c r="CLM65" s="627"/>
      <c r="CLO65" s="627"/>
      <c r="CLQ65" s="627"/>
      <c r="CLS65" s="627"/>
      <c r="CLU65" s="627"/>
      <c r="CLW65" s="627"/>
      <c r="CLY65" s="627"/>
      <c r="CMA65" s="627"/>
      <c r="CMC65" s="627"/>
      <c r="CME65" s="627"/>
      <c r="CMG65" s="627"/>
      <c r="CMI65" s="627"/>
      <c r="CMK65" s="627"/>
      <c r="CMM65" s="627"/>
      <c r="CMO65" s="627"/>
      <c r="CMQ65" s="627"/>
      <c r="CMS65" s="627"/>
      <c r="CMU65" s="627"/>
      <c r="CMW65" s="627"/>
      <c r="CMY65" s="627"/>
      <c r="CNA65" s="627"/>
      <c r="CNC65" s="627"/>
      <c r="CNE65" s="627"/>
      <c r="CNG65" s="627"/>
      <c r="CNI65" s="627"/>
      <c r="CNK65" s="627"/>
      <c r="CNM65" s="627"/>
      <c r="CNO65" s="627"/>
      <c r="CNQ65" s="627"/>
      <c r="CNS65" s="627"/>
      <c r="CNU65" s="627"/>
      <c r="CNW65" s="627"/>
      <c r="CNY65" s="627"/>
      <c r="COA65" s="627"/>
      <c r="COC65" s="627"/>
      <c r="COE65" s="627"/>
      <c r="COG65" s="627"/>
      <c r="COI65" s="627"/>
      <c r="COK65" s="627"/>
      <c r="COM65" s="627"/>
      <c r="COO65" s="627"/>
      <c r="COQ65" s="627"/>
      <c r="COS65" s="627"/>
      <c r="COU65" s="627"/>
      <c r="COW65" s="627"/>
      <c r="COY65" s="627"/>
      <c r="CPA65" s="627"/>
      <c r="CPC65" s="627"/>
      <c r="CPE65" s="627"/>
      <c r="CPG65" s="627"/>
      <c r="CPI65" s="627"/>
      <c r="CPK65" s="627"/>
      <c r="CPM65" s="627"/>
      <c r="CPO65" s="627"/>
      <c r="CPQ65" s="627"/>
      <c r="CPS65" s="627"/>
      <c r="CPU65" s="627"/>
      <c r="CPW65" s="627"/>
      <c r="CPY65" s="627"/>
      <c r="CQA65" s="627"/>
      <c r="CQC65" s="627"/>
      <c r="CQE65" s="627"/>
      <c r="CQG65" s="627"/>
      <c r="CQI65" s="627"/>
      <c r="CQK65" s="627"/>
      <c r="CQM65" s="627"/>
      <c r="CQO65" s="627"/>
      <c r="CQQ65" s="627"/>
      <c r="CQS65" s="627"/>
      <c r="CQU65" s="627"/>
      <c r="CQW65" s="627"/>
      <c r="CQY65" s="627"/>
      <c r="CRA65" s="627"/>
      <c r="CRC65" s="627"/>
      <c r="CRE65" s="627"/>
      <c r="CRG65" s="627"/>
      <c r="CRI65" s="627"/>
      <c r="CRK65" s="627"/>
      <c r="CRM65" s="627"/>
      <c r="CRO65" s="627"/>
      <c r="CRQ65" s="627"/>
      <c r="CRS65" s="627"/>
      <c r="CRU65" s="627"/>
      <c r="CRW65" s="627"/>
      <c r="CRY65" s="627"/>
      <c r="CSA65" s="627"/>
      <c r="CSC65" s="627"/>
      <c r="CSE65" s="627"/>
      <c r="CSG65" s="627"/>
      <c r="CSI65" s="627"/>
      <c r="CSK65" s="627"/>
      <c r="CSM65" s="627"/>
      <c r="CSO65" s="627"/>
      <c r="CSQ65" s="627"/>
      <c r="CSS65" s="627"/>
      <c r="CSU65" s="627"/>
      <c r="CSW65" s="627"/>
      <c r="CSY65" s="627"/>
      <c r="CTA65" s="627"/>
      <c r="CTC65" s="627"/>
      <c r="CTE65" s="627"/>
      <c r="CTG65" s="627"/>
      <c r="CTI65" s="627"/>
      <c r="CTK65" s="627"/>
      <c r="CTM65" s="627"/>
      <c r="CTO65" s="627"/>
      <c r="CTQ65" s="627"/>
      <c r="CTS65" s="627"/>
      <c r="CTU65" s="627"/>
      <c r="CTW65" s="627"/>
      <c r="CTY65" s="627"/>
      <c r="CUA65" s="627"/>
      <c r="CUC65" s="627"/>
      <c r="CUE65" s="627"/>
      <c r="CUG65" s="627"/>
      <c r="CUI65" s="627"/>
      <c r="CUK65" s="627"/>
      <c r="CUM65" s="627"/>
      <c r="CUO65" s="627"/>
      <c r="CUQ65" s="627"/>
      <c r="CUS65" s="627"/>
      <c r="CUU65" s="627"/>
      <c r="CUW65" s="627"/>
      <c r="CUY65" s="627"/>
      <c r="CVA65" s="627"/>
      <c r="CVC65" s="627"/>
      <c r="CVE65" s="627"/>
      <c r="CVG65" s="627"/>
      <c r="CVI65" s="627"/>
      <c r="CVK65" s="627"/>
      <c r="CVM65" s="627"/>
      <c r="CVO65" s="627"/>
      <c r="CVQ65" s="627"/>
      <c r="CVS65" s="627"/>
      <c r="CVU65" s="627"/>
      <c r="CVW65" s="627"/>
      <c r="CVY65" s="627"/>
      <c r="CWA65" s="627"/>
      <c r="CWC65" s="627"/>
      <c r="CWE65" s="627"/>
      <c r="CWG65" s="627"/>
      <c r="CWI65" s="627"/>
      <c r="CWK65" s="627"/>
      <c r="CWM65" s="627"/>
      <c r="CWO65" s="627"/>
      <c r="CWQ65" s="627"/>
      <c r="CWS65" s="627"/>
      <c r="CWU65" s="627"/>
      <c r="CWW65" s="627"/>
      <c r="CWY65" s="627"/>
      <c r="CXA65" s="627"/>
      <c r="CXC65" s="627"/>
      <c r="CXE65" s="627"/>
      <c r="CXG65" s="627"/>
      <c r="CXI65" s="627"/>
      <c r="CXK65" s="627"/>
      <c r="CXM65" s="627"/>
      <c r="CXO65" s="627"/>
      <c r="CXQ65" s="627"/>
      <c r="CXS65" s="627"/>
      <c r="CXU65" s="627"/>
      <c r="CXW65" s="627"/>
      <c r="CXY65" s="627"/>
      <c r="CYA65" s="627"/>
      <c r="CYC65" s="627"/>
      <c r="CYE65" s="627"/>
      <c r="CYG65" s="627"/>
      <c r="CYI65" s="627"/>
      <c r="CYK65" s="627"/>
      <c r="CYM65" s="627"/>
      <c r="CYO65" s="627"/>
      <c r="CYQ65" s="627"/>
      <c r="CYS65" s="627"/>
      <c r="CYU65" s="627"/>
      <c r="CYW65" s="627"/>
      <c r="CYY65" s="627"/>
      <c r="CZA65" s="627"/>
      <c r="CZC65" s="627"/>
      <c r="CZE65" s="627"/>
      <c r="CZG65" s="627"/>
      <c r="CZI65" s="627"/>
      <c r="CZK65" s="627"/>
      <c r="CZM65" s="627"/>
      <c r="CZO65" s="627"/>
      <c r="CZQ65" s="627"/>
      <c r="CZS65" s="627"/>
      <c r="CZU65" s="627"/>
      <c r="CZW65" s="627"/>
      <c r="CZY65" s="627"/>
      <c r="DAA65" s="627"/>
      <c r="DAC65" s="627"/>
      <c r="DAE65" s="627"/>
      <c r="DAG65" s="627"/>
      <c r="DAI65" s="627"/>
      <c r="DAK65" s="627"/>
      <c r="DAM65" s="627"/>
      <c r="DAO65" s="627"/>
      <c r="DAQ65" s="627"/>
      <c r="DAS65" s="627"/>
      <c r="DAU65" s="627"/>
      <c r="DAW65" s="627"/>
      <c r="DAY65" s="627"/>
      <c r="DBA65" s="627"/>
      <c r="DBC65" s="627"/>
      <c r="DBE65" s="627"/>
      <c r="DBG65" s="627"/>
      <c r="DBI65" s="627"/>
      <c r="DBK65" s="627"/>
      <c r="DBM65" s="627"/>
      <c r="DBO65" s="627"/>
      <c r="DBQ65" s="627"/>
      <c r="DBS65" s="627"/>
      <c r="DBU65" s="627"/>
      <c r="DBW65" s="627"/>
      <c r="DBY65" s="627"/>
      <c r="DCA65" s="627"/>
      <c r="DCC65" s="627"/>
      <c r="DCE65" s="627"/>
      <c r="DCG65" s="627"/>
      <c r="DCI65" s="627"/>
      <c r="DCK65" s="627"/>
      <c r="DCM65" s="627"/>
      <c r="DCO65" s="627"/>
      <c r="DCQ65" s="627"/>
      <c r="DCS65" s="627"/>
      <c r="DCU65" s="627"/>
      <c r="DCW65" s="627"/>
      <c r="DCY65" s="627"/>
      <c r="DDA65" s="627"/>
      <c r="DDC65" s="627"/>
      <c r="DDE65" s="627"/>
      <c r="DDG65" s="627"/>
      <c r="DDI65" s="627"/>
      <c r="DDK65" s="627"/>
      <c r="DDM65" s="627"/>
      <c r="DDO65" s="627"/>
      <c r="DDQ65" s="627"/>
      <c r="DDS65" s="627"/>
      <c r="DDU65" s="627"/>
      <c r="DDW65" s="627"/>
      <c r="DDY65" s="627"/>
      <c r="DEA65" s="627"/>
      <c r="DEC65" s="627"/>
      <c r="DEE65" s="627"/>
      <c r="DEG65" s="627"/>
      <c r="DEI65" s="627"/>
      <c r="DEK65" s="627"/>
      <c r="DEM65" s="627"/>
      <c r="DEO65" s="627"/>
      <c r="DEQ65" s="627"/>
      <c r="DES65" s="627"/>
      <c r="DEU65" s="627"/>
      <c r="DEW65" s="627"/>
      <c r="DEY65" s="627"/>
      <c r="DFA65" s="627"/>
      <c r="DFC65" s="627"/>
      <c r="DFE65" s="627"/>
      <c r="DFG65" s="627"/>
      <c r="DFI65" s="627"/>
      <c r="DFK65" s="627"/>
      <c r="DFM65" s="627"/>
      <c r="DFO65" s="627"/>
      <c r="DFQ65" s="627"/>
      <c r="DFS65" s="627"/>
      <c r="DFU65" s="627"/>
      <c r="DFW65" s="627"/>
      <c r="DFY65" s="627"/>
      <c r="DGA65" s="627"/>
      <c r="DGC65" s="627"/>
      <c r="DGE65" s="627"/>
      <c r="DGG65" s="627"/>
      <c r="DGI65" s="627"/>
      <c r="DGK65" s="627"/>
      <c r="DGM65" s="627"/>
      <c r="DGO65" s="627"/>
      <c r="DGQ65" s="627"/>
      <c r="DGS65" s="627"/>
      <c r="DGU65" s="627"/>
      <c r="DGW65" s="627"/>
      <c r="DGY65" s="627"/>
      <c r="DHA65" s="627"/>
      <c r="DHC65" s="627"/>
      <c r="DHE65" s="627"/>
      <c r="DHG65" s="627"/>
      <c r="DHI65" s="627"/>
      <c r="DHK65" s="627"/>
      <c r="DHM65" s="627"/>
      <c r="DHO65" s="627"/>
      <c r="DHQ65" s="627"/>
      <c r="DHS65" s="627"/>
      <c r="DHU65" s="627"/>
      <c r="DHW65" s="627"/>
      <c r="DHY65" s="627"/>
      <c r="DIA65" s="627"/>
      <c r="DIC65" s="627"/>
      <c r="DIE65" s="627"/>
      <c r="DIG65" s="627"/>
      <c r="DII65" s="627"/>
      <c r="DIK65" s="627"/>
      <c r="DIM65" s="627"/>
      <c r="DIO65" s="627"/>
      <c r="DIQ65" s="627"/>
      <c r="DIS65" s="627"/>
      <c r="DIU65" s="627"/>
      <c r="DIW65" s="627"/>
      <c r="DIY65" s="627"/>
      <c r="DJA65" s="627"/>
      <c r="DJC65" s="627"/>
      <c r="DJE65" s="627"/>
      <c r="DJG65" s="627"/>
      <c r="DJI65" s="627"/>
      <c r="DJK65" s="627"/>
      <c r="DJM65" s="627"/>
      <c r="DJO65" s="627"/>
      <c r="DJQ65" s="627"/>
      <c r="DJS65" s="627"/>
      <c r="DJU65" s="627"/>
      <c r="DJW65" s="627"/>
      <c r="DJY65" s="627"/>
      <c r="DKA65" s="627"/>
      <c r="DKC65" s="627"/>
      <c r="DKE65" s="627"/>
      <c r="DKG65" s="627"/>
      <c r="DKI65" s="627"/>
      <c r="DKK65" s="627"/>
      <c r="DKM65" s="627"/>
      <c r="DKO65" s="627"/>
      <c r="DKQ65" s="627"/>
      <c r="DKS65" s="627"/>
      <c r="DKU65" s="627"/>
      <c r="DKW65" s="627"/>
      <c r="DKY65" s="627"/>
      <c r="DLA65" s="627"/>
      <c r="DLC65" s="627"/>
      <c r="DLE65" s="627"/>
      <c r="DLG65" s="627"/>
      <c r="DLI65" s="627"/>
      <c r="DLK65" s="627"/>
      <c r="DLM65" s="627"/>
      <c r="DLO65" s="627"/>
      <c r="DLQ65" s="627"/>
      <c r="DLS65" s="627"/>
      <c r="DLU65" s="627"/>
      <c r="DLW65" s="627"/>
      <c r="DLY65" s="627"/>
      <c r="DMA65" s="627"/>
      <c r="DMC65" s="627"/>
      <c r="DME65" s="627"/>
      <c r="DMG65" s="627"/>
      <c r="DMI65" s="627"/>
      <c r="DMK65" s="627"/>
      <c r="DMM65" s="627"/>
      <c r="DMO65" s="627"/>
      <c r="DMQ65" s="627"/>
      <c r="DMS65" s="627"/>
      <c r="DMU65" s="627"/>
      <c r="DMW65" s="627"/>
      <c r="DMY65" s="627"/>
      <c r="DNA65" s="627"/>
      <c r="DNC65" s="627"/>
      <c r="DNE65" s="627"/>
      <c r="DNG65" s="627"/>
      <c r="DNI65" s="627"/>
      <c r="DNK65" s="627"/>
      <c r="DNM65" s="627"/>
      <c r="DNO65" s="627"/>
      <c r="DNQ65" s="627"/>
      <c r="DNS65" s="627"/>
      <c r="DNU65" s="627"/>
      <c r="DNW65" s="627"/>
      <c r="DNY65" s="627"/>
      <c r="DOA65" s="627"/>
      <c r="DOC65" s="627"/>
      <c r="DOE65" s="627"/>
      <c r="DOG65" s="627"/>
      <c r="DOI65" s="627"/>
      <c r="DOK65" s="627"/>
      <c r="DOM65" s="627"/>
      <c r="DOO65" s="627"/>
      <c r="DOQ65" s="627"/>
      <c r="DOS65" s="627"/>
      <c r="DOU65" s="627"/>
      <c r="DOW65" s="627"/>
      <c r="DOY65" s="627"/>
      <c r="DPA65" s="627"/>
      <c r="DPC65" s="627"/>
      <c r="DPE65" s="627"/>
      <c r="DPG65" s="627"/>
      <c r="DPI65" s="627"/>
      <c r="DPK65" s="627"/>
      <c r="DPM65" s="627"/>
      <c r="DPO65" s="627"/>
      <c r="DPQ65" s="627"/>
      <c r="DPS65" s="627"/>
      <c r="DPU65" s="627"/>
      <c r="DPW65" s="627"/>
      <c r="DPY65" s="627"/>
      <c r="DQA65" s="627"/>
      <c r="DQC65" s="627"/>
      <c r="DQE65" s="627"/>
      <c r="DQG65" s="627"/>
      <c r="DQI65" s="627"/>
      <c r="DQK65" s="627"/>
      <c r="DQM65" s="627"/>
      <c r="DQO65" s="627"/>
      <c r="DQQ65" s="627"/>
      <c r="DQS65" s="627"/>
      <c r="DQU65" s="627"/>
      <c r="DQW65" s="627"/>
      <c r="DQY65" s="627"/>
      <c r="DRA65" s="627"/>
      <c r="DRC65" s="627"/>
      <c r="DRE65" s="627"/>
      <c r="DRG65" s="627"/>
      <c r="DRI65" s="627"/>
      <c r="DRK65" s="627"/>
      <c r="DRM65" s="627"/>
      <c r="DRO65" s="627"/>
      <c r="DRQ65" s="627"/>
      <c r="DRS65" s="627"/>
      <c r="DRU65" s="627"/>
      <c r="DRW65" s="627"/>
      <c r="DRY65" s="627"/>
      <c r="DSA65" s="627"/>
      <c r="DSC65" s="627"/>
      <c r="DSE65" s="627"/>
      <c r="DSG65" s="627"/>
      <c r="DSI65" s="627"/>
      <c r="DSK65" s="627"/>
      <c r="DSM65" s="627"/>
      <c r="DSO65" s="627"/>
      <c r="DSQ65" s="627"/>
      <c r="DSS65" s="627"/>
      <c r="DSU65" s="627"/>
      <c r="DSW65" s="627"/>
      <c r="DSY65" s="627"/>
      <c r="DTA65" s="627"/>
      <c r="DTC65" s="627"/>
      <c r="DTE65" s="627"/>
      <c r="DTG65" s="627"/>
      <c r="DTI65" s="627"/>
      <c r="DTK65" s="627"/>
      <c r="DTM65" s="627"/>
      <c r="DTO65" s="627"/>
      <c r="DTQ65" s="627"/>
      <c r="DTS65" s="627"/>
      <c r="DTU65" s="627"/>
      <c r="DTW65" s="627"/>
      <c r="DTY65" s="627"/>
      <c r="DUA65" s="627"/>
      <c r="DUC65" s="627"/>
      <c r="DUE65" s="627"/>
      <c r="DUG65" s="627"/>
      <c r="DUI65" s="627"/>
      <c r="DUK65" s="627"/>
      <c r="DUM65" s="627"/>
      <c r="DUO65" s="627"/>
      <c r="DUQ65" s="627"/>
      <c r="DUS65" s="627"/>
      <c r="DUU65" s="627"/>
      <c r="DUW65" s="627"/>
      <c r="DUY65" s="627"/>
      <c r="DVA65" s="627"/>
      <c r="DVC65" s="627"/>
      <c r="DVE65" s="627"/>
      <c r="DVG65" s="627"/>
      <c r="DVI65" s="627"/>
      <c r="DVK65" s="627"/>
      <c r="DVM65" s="627"/>
      <c r="DVO65" s="627"/>
      <c r="DVQ65" s="627"/>
      <c r="DVS65" s="627"/>
      <c r="DVU65" s="627"/>
      <c r="DVW65" s="627"/>
      <c r="DVY65" s="627"/>
      <c r="DWA65" s="627"/>
      <c r="DWC65" s="627"/>
      <c r="DWE65" s="627"/>
      <c r="DWG65" s="627"/>
      <c r="DWI65" s="627"/>
      <c r="DWK65" s="627"/>
      <c r="DWM65" s="627"/>
      <c r="DWO65" s="627"/>
      <c r="DWQ65" s="627"/>
      <c r="DWS65" s="627"/>
      <c r="DWU65" s="627"/>
      <c r="DWW65" s="627"/>
      <c r="DWY65" s="627"/>
      <c r="DXA65" s="627"/>
      <c r="DXC65" s="627"/>
      <c r="DXE65" s="627"/>
      <c r="DXG65" s="627"/>
      <c r="DXI65" s="627"/>
      <c r="DXK65" s="627"/>
      <c r="DXM65" s="627"/>
      <c r="DXO65" s="627"/>
      <c r="DXQ65" s="627"/>
      <c r="DXS65" s="627"/>
      <c r="DXU65" s="627"/>
      <c r="DXW65" s="627"/>
      <c r="DXY65" s="627"/>
      <c r="DYA65" s="627"/>
      <c r="DYC65" s="627"/>
      <c r="DYE65" s="627"/>
      <c r="DYG65" s="627"/>
      <c r="DYI65" s="627"/>
      <c r="DYK65" s="627"/>
      <c r="DYM65" s="627"/>
      <c r="DYO65" s="627"/>
      <c r="DYQ65" s="627"/>
      <c r="DYS65" s="627"/>
      <c r="DYU65" s="627"/>
      <c r="DYW65" s="627"/>
      <c r="DYY65" s="627"/>
      <c r="DZA65" s="627"/>
      <c r="DZC65" s="627"/>
      <c r="DZE65" s="627"/>
      <c r="DZG65" s="627"/>
      <c r="DZI65" s="627"/>
      <c r="DZK65" s="627"/>
      <c r="DZM65" s="627"/>
      <c r="DZO65" s="627"/>
      <c r="DZQ65" s="627"/>
      <c r="DZS65" s="627"/>
      <c r="DZU65" s="627"/>
      <c r="DZW65" s="627"/>
      <c r="DZY65" s="627"/>
      <c r="EAA65" s="627"/>
      <c r="EAC65" s="627"/>
      <c r="EAE65" s="627"/>
      <c r="EAG65" s="627"/>
      <c r="EAI65" s="627"/>
      <c r="EAK65" s="627"/>
      <c r="EAM65" s="627"/>
      <c r="EAO65" s="627"/>
      <c r="EAQ65" s="627"/>
      <c r="EAS65" s="627"/>
      <c r="EAU65" s="627"/>
      <c r="EAW65" s="627"/>
      <c r="EAY65" s="627"/>
      <c r="EBA65" s="627"/>
      <c r="EBC65" s="627"/>
      <c r="EBE65" s="627"/>
      <c r="EBG65" s="627"/>
      <c r="EBI65" s="627"/>
      <c r="EBK65" s="627"/>
      <c r="EBM65" s="627"/>
      <c r="EBO65" s="627"/>
      <c r="EBQ65" s="627"/>
      <c r="EBS65" s="627"/>
      <c r="EBU65" s="627"/>
      <c r="EBW65" s="627"/>
      <c r="EBY65" s="627"/>
      <c r="ECA65" s="627"/>
      <c r="ECC65" s="627"/>
      <c r="ECE65" s="627"/>
      <c r="ECG65" s="627"/>
      <c r="ECI65" s="627"/>
      <c r="ECK65" s="627"/>
      <c r="ECM65" s="627"/>
      <c r="ECO65" s="627"/>
      <c r="ECQ65" s="627"/>
      <c r="ECS65" s="627"/>
      <c r="ECU65" s="627"/>
      <c r="ECW65" s="627"/>
      <c r="ECY65" s="627"/>
      <c r="EDA65" s="627"/>
      <c r="EDC65" s="627"/>
      <c r="EDE65" s="627"/>
      <c r="EDG65" s="627"/>
      <c r="EDI65" s="627"/>
      <c r="EDK65" s="627"/>
      <c r="EDM65" s="627"/>
      <c r="EDO65" s="627"/>
      <c r="EDQ65" s="627"/>
      <c r="EDS65" s="627"/>
      <c r="EDU65" s="627"/>
      <c r="EDW65" s="627"/>
      <c r="EDY65" s="627"/>
      <c r="EEA65" s="627"/>
      <c r="EEC65" s="627"/>
      <c r="EEE65" s="627"/>
      <c r="EEG65" s="627"/>
      <c r="EEI65" s="627"/>
      <c r="EEK65" s="627"/>
      <c r="EEM65" s="627"/>
      <c r="EEO65" s="627"/>
      <c r="EEQ65" s="627"/>
      <c r="EES65" s="627"/>
      <c r="EEU65" s="627"/>
      <c r="EEW65" s="627"/>
      <c r="EEY65" s="627"/>
      <c r="EFA65" s="627"/>
      <c r="EFC65" s="627"/>
      <c r="EFE65" s="627"/>
      <c r="EFG65" s="627"/>
      <c r="EFI65" s="627"/>
      <c r="EFK65" s="627"/>
      <c r="EFM65" s="627"/>
      <c r="EFO65" s="627"/>
      <c r="EFQ65" s="627"/>
      <c r="EFS65" s="627"/>
      <c r="EFU65" s="627"/>
      <c r="EFW65" s="627"/>
      <c r="EFY65" s="627"/>
      <c r="EGA65" s="627"/>
      <c r="EGC65" s="627"/>
      <c r="EGE65" s="627"/>
      <c r="EGG65" s="627"/>
      <c r="EGI65" s="627"/>
      <c r="EGK65" s="627"/>
      <c r="EGM65" s="627"/>
      <c r="EGO65" s="627"/>
      <c r="EGQ65" s="627"/>
      <c r="EGS65" s="627"/>
      <c r="EGU65" s="627"/>
      <c r="EGW65" s="627"/>
      <c r="EGY65" s="627"/>
      <c r="EHA65" s="627"/>
      <c r="EHC65" s="627"/>
      <c r="EHE65" s="627"/>
      <c r="EHG65" s="627"/>
      <c r="EHI65" s="627"/>
      <c r="EHK65" s="627"/>
      <c r="EHM65" s="627"/>
      <c r="EHO65" s="627"/>
      <c r="EHQ65" s="627"/>
      <c r="EHS65" s="627"/>
      <c r="EHU65" s="627"/>
      <c r="EHW65" s="627"/>
      <c r="EHY65" s="627"/>
      <c r="EIA65" s="627"/>
      <c r="EIC65" s="627"/>
      <c r="EIE65" s="627"/>
      <c r="EIG65" s="627"/>
      <c r="EII65" s="627"/>
      <c r="EIK65" s="627"/>
      <c r="EIM65" s="627"/>
      <c r="EIO65" s="627"/>
      <c r="EIQ65" s="627"/>
      <c r="EIS65" s="627"/>
      <c r="EIU65" s="627"/>
      <c r="EIW65" s="627"/>
      <c r="EIY65" s="627"/>
      <c r="EJA65" s="627"/>
      <c r="EJC65" s="627"/>
      <c r="EJE65" s="627"/>
      <c r="EJG65" s="627"/>
      <c r="EJI65" s="627"/>
      <c r="EJK65" s="627"/>
      <c r="EJM65" s="627"/>
      <c r="EJO65" s="627"/>
      <c r="EJQ65" s="627"/>
      <c r="EJS65" s="627"/>
      <c r="EJU65" s="627"/>
      <c r="EJW65" s="627"/>
      <c r="EJY65" s="627"/>
      <c r="EKA65" s="627"/>
      <c r="EKC65" s="627"/>
      <c r="EKE65" s="627"/>
      <c r="EKG65" s="627"/>
      <c r="EKI65" s="627"/>
      <c r="EKK65" s="627"/>
      <c r="EKM65" s="627"/>
      <c r="EKO65" s="627"/>
      <c r="EKQ65" s="627"/>
      <c r="EKS65" s="627"/>
      <c r="EKU65" s="627"/>
      <c r="EKW65" s="627"/>
      <c r="EKY65" s="627"/>
      <c r="ELA65" s="627"/>
      <c r="ELC65" s="627"/>
      <c r="ELE65" s="627"/>
      <c r="ELG65" s="627"/>
      <c r="ELI65" s="627"/>
      <c r="ELK65" s="627"/>
      <c r="ELM65" s="627"/>
      <c r="ELO65" s="627"/>
      <c r="ELQ65" s="627"/>
      <c r="ELS65" s="627"/>
      <c r="ELU65" s="627"/>
      <c r="ELW65" s="627"/>
      <c r="ELY65" s="627"/>
      <c r="EMA65" s="627"/>
      <c r="EMC65" s="627"/>
      <c r="EME65" s="627"/>
      <c r="EMG65" s="627"/>
      <c r="EMI65" s="627"/>
      <c r="EMK65" s="627"/>
      <c r="EMM65" s="627"/>
      <c r="EMO65" s="627"/>
      <c r="EMQ65" s="627"/>
      <c r="EMS65" s="627"/>
      <c r="EMU65" s="627"/>
      <c r="EMW65" s="627"/>
      <c r="EMY65" s="627"/>
      <c r="ENA65" s="627"/>
      <c r="ENC65" s="627"/>
      <c r="ENE65" s="627"/>
      <c r="ENG65" s="627"/>
      <c r="ENI65" s="627"/>
      <c r="ENK65" s="627"/>
      <c r="ENM65" s="627"/>
      <c r="ENO65" s="627"/>
      <c r="ENQ65" s="627"/>
      <c r="ENS65" s="627"/>
      <c r="ENU65" s="627"/>
      <c r="ENW65" s="627"/>
      <c r="ENY65" s="627"/>
      <c r="EOA65" s="627"/>
      <c r="EOC65" s="627"/>
      <c r="EOE65" s="627"/>
      <c r="EOG65" s="627"/>
      <c r="EOI65" s="627"/>
      <c r="EOK65" s="627"/>
      <c r="EOM65" s="627"/>
      <c r="EOO65" s="627"/>
      <c r="EOQ65" s="627"/>
      <c r="EOS65" s="627"/>
      <c r="EOU65" s="627"/>
      <c r="EOW65" s="627"/>
      <c r="EOY65" s="627"/>
      <c r="EPA65" s="627"/>
      <c r="EPC65" s="627"/>
      <c r="EPE65" s="627"/>
      <c r="EPG65" s="627"/>
      <c r="EPI65" s="627"/>
      <c r="EPK65" s="627"/>
      <c r="EPM65" s="627"/>
      <c r="EPO65" s="627"/>
      <c r="EPQ65" s="627"/>
      <c r="EPS65" s="627"/>
      <c r="EPU65" s="627"/>
      <c r="EPW65" s="627"/>
      <c r="EPY65" s="627"/>
      <c r="EQA65" s="627"/>
      <c r="EQC65" s="627"/>
      <c r="EQE65" s="627"/>
      <c r="EQG65" s="627"/>
      <c r="EQI65" s="627"/>
      <c r="EQK65" s="627"/>
      <c r="EQM65" s="627"/>
      <c r="EQO65" s="627"/>
      <c r="EQQ65" s="627"/>
      <c r="EQS65" s="627"/>
      <c r="EQU65" s="627"/>
      <c r="EQW65" s="627"/>
      <c r="EQY65" s="627"/>
      <c r="ERA65" s="627"/>
      <c r="ERC65" s="627"/>
      <c r="ERE65" s="627"/>
      <c r="ERG65" s="627"/>
      <c r="ERI65" s="627"/>
      <c r="ERK65" s="627"/>
      <c r="ERM65" s="627"/>
      <c r="ERO65" s="627"/>
      <c r="ERQ65" s="627"/>
      <c r="ERS65" s="627"/>
      <c r="ERU65" s="627"/>
      <c r="ERW65" s="627"/>
      <c r="ERY65" s="627"/>
      <c r="ESA65" s="627"/>
      <c r="ESC65" s="627"/>
      <c r="ESE65" s="627"/>
      <c r="ESG65" s="627"/>
      <c r="ESI65" s="627"/>
      <c r="ESK65" s="627"/>
      <c r="ESM65" s="627"/>
      <c r="ESO65" s="627"/>
      <c r="ESQ65" s="627"/>
      <c r="ESS65" s="627"/>
      <c r="ESU65" s="627"/>
      <c r="ESW65" s="627"/>
      <c r="ESY65" s="627"/>
      <c r="ETA65" s="627"/>
      <c r="ETC65" s="627"/>
      <c r="ETE65" s="627"/>
      <c r="ETG65" s="627"/>
      <c r="ETI65" s="627"/>
      <c r="ETK65" s="627"/>
      <c r="ETM65" s="627"/>
      <c r="ETO65" s="627"/>
      <c r="ETQ65" s="627"/>
      <c r="ETS65" s="627"/>
      <c r="ETU65" s="627"/>
      <c r="ETW65" s="627"/>
      <c r="ETY65" s="627"/>
      <c r="EUA65" s="627"/>
      <c r="EUC65" s="627"/>
      <c r="EUE65" s="627"/>
      <c r="EUG65" s="627"/>
      <c r="EUI65" s="627"/>
      <c r="EUK65" s="627"/>
      <c r="EUM65" s="627"/>
      <c r="EUO65" s="627"/>
      <c r="EUQ65" s="627"/>
      <c r="EUS65" s="627"/>
      <c r="EUU65" s="627"/>
      <c r="EUW65" s="627"/>
      <c r="EUY65" s="627"/>
      <c r="EVA65" s="627"/>
      <c r="EVC65" s="627"/>
      <c r="EVE65" s="627"/>
      <c r="EVG65" s="627"/>
      <c r="EVI65" s="627"/>
      <c r="EVK65" s="627"/>
      <c r="EVM65" s="627"/>
      <c r="EVO65" s="627"/>
      <c r="EVQ65" s="627"/>
      <c r="EVS65" s="627"/>
      <c r="EVU65" s="627"/>
      <c r="EVW65" s="627"/>
      <c r="EVY65" s="627"/>
      <c r="EWA65" s="627"/>
      <c r="EWC65" s="627"/>
      <c r="EWE65" s="627"/>
      <c r="EWG65" s="627"/>
      <c r="EWI65" s="627"/>
      <c r="EWK65" s="627"/>
      <c r="EWM65" s="627"/>
      <c r="EWO65" s="627"/>
      <c r="EWQ65" s="627"/>
      <c r="EWS65" s="627"/>
      <c r="EWU65" s="627"/>
      <c r="EWW65" s="627"/>
      <c r="EWY65" s="627"/>
      <c r="EXA65" s="627"/>
      <c r="EXC65" s="627"/>
      <c r="EXE65" s="627"/>
      <c r="EXG65" s="627"/>
      <c r="EXI65" s="627"/>
      <c r="EXK65" s="627"/>
      <c r="EXM65" s="627"/>
      <c r="EXO65" s="627"/>
      <c r="EXQ65" s="627"/>
      <c r="EXS65" s="627"/>
      <c r="EXU65" s="627"/>
      <c r="EXW65" s="627"/>
      <c r="EXY65" s="627"/>
      <c r="EYA65" s="627"/>
      <c r="EYC65" s="627"/>
      <c r="EYE65" s="627"/>
      <c r="EYG65" s="627"/>
      <c r="EYI65" s="627"/>
      <c r="EYK65" s="627"/>
      <c r="EYM65" s="627"/>
      <c r="EYO65" s="627"/>
      <c r="EYQ65" s="627"/>
      <c r="EYS65" s="627"/>
      <c r="EYU65" s="627"/>
      <c r="EYW65" s="627"/>
      <c r="EYY65" s="627"/>
      <c r="EZA65" s="627"/>
      <c r="EZC65" s="627"/>
      <c r="EZE65" s="627"/>
      <c r="EZG65" s="627"/>
      <c r="EZI65" s="627"/>
      <c r="EZK65" s="627"/>
      <c r="EZM65" s="627"/>
      <c r="EZO65" s="627"/>
      <c r="EZQ65" s="627"/>
      <c r="EZS65" s="627"/>
      <c r="EZU65" s="627"/>
      <c r="EZW65" s="627"/>
      <c r="EZY65" s="627"/>
      <c r="FAA65" s="627"/>
      <c r="FAC65" s="627"/>
      <c r="FAE65" s="627"/>
      <c r="FAG65" s="627"/>
      <c r="FAI65" s="627"/>
      <c r="FAK65" s="627"/>
      <c r="FAM65" s="627"/>
      <c r="FAO65" s="627"/>
      <c r="FAQ65" s="627"/>
      <c r="FAS65" s="627"/>
      <c r="FAU65" s="627"/>
      <c r="FAW65" s="627"/>
      <c r="FAY65" s="627"/>
      <c r="FBA65" s="627"/>
      <c r="FBC65" s="627"/>
      <c r="FBE65" s="627"/>
      <c r="FBG65" s="627"/>
      <c r="FBI65" s="627"/>
      <c r="FBK65" s="627"/>
      <c r="FBM65" s="627"/>
      <c r="FBO65" s="627"/>
      <c r="FBQ65" s="627"/>
      <c r="FBS65" s="627"/>
      <c r="FBU65" s="627"/>
      <c r="FBW65" s="627"/>
      <c r="FBY65" s="627"/>
      <c r="FCA65" s="627"/>
      <c r="FCC65" s="627"/>
      <c r="FCE65" s="627"/>
      <c r="FCG65" s="627"/>
      <c r="FCI65" s="627"/>
      <c r="FCK65" s="627"/>
      <c r="FCM65" s="627"/>
      <c r="FCO65" s="627"/>
      <c r="FCQ65" s="627"/>
      <c r="FCS65" s="627"/>
      <c r="FCU65" s="627"/>
      <c r="FCW65" s="627"/>
      <c r="FCY65" s="627"/>
      <c r="FDA65" s="627"/>
      <c r="FDC65" s="627"/>
      <c r="FDE65" s="627"/>
      <c r="FDG65" s="627"/>
      <c r="FDI65" s="627"/>
      <c r="FDK65" s="627"/>
      <c r="FDM65" s="627"/>
      <c r="FDO65" s="627"/>
      <c r="FDQ65" s="627"/>
      <c r="FDS65" s="627"/>
      <c r="FDU65" s="627"/>
      <c r="FDW65" s="627"/>
      <c r="FDY65" s="627"/>
      <c r="FEA65" s="627"/>
      <c r="FEC65" s="627"/>
      <c r="FEE65" s="627"/>
      <c r="FEG65" s="627"/>
      <c r="FEI65" s="627"/>
      <c r="FEK65" s="627"/>
      <c r="FEM65" s="627"/>
      <c r="FEO65" s="627"/>
      <c r="FEQ65" s="627"/>
      <c r="FES65" s="627"/>
      <c r="FEU65" s="627"/>
      <c r="FEW65" s="627"/>
      <c r="FEY65" s="627"/>
      <c r="FFA65" s="627"/>
      <c r="FFC65" s="627"/>
      <c r="FFE65" s="627"/>
      <c r="FFG65" s="627"/>
      <c r="FFI65" s="627"/>
      <c r="FFK65" s="627"/>
      <c r="FFM65" s="627"/>
      <c r="FFO65" s="627"/>
      <c r="FFQ65" s="627"/>
      <c r="FFS65" s="627"/>
      <c r="FFU65" s="627"/>
      <c r="FFW65" s="627"/>
      <c r="FFY65" s="627"/>
      <c r="FGA65" s="627"/>
      <c r="FGC65" s="627"/>
      <c r="FGE65" s="627"/>
      <c r="FGG65" s="627"/>
      <c r="FGI65" s="627"/>
      <c r="FGK65" s="627"/>
      <c r="FGM65" s="627"/>
      <c r="FGO65" s="627"/>
      <c r="FGQ65" s="627"/>
      <c r="FGS65" s="627"/>
      <c r="FGU65" s="627"/>
      <c r="FGW65" s="627"/>
      <c r="FGY65" s="627"/>
      <c r="FHA65" s="627"/>
      <c r="FHC65" s="627"/>
      <c r="FHE65" s="627"/>
      <c r="FHG65" s="627"/>
      <c r="FHI65" s="627"/>
      <c r="FHK65" s="627"/>
      <c r="FHM65" s="627"/>
      <c r="FHO65" s="627"/>
      <c r="FHQ65" s="627"/>
      <c r="FHS65" s="627"/>
      <c r="FHU65" s="627"/>
      <c r="FHW65" s="627"/>
      <c r="FHY65" s="627"/>
      <c r="FIA65" s="627"/>
      <c r="FIC65" s="627"/>
      <c r="FIE65" s="627"/>
      <c r="FIG65" s="627"/>
      <c r="FII65" s="627"/>
      <c r="FIK65" s="627"/>
      <c r="FIM65" s="627"/>
      <c r="FIO65" s="627"/>
      <c r="FIQ65" s="627"/>
      <c r="FIS65" s="627"/>
      <c r="FIU65" s="627"/>
      <c r="FIW65" s="627"/>
      <c r="FIY65" s="627"/>
      <c r="FJA65" s="627"/>
      <c r="FJC65" s="627"/>
      <c r="FJE65" s="627"/>
      <c r="FJG65" s="627"/>
      <c r="FJI65" s="627"/>
      <c r="FJK65" s="627"/>
      <c r="FJM65" s="627"/>
      <c r="FJO65" s="627"/>
      <c r="FJQ65" s="627"/>
      <c r="FJS65" s="627"/>
      <c r="FJU65" s="627"/>
      <c r="FJW65" s="627"/>
      <c r="FJY65" s="627"/>
      <c r="FKA65" s="627"/>
      <c r="FKC65" s="627"/>
      <c r="FKE65" s="627"/>
      <c r="FKG65" s="627"/>
      <c r="FKI65" s="627"/>
      <c r="FKK65" s="627"/>
      <c r="FKM65" s="627"/>
      <c r="FKO65" s="627"/>
      <c r="FKQ65" s="627"/>
      <c r="FKS65" s="627"/>
      <c r="FKU65" s="627"/>
      <c r="FKW65" s="627"/>
      <c r="FKY65" s="627"/>
      <c r="FLA65" s="627"/>
      <c r="FLC65" s="627"/>
      <c r="FLE65" s="627"/>
      <c r="FLG65" s="627"/>
      <c r="FLI65" s="627"/>
      <c r="FLK65" s="627"/>
      <c r="FLM65" s="627"/>
      <c r="FLO65" s="627"/>
      <c r="FLQ65" s="627"/>
      <c r="FLS65" s="627"/>
      <c r="FLU65" s="627"/>
      <c r="FLW65" s="627"/>
      <c r="FLY65" s="627"/>
      <c r="FMA65" s="627"/>
      <c r="FMC65" s="627"/>
      <c r="FME65" s="627"/>
      <c r="FMG65" s="627"/>
      <c r="FMI65" s="627"/>
      <c r="FMK65" s="627"/>
      <c r="FMM65" s="627"/>
      <c r="FMO65" s="627"/>
      <c r="FMQ65" s="627"/>
      <c r="FMS65" s="627"/>
      <c r="FMU65" s="627"/>
      <c r="FMW65" s="627"/>
      <c r="FMY65" s="627"/>
      <c r="FNA65" s="627"/>
      <c r="FNC65" s="627"/>
      <c r="FNE65" s="627"/>
      <c r="FNG65" s="627"/>
      <c r="FNI65" s="627"/>
      <c r="FNK65" s="627"/>
      <c r="FNM65" s="627"/>
      <c r="FNO65" s="627"/>
      <c r="FNQ65" s="627"/>
      <c r="FNS65" s="627"/>
      <c r="FNU65" s="627"/>
      <c r="FNW65" s="627"/>
      <c r="FNY65" s="627"/>
      <c r="FOA65" s="627"/>
      <c r="FOC65" s="627"/>
      <c r="FOE65" s="627"/>
      <c r="FOG65" s="627"/>
      <c r="FOI65" s="627"/>
      <c r="FOK65" s="627"/>
      <c r="FOM65" s="627"/>
      <c r="FOO65" s="627"/>
      <c r="FOQ65" s="627"/>
      <c r="FOS65" s="627"/>
      <c r="FOU65" s="627"/>
      <c r="FOW65" s="627"/>
      <c r="FOY65" s="627"/>
      <c r="FPA65" s="627"/>
      <c r="FPC65" s="627"/>
      <c r="FPE65" s="627"/>
      <c r="FPG65" s="627"/>
      <c r="FPI65" s="627"/>
      <c r="FPK65" s="627"/>
      <c r="FPM65" s="627"/>
      <c r="FPO65" s="627"/>
      <c r="FPQ65" s="627"/>
      <c r="FPS65" s="627"/>
      <c r="FPU65" s="627"/>
      <c r="FPW65" s="627"/>
      <c r="FPY65" s="627"/>
      <c r="FQA65" s="627"/>
      <c r="FQC65" s="627"/>
      <c r="FQE65" s="627"/>
      <c r="FQG65" s="627"/>
      <c r="FQI65" s="627"/>
      <c r="FQK65" s="627"/>
      <c r="FQM65" s="627"/>
      <c r="FQO65" s="627"/>
      <c r="FQQ65" s="627"/>
      <c r="FQS65" s="627"/>
      <c r="FQU65" s="627"/>
      <c r="FQW65" s="627"/>
      <c r="FQY65" s="627"/>
      <c r="FRA65" s="627"/>
      <c r="FRC65" s="627"/>
      <c r="FRE65" s="627"/>
      <c r="FRG65" s="627"/>
      <c r="FRI65" s="627"/>
      <c r="FRK65" s="627"/>
      <c r="FRM65" s="627"/>
      <c r="FRO65" s="627"/>
      <c r="FRQ65" s="627"/>
      <c r="FRS65" s="627"/>
      <c r="FRU65" s="627"/>
      <c r="FRW65" s="627"/>
      <c r="FRY65" s="627"/>
      <c r="FSA65" s="627"/>
      <c r="FSC65" s="627"/>
      <c r="FSE65" s="627"/>
      <c r="FSG65" s="627"/>
      <c r="FSI65" s="627"/>
      <c r="FSK65" s="627"/>
      <c r="FSM65" s="627"/>
      <c r="FSO65" s="627"/>
      <c r="FSQ65" s="627"/>
      <c r="FSS65" s="627"/>
      <c r="FSU65" s="627"/>
      <c r="FSW65" s="627"/>
      <c r="FSY65" s="627"/>
      <c r="FTA65" s="627"/>
      <c r="FTC65" s="627"/>
      <c r="FTE65" s="627"/>
      <c r="FTG65" s="627"/>
      <c r="FTI65" s="627"/>
      <c r="FTK65" s="627"/>
      <c r="FTM65" s="627"/>
      <c r="FTO65" s="627"/>
      <c r="FTQ65" s="627"/>
      <c r="FTS65" s="627"/>
      <c r="FTU65" s="627"/>
      <c r="FTW65" s="627"/>
      <c r="FTY65" s="627"/>
      <c r="FUA65" s="627"/>
      <c r="FUC65" s="627"/>
      <c r="FUE65" s="627"/>
      <c r="FUG65" s="627"/>
      <c r="FUI65" s="627"/>
      <c r="FUK65" s="627"/>
      <c r="FUM65" s="627"/>
      <c r="FUO65" s="627"/>
      <c r="FUQ65" s="627"/>
      <c r="FUS65" s="627"/>
      <c r="FUU65" s="627"/>
      <c r="FUW65" s="627"/>
      <c r="FUY65" s="627"/>
      <c r="FVA65" s="627"/>
      <c r="FVC65" s="627"/>
      <c r="FVE65" s="627"/>
      <c r="FVG65" s="627"/>
      <c r="FVI65" s="627"/>
      <c r="FVK65" s="627"/>
      <c r="FVM65" s="627"/>
      <c r="FVO65" s="627"/>
      <c r="FVQ65" s="627"/>
      <c r="FVS65" s="627"/>
      <c r="FVU65" s="627"/>
      <c r="FVW65" s="627"/>
      <c r="FVY65" s="627"/>
      <c r="FWA65" s="627"/>
      <c r="FWC65" s="627"/>
      <c r="FWE65" s="627"/>
      <c r="FWG65" s="627"/>
      <c r="FWI65" s="627"/>
      <c r="FWK65" s="627"/>
      <c r="FWM65" s="627"/>
      <c r="FWO65" s="627"/>
      <c r="FWQ65" s="627"/>
      <c r="FWS65" s="627"/>
      <c r="FWU65" s="627"/>
      <c r="FWW65" s="627"/>
      <c r="FWY65" s="627"/>
      <c r="FXA65" s="627"/>
      <c r="FXC65" s="627"/>
      <c r="FXE65" s="627"/>
      <c r="FXG65" s="627"/>
      <c r="FXI65" s="627"/>
      <c r="FXK65" s="627"/>
      <c r="FXM65" s="627"/>
      <c r="FXO65" s="627"/>
      <c r="FXQ65" s="627"/>
      <c r="FXS65" s="627"/>
      <c r="FXU65" s="627"/>
      <c r="FXW65" s="627"/>
      <c r="FXY65" s="627"/>
      <c r="FYA65" s="627"/>
      <c r="FYC65" s="627"/>
      <c r="FYE65" s="627"/>
      <c r="FYG65" s="627"/>
      <c r="FYI65" s="627"/>
      <c r="FYK65" s="627"/>
      <c r="FYM65" s="627"/>
      <c r="FYO65" s="627"/>
      <c r="FYQ65" s="627"/>
      <c r="FYS65" s="627"/>
      <c r="FYU65" s="627"/>
      <c r="FYW65" s="627"/>
      <c r="FYY65" s="627"/>
      <c r="FZA65" s="627"/>
      <c r="FZC65" s="627"/>
      <c r="FZE65" s="627"/>
      <c r="FZG65" s="627"/>
      <c r="FZI65" s="627"/>
      <c r="FZK65" s="627"/>
      <c r="FZM65" s="627"/>
      <c r="FZO65" s="627"/>
      <c r="FZQ65" s="627"/>
      <c r="FZS65" s="627"/>
      <c r="FZU65" s="627"/>
      <c r="FZW65" s="627"/>
      <c r="FZY65" s="627"/>
      <c r="GAA65" s="627"/>
      <c r="GAC65" s="627"/>
      <c r="GAE65" s="627"/>
      <c r="GAG65" s="627"/>
      <c r="GAI65" s="627"/>
      <c r="GAK65" s="627"/>
      <c r="GAM65" s="627"/>
      <c r="GAO65" s="627"/>
      <c r="GAQ65" s="627"/>
      <c r="GAS65" s="627"/>
      <c r="GAU65" s="627"/>
      <c r="GAW65" s="627"/>
      <c r="GAY65" s="627"/>
      <c r="GBA65" s="627"/>
      <c r="GBC65" s="627"/>
      <c r="GBE65" s="627"/>
      <c r="GBG65" s="627"/>
      <c r="GBI65" s="627"/>
      <c r="GBK65" s="627"/>
      <c r="GBM65" s="627"/>
      <c r="GBO65" s="627"/>
      <c r="GBQ65" s="627"/>
      <c r="GBS65" s="627"/>
      <c r="GBU65" s="627"/>
      <c r="GBW65" s="627"/>
      <c r="GBY65" s="627"/>
      <c r="GCA65" s="627"/>
      <c r="GCC65" s="627"/>
      <c r="GCE65" s="627"/>
      <c r="GCG65" s="627"/>
      <c r="GCI65" s="627"/>
      <c r="GCK65" s="627"/>
      <c r="GCM65" s="627"/>
      <c r="GCO65" s="627"/>
      <c r="GCQ65" s="627"/>
      <c r="GCS65" s="627"/>
      <c r="GCU65" s="627"/>
      <c r="GCW65" s="627"/>
      <c r="GCY65" s="627"/>
      <c r="GDA65" s="627"/>
      <c r="GDC65" s="627"/>
      <c r="GDE65" s="627"/>
      <c r="GDG65" s="627"/>
      <c r="GDI65" s="627"/>
      <c r="GDK65" s="627"/>
      <c r="GDM65" s="627"/>
      <c r="GDO65" s="627"/>
      <c r="GDQ65" s="627"/>
      <c r="GDS65" s="627"/>
      <c r="GDU65" s="627"/>
      <c r="GDW65" s="627"/>
      <c r="GDY65" s="627"/>
      <c r="GEA65" s="627"/>
      <c r="GEC65" s="627"/>
      <c r="GEE65" s="627"/>
      <c r="GEG65" s="627"/>
      <c r="GEI65" s="627"/>
      <c r="GEK65" s="627"/>
      <c r="GEM65" s="627"/>
      <c r="GEO65" s="627"/>
      <c r="GEQ65" s="627"/>
      <c r="GES65" s="627"/>
      <c r="GEU65" s="627"/>
      <c r="GEW65" s="627"/>
      <c r="GEY65" s="627"/>
      <c r="GFA65" s="627"/>
      <c r="GFC65" s="627"/>
      <c r="GFE65" s="627"/>
      <c r="GFG65" s="627"/>
      <c r="GFI65" s="627"/>
      <c r="GFK65" s="627"/>
      <c r="GFM65" s="627"/>
      <c r="GFO65" s="627"/>
      <c r="GFQ65" s="627"/>
      <c r="GFS65" s="627"/>
      <c r="GFU65" s="627"/>
      <c r="GFW65" s="627"/>
      <c r="GFY65" s="627"/>
      <c r="GGA65" s="627"/>
      <c r="GGC65" s="627"/>
      <c r="GGE65" s="627"/>
      <c r="GGG65" s="627"/>
      <c r="GGI65" s="627"/>
      <c r="GGK65" s="627"/>
      <c r="GGM65" s="627"/>
      <c r="GGO65" s="627"/>
      <c r="GGQ65" s="627"/>
      <c r="GGS65" s="627"/>
      <c r="GGU65" s="627"/>
      <c r="GGW65" s="627"/>
      <c r="GGY65" s="627"/>
      <c r="GHA65" s="627"/>
      <c r="GHC65" s="627"/>
      <c r="GHE65" s="627"/>
      <c r="GHG65" s="627"/>
      <c r="GHI65" s="627"/>
      <c r="GHK65" s="627"/>
      <c r="GHM65" s="627"/>
      <c r="GHO65" s="627"/>
      <c r="GHQ65" s="627"/>
      <c r="GHS65" s="627"/>
      <c r="GHU65" s="627"/>
      <c r="GHW65" s="627"/>
      <c r="GHY65" s="627"/>
      <c r="GIA65" s="627"/>
      <c r="GIC65" s="627"/>
      <c r="GIE65" s="627"/>
      <c r="GIG65" s="627"/>
      <c r="GII65" s="627"/>
      <c r="GIK65" s="627"/>
      <c r="GIM65" s="627"/>
      <c r="GIO65" s="627"/>
      <c r="GIQ65" s="627"/>
      <c r="GIS65" s="627"/>
      <c r="GIU65" s="627"/>
      <c r="GIW65" s="627"/>
      <c r="GIY65" s="627"/>
      <c r="GJA65" s="627"/>
      <c r="GJC65" s="627"/>
      <c r="GJE65" s="627"/>
      <c r="GJG65" s="627"/>
      <c r="GJI65" s="627"/>
      <c r="GJK65" s="627"/>
      <c r="GJM65" s="627"/>
      <c r="GJO65" s="627"/>
      <c r="GJQ65" s="627"/>
      <c r="GJS65" s="627"/>
      <c r="GJU65" s="627"/>
      <c r="GJW65" s="627"/>
      <c r="GJY65" s="627"/>
      <c r="GKA65" s="627"/>
      <c r="GKC65" s="627"/>
      <c r="GKE65" s="627"/>
      <c r="GKG65" s="627"/>
      <c r="GKI65" s="627"/>
      <c r="GKK65" s="627"/>
      <c r="GKM65" s="627"/>
      <c r="GKO65" s="627"/>
      <c r="GKQ65" s="627"/>
      <c r="GKS65" s="627"/>
      <c r="GKU65" s="627"/>
      <c r="GKW65" s="627"/>
      <c r="GKY65" s="627"/>
      <c r="GLA65" s="627"/>
      <c r="GLC65" s="627"/>
      <c r="GLE65" s="627"/>
      <c r="GLG65" s="627"/>
      <c r="GLI65" s="627"/>
      <c r="GLK65" s="627"/>
      <c r="GLM65" s="627"/>
      <c r="GLO65" s="627"/>
      <c r="GLQ65" s="627"/>
      <c r="GLS65" s="627"/>
      <c r="GLU65" s="627"/>
      <c r="GLW65" s="627"/>
      <c r="GLY65" s="627"/>
      <c r="GMA65" s="627"/>
      <c r="GMC65" s="627"/>
      <c r="GME65" s="627"/>
      <c r="GMG65" s="627"/>
      <c r="GMI65" s="627"/>
      <c r="GMK65" s="627"/>
      <c r="GMM65" s="627"/>
      <c r="GMO65" s="627"/>
      <c r="GMQ65" s="627"/>
      <c r="GMS65" s="627"/>
      <c r="GMU65" s="627"/>
      <c r="GMW65" s="627"/>
      <c r="GMY65" s="627"/>
      <c r="GNA65" s="627"/>
      <c r="GNC65" s="627"/>
      <c r="GNE65" s="627"/>
      <c r="GNG65" s="627"/>
      <c r="GNI65" s="627"/>
      <c r="GNK65" s="627"/>
      <c r="GNM65" s="627"/>
      <c r="GNO65" s="627"/>
      <c r="GNQ65" s="627"/>
      <c r="GNS65" s="627"/>
      <c r="GNU65" s="627"/>
      <c r="GNW65" s="627"/>
      <c r="GNY65" s="627"/>
      <c r="GOA65" s="627"/>
      <c r="GOC65" s="627"/>
      <c r="GOE65" s="627"/>
      <c r="GOG65" s="627"/>
      <c r="GOI65" s="627"/>
      <c r="GOK65" s="627"/>
      <c r="GOM65" s="627"/>
      <c r="GOO65" s="627"/>
      <c r="GOQ65" s="627"/>
      <c r="GOS65" s="627"/>
      <c r="GOU65" s="627"/>
      <c r="GOW65" s="627"/>
      <c r="GOY65" s="627"/>
      <c r="GPA65" s="627"/>
      <c r="GPC65" s="627"/>
      <c r="GPE65" s="627"/>
      <c r="GPG65" s="627"/>
      <c r="GPI65" s="627"/>
      <c r="GPK65" s="627"/>
      <c r="GPM65" s="627"/>
      <c r="GPO65" s="627"/>
      <c r="GPQ65" s="627"/>
      <c r="GPS65" s="627"/>
      <c r="GPU65" s="627"/>
      <c r="GPW65" s="627"/>
      <c r="GPY65" s="627"/>
      <c r="GQA65" s="627"/>
      <c r="GQC65" s="627"/>
      <c r="GQE65" s="627"/>
      <c r="GQG65" s="627"/>
      <c r="GQI65" s="627"/>
      <c r="GQK65" s="627"/>
      <c r="GQM65" s="627"/>
      <c r="GQO65" s="627"/>
      <c r="GQQ65" s="627"/>
      <c r="GQS65" s="627"/>
      <c r="GQU65" s="627"/>
      <c r="GQW65" s="627"/>
      <c r="GQY65" s="627"/>
      <c r="GRA65" s="627"/>
      <c r="GRC65" s="627"/>
      <c r="GRE65" s="627"/>
      <c r="GRG65" s="627"/>
      <c r="GRI65" s="627"/>
      <c r="GRK65" s="627"/>
      <c r="GRM65" s="627"/>
      <c r="GRO65" s="627"/>
      <c r="GRQ65" s="627"/>
      <c r="GRS65" s="627"/>
      <c r="GRU65" s="627"/>
      <c r="GRW65" s="627"/>
      <c r="GRY65" s="627"/>
      <c r="GSA65" s="627"/>
      <c r="GSC65" s="627"/>
      <c r="GSE65" s="627"/>
      <c r="GSG65" s="627"/>
      <c r="GSI65" s="627"/>
      <c r="GSK65" s="627"/>
      <c r="GSM65" s="627"/>
      <c r="GSO65" s="627"/>
      <c r="GSQ65" s="627"/>
      <c r="GSS65" s="627"/>
      <c r="GSU65" s="627"/>
      <c r="GSW65" s="627"/>
      <c r="GSY65" s="627"/>
      <c r="GTA65" s="627"/>
      <c r="GTC65" s="627"/>
      <c r="GTE65" s="627"/>
      <c r="GTG65" s="627"/>
      <c r="GTI65" s="627"/>
      <c r="GTK65" s="627"/>
      <c r="GTM65" s="627"/>
      <c r="GTO65" s="627"/>
      <c r="GTQ65" s="627"/>
      <c r="GTS65" s="627"/>
      <c r="GTU65" s="627"/>
      <c r="GTW65" s="627"/>
      <c r="GTY65" s="627"/>
      <c r="GUA65" s="627"/>
      <c r="GUC65" s="627"/>
      <c r="GUE65" s="627"/>
      <c r="GUG65" s="627"/>
      <c r="GUI65" s="627"/>
      <c r="GUK65" s="627"/>
      <c r="GUM65" s="627"/>
      <c r="GUO65" s="627"/>
      <c r="GUQ65" s="627"/>
      <c r="GUS65" s="627"/>
      <c r="GUU65" s="627"/>
      <c r="GUW65" s="627"/>
      <c r="GUY65" s="627"/>
      <c r="GVA65" s="627"/>
      <c r="GVC65" s="627"/>
      <c r="GVE65" s="627"/>
      <c r="GVG65" s="627"/>
      <c r="GVI65" s="627"/>
      <c r="GVK65" s="627"/>
      <c r="GVM65" s="627"/>
      <c r="GVO65" s="627"/>
      <c r="GVQ65" s="627"/>
      <c r="GVS65" s="627"/>
      <c r="GVU65" s="627"/>
      <c r="GVW65" s="627"/>
      <c r="GVY65" s="627"/>
      <c r="GWA65" s="627"/>
      <c r="GWC65" s="627"/>
      <c r="GWE65" s="627"/>
      <c r="GWG65" s="627"/>
      <c r="GWI65" s="627"/>
      <c r="GWK65" s="627"/>
      <c r="GWM65" s="627"/>
      <c r="GWO65" s="627"/>
      <c r="GWQ65" s="627"/>
      <c r="GWS65" s="627"/>
      <c r="GWU65" s="627"/>
      <c r="GWW65" s="627"/>
      <c r="GWY65" s="627"/>
      <c r="GXA65" s="627"/>
      <c r="GXC65" s="627"/>
      <c r="GXE65" s="627"/>
      <c r="GXG65" s="627"/>
      <c r="GXI65" s="627"/>
      <c r="GXK65" s="627"/>
      <c r="GXM65" s="627"/>
      <c r="GXO65" s="627"/>
      <c r="GXQ65" s="627"/>
      <c r="GXS65" s="627"/>
      <c r="GXU65" s="627"/>
      <c r="GXW65" s="627"/>
      <c r="GXY65" s="627"/>
      <c r="GYA65" s="627"/>
      <c r="GYC65" s="627"/>
      <c r="GYE65" s="627"/>
      <c r="GYG65" s="627"/>
      <c r="GYI65" s="627"/>
      <c r="GYK65" s="627"/>
      <c r="GYM65" s="627"/>
      <c r="GYO65" s="627"/>
      <c r="GYQ65" s="627"/>
      <c r="GYS65" s="627"/>
      <c r="GYU65" s="627"/>
      <c r="GYW65" s="627"/>
      <c r="GYY65" s="627"/>
      <c r="GZA65" s="627"/>
      <c r="GZC65" s="627"/>
      <c r="GZE65" s="627"/>
      <c r="GZG65" s="627"/>
      <c r="GZI65" s="627"/>
      <c r="GZK65" s="627"/>
      <c r="GZM65" s="627"/>
      <c r="GZO65" s="627"/>
      <c r="GZQ65" s="627"/>
      <c r="GZS65" s="627"/>
      <c r="GZU65" s="627"/>
      <c r="GZW65" s="627"/>
      <c r="GZY65" s="627"/>
      <c r="HAA65" s="627"/>
      <c r="HAC65" s="627"/>
      <c r="HAE65" s="627"/>
      <c r="HAG65" s="627"/>
      <c r="HAI65" s="627"/>
      <c r="HAK65" s="627"/>
      <c r="HAM65" s="627"/>
      <c r="HAO65" s="627"/>
      <c r="HAQ65" s="627"/>
      <c r="HAS65" s="627"/>
      <c r="HAU65" s="627"/>
      <c r="HAW65" s="627"/>
      <c r="HAY65" s="627"/>
      <c r="HBA65" s="627"/>
      <c r="HBC65" s="627"/>
      <c r="HBE65" s="627"/>
      <c r="HBG65" s="627"/>
      <c r="HBI65" s="627"/>
      <c r="HBK65" s="627"/>
      <c r="HBM65" s="627"/>
      <c r="HBO65" s="627"/>
      <c r="HBQ65" s="627"/>
      <c r="HBS65" s="627"/>
      <c r="HBU65" s="627"/>
      <c r="HBW65" s="627"/>
      <c r="HBY65" s="627"/>
      <c r="HCA65" s="627"/>
      <c r="HCC65" s="627"/>
      <c r="HCE65" s="627"/>
      <c r="HCG65" s="627"/>
      <c r="HCI65" s="627"/>
      <c r="HCK65" s="627"/>
      <c r="HCM65" s="627"/>
      <c r="HCO65" s="627"/>
      <c r="HCQ65" s="627"/>
      <c r="HCS65" s="627"/>
      <c r="HCU65" s="627"/>
      <c r="HCW65" s="627"/>
      <c r="HCY65" s="627"/>
      <c r="HDA65" s="627"/>
      <c r="HDC65" s="627"/>
      <c r="HDE65" s="627"/>
      <c r="HDG65" s="627"/>
      <c r="HDI65" s="627"/>
      <c r="HDK65" s="627"/>
      <c r="HDM65" s="627"/>
      <c r="HDO65" s="627"/>
      <c r="HDQ65" s="627"/>
      <c r="HDS65" s="627"/>
      <c r="HDU65" s="627"/>
      <c r="HDW65" s="627"/>
      <c r="HDY65" s="627"/>
      <c r="HEA65" s="627"/>
      <c r="HEC65" s="627"/>
      <c r="HEE65" s="627"/>
      <c r="HEG65" s="627"/>
      <c r="HEI65" s="627"/>
      <c r="HEK65" s="627"/>
      <c r="HEM65" s="627"/>
      <c r="HEO65" s="627"/>
      <c r="HEQ65" s="627"/>
      <c r="HES65" s="627"/>
      <c r="HEU65" s="627"/>
      <c r="HEW65" s="627"/>
      <c r="HEY65" s="627"/>
      <c r="HFA65" s="627"/>
      <c r="HFC65" s="627"/>
      <c r="HFE65" s="627"/>
      <c r="HFG65" s="627"/>
      <c r="HFI65" s="627"/>
      <c r="HFK65" s="627"/>
      <c r="HFM65" s="627"/>
      <c r="HFO65" s="627"/>
      <c r="HFQ65" s="627"/>
      <c r="HFS65" s="627"/>
      <c r="HFU65" s="627"/>
      <c r="HFW65" s="627"/>
      <c r="HFY65" s="627"/>
      <c r="HGA65" s="627"/>
      <c r="HGC65" s="627"/>
      <c r="HGE65" s="627"/>
      <c r="HGG65" s="627"/>
      <c r="HGI65" s="627"/>
      <c r="HGK65" s="627"/>
      <c r="HGM65" s="627"/>
      <c r="HGO65" s="627"/>
      <c r="HGQ65" s="627"/>
      <c r="HGS65" s="627"/>
      <c r="HGU65" s="627"/>
      <c r="HGW65" s="627"/>
      <c r="HGY65" s="627"/>
      <c r="HHA65" s="627"/>
      <c r="HHC65" s="627"/>
      <c r="HHE65" s="627"/>
      <c r="HHG65" s="627"/>
      <c r="HHI65" s="627"/>
      <c r="HHK65" s="627"/>
      <c r="HHM65" s="627"/>
      <c r="HHO65" s="627"/>
      <c r="HHQ65" s="627"/>
      <c r="HHS65" s="627"/>
      <c r="HHU65" s="627"/>
      <c r="HHW65" s="627"/>
      <c r="HHY65" s="627"/>
      <c r="HIA65" s="627"/>
      <c r="HIC65" s="627"/>
      <c r="HIE65" s="627"/>
      <c r="HIG65" s="627"/>
      <c r="HII65" s="627"/>
      <c r="HIK65" s="627"/>
      <c r="HIM65" s="627"/>
      <c r="HIO65" s="627"/>
      <c r="HIQ65" s="627"/>
      <c r="HIS65" s="627"/>
      <c r="HIU65" s="627"/>
      <c r="HIW65" s="627"/>
      <c r="HIY65" s="627"/>
      <c r="HJA65" s="627"/>
      <c r="HJC65" s="627"/>
      <c r="HJE65" s="627"/>
      <c r="HJG65" s="627"/>
      <c r="HJI65" s="627"/>
      <c r="HJK65" s="627"/>
      <c r="HJM65" s="627"/>
      <c r="HJO65" s="627"/>
      <c r="HJQ65" s="627"/>
      <c r="HJS65" s="627"/>
      <c r="HJU65" s="627"/>
      <c r="HJW65" s="627"/>
      <c r="HJY65" s="627"/>
      <c r="HKA65" s="627"/>
      <c r="HKC65" s="627"/>
      <c r="HKE65" s="627"/>
      <c r="HKG65" s="627"/>
      <c r="HKI65" s="627"/>
      <c r="HKK65" s="627"/>
      <c r="HKM65" s="627"/>
      <c r="HKO65" s="627"/>
      <c r="HKQ65" s="627"/>
      <c r="HKS65" s="627"/>
      <c r="HKU65" s="627"/>
      <c r="HKW65" s="627"/>
      <c r="HKY65" s="627"/>
      <c r="HLA65" s="627"/>
      <c r="HLC65" s="627"/>
      <c r="HLE65" s="627"/>
      <c r="HLG65" s="627"/>
      <c r="HLI65" s="627"/>
      <c r="HLK65" s="627"/>
      <c r="HLM65" s="627"/>
      <c r="HLO65" s="627"/>
      <c r="HLQ65" s="627"/>
      <c r="HLS65" s="627"/>
      <c r="HLU65" s="627"/>
      <c r="HLW65" s="627"/>
      <c r="HLY65" s="627"/>
      <c r="HMA65" s="627"/>
      <c r="HMC65" s="627"/>
      <c r="HME65" s="627"/>
      <c r="HMG65" s="627"/>
      <c r="HMI65" s="627"/>
      <c r="HMK65" s="627"/>
      <c r="HMM65" s="627"/>
      <c r="HMO65" s="627"/>
      <c r="HMQ65" s="627"/>
      <c r="HMS65" s="627"/>
      <c r="HMU65" s="627"/>
      <c r="HMW65" s="627"/>
      <c r="HMY65" s="627"/>
      <c r="HNA65" s="627"/>
      <c r="HNC65" s="627"/>
      <c r="HNE65" s="627"/>
      <c r="HNG65" s="627"/>
      <c r="HNI65" s="627"/>
      <c r="HNK65" s="627"/>
      <c r="HNM65" s="627"/>
      <c r="HNO65" s="627"/>
      <c r="HNQ65" s="627"/>
      <c r="HNS65" s="627"/>
      <c r="HNU65" s="627"/>
      <c r="HNW65" s="627"/>
      <c r="HNY65" s="627"/>
      <c r="HOA65" s="627"/>
      <c r="HOC65" s="627"/>
      <c r="HOE65" s="627"/>
      <c r="HOG65" s="627"/>
      <c r="HOI65" s="627"/>
      <c r="HOK65" s="627"/>
      <c r="HOM65" s="627"/>
      <c r="HOO65" s="627"/>
      <c r="HOQ65" s="627"/>
      <c r="HOS65" s="627"/>
      <c r="HOU65" s="627"/>
      <c r="HOW65" s="627"/>
      <c r="HOY65" s="627"/>
      <c r="HPA65" s="627"/>
      <c r="HPC65" s="627"/>
      <c r="HPE65" s="627"/>
      <c r="HPG65" s="627"/>
      <c r="HPI65" s="627"/>
      <c r="HPK65" s="627"/>
      <c r="HPM65" s="627"/>
      <c r="HPO65" s="627"/>
      <c r="HPQ65" s="627"/>
      <c r="HPS65" s="627"/>
      <c r="HPU65" s="627"/>
      <c r="HPW65" s="627"/>
      <c r="HPY65" s="627"/>
      <c r="HQA65" s="627"/>
      <c r="HQC65" s="627"/>
      <c r="HQE65" s="627"/>
      <c r="HQG65" s="627"/>
      <c r="HQI65" s="627"/>
      <c r="HQK65" s="627"/>
      <c r="HQM65" s="627"/>
      <c r="HQO65" s="627"/>
      <c r="HQQ65" s="627"/>
      <c r="HQS65" s="627"/>
      <c r="HQU65" s="627"/>
      <c r="HQW65" s="627"/>
      <c r="HQY65" s="627"/>
      <c r="HRA65" s="627"/>
      <c r="HRC65" s="627"/>
      <c r="HRE65" s="627"/>
      <c r="HRG65" s="627"/>
      <c r="HRI65" s="627"/>
      <c r="HRK65" s="627"/>
      <c r="HRM65" s="627"/>
      <c r="HRO65" s="627"/>
      <c r="HRQ65" s="627"/>
      <c r="HRS65" s="627"/>
      <c r="HRU65" s="627"/>
      <c r="HRW65" s="627"/>
      <c r="HRY65" s="627"/>
      <c r="HSA65" s="627"/>
      <c r="HSC65" s="627"/>
      <c r="HSE65" s="627"/>
      <c r="HSG65" s="627"/>
      <c r="HSI65" s="627"/>
      <c r="HSK65" s="627"/>
      <c r="HSM65" s="627"/>
      <c r="HSO65" s="627"/>
      <c r="HSQ65" s="627"/>
      <c r="HSS65" s="627"/>
      <c r="HSU65" s="627"/>
      <c r="HSW65" s="627"/>
      <c r="HSY65" s="627"/>
      <c r="HTA65" s="627"/>
      <c r="HTC65" s="627"/>
      <c r="HTE65" s="627"/>
      <c r="HTG65" s="627"/>
      <c r="HTI65" s="627"/>
      <c r="HTK65" s="627"/>
      <c r="HTM65" s="627"/>
      <c r="HTO65" s="627"/>
      <c r="HTQ65" s="627"/>
      <c r="HTS65" s="627"/>
      <c r="HTU65" s="627"/>
      <c r="HTW65" s="627"/>
      <c r="HTY65" s="627"/>
      <c r="HUA65" s="627"/>
      <c r="HUC65" s="627"/>
      <c r="HUE65" s="627"/>
      <c r="HUG65" s="627"/>
      <c r="HUI65" s="627"/>
      <c r="HUK65" s="627"/>
      <c r="HUM65" s="627"/>
      <c r="HUO65" s="627"/>
      <c r="HUQ65" s="627"/>
      <c r="HUS65" s="627"/>
      <c r="HUU65" s="627"/>
      <c r="HUW65" s="627"/>
      <c r="HUY65" s="627"/>
      <c r="HVA65" s="627"/>
      <c r="HVC65" s="627"/>
      <c r="HVE65" s="627"/>
      <c r="HVG65" s="627"/>
      <c r="HVI65" s="627"/>
      <c r="HVK65" s="627"/>
      <c r="HVM65" s="627"/>
      <c r="HVO65" s="627"/>
      <c r="HVQ65" s="627"/>
      <c r="HVS65" s="627"/>
      <c r="HVU65" s="627"/>
      <c r="HVW65" s="627"/>
      <c r="HVY65" s="627"/>
      <c r="HWA65" s="627"/>
      <c r="HWC65" s="627"/>
      <c r="HWE65" s="627"/>
      <c r="HWG65" s="627"/>
      <c r="HWI65" s="627"/>
      <c r="HWK65" s="627"/>
      <c r="HWM65" s="627"/>
      <c r="HWO65" s="627"/>
      <c r="HWQ65" s="627"/>
      <c r="HWS65" s="627"/>
      <c r="HWU65" s="627"/>
      <c r="HWW65" s="627"/>
      <c r="HWY65" s="627"/>
      <c r="HXA65" s="627"/>
      <c r="HXC65" s="627"/>
      <c r="HXE65" s="627"/>
      <c r="HXG65" s="627"/>
      <c r="HXI65" s="627"/>
      <c r="HXK65" s="627"/>
      <c r="HXM65" s="627"/>
      <c r="HXO65" s="627"/>
      <c r="HXQ65" s="627"/>
      <c r="HXS65" s="627"/>
      <c r="HXU65" s="627"/>
      <c r="HXW65" s="627"/>
      <c r="HXY65" s="627"/>
      <c r="HYA65" s="627"/>
      <c r="HYC65" s="627"/>
      <c r="HYE65" s="627"/>
      <c r="HYG65" s="627"/>
      <c r="HYI65" s="627"/>
      <c r="HYK65" s="627"/>
      <c r="HYM65" s="627"/>
      <c r="HYO65" s="627"/>
      <c r="HYQ65" s="627"/>
      <c r="HYS65" s="627"/>
      <c r="HYU65" s="627"/>
      <c r="HYW65" s="627"/>
      <c r="HYY65" s="627"/>
      <c r="HZA65" s="627"/>
      <c r="HZC65" s="627"/>
      <c r="HZE65" s="627"/>
      <c r="HZG65" s="627"/>
      <c r="HZI65" s="627"/>
      <c r="HZK65" s="627"/>
      <c r="HZM65" s="627"/>
      <c r="HZO65" s="627"/>
      <c r="HZQ65" s="627"/>
      <c r="HZS65" s="627"/>
      <c r="HZU65" s="627"/>
      <c r="HZW65" s="627"/>
      <c r="HZY65" s="627"/>
      <c r="IAA65" s="627"/>
      <c r="IAC65" s="627"/>
      <c r="IAE65" s="627"/>
      <c r="IAG65" s="627"/>
      <c r="IAI65" s="627"/>
      <c r="IAK65" s="627"/>
      <c r="IAM65" s="627"/>
      <c r="IAO65" s="627"/>
      <c r="IAQ65" s="627"/>
      <c r="IAS65" s="627"/>
      <c r="IAU65" s="627"/>
      <c r="IAW65" s="627"/>
      <c r="IAY65" s="627"/>
      <c r="IBA65" s="627"/>
      <c r="IBC65" s="627"/>
      <c r="IBE65" s="627"/>
      <c r="IBG65" s="627"/>
      <c r="IBI65" s="627"/>
      <c r="IBK65" s="627"/>
      <c r="IBM65" s="627"/>
      <c r="IBO65" s="627"/>
      <c r="IBQ65" s="627"/>
      <c r="IBS65" s="627"/>
      <c r="IBU65" s="627"/>
      <c r="IBW65" s="627"/>
      <c r="IBY65" s="627"/>
      <c r="ICA65" s="627"/>
      <c r="ICC65" s="627"/>
      <c r="ICE65" s="627"/>
      <c r="ICG65" s="627"/>
      <c r="ICI65" s="627"/>
      <c r="ICK65" s="627"/>
      <c r="ICM65" s="627"/>
      <c r="ICO65" s="627"/>
      <c r="ICQ65" s="627"/>
      <c r="ICS65" s="627"/>
      <c r="ICU65" s="627"/>
      <c r="ICW65" s="627"/>
      <c r="ICY65" s="627"/>
      <c r="IDA65" s="627"/>
      <c r="IDC65" s="627"/>
      <c r="IDE65" s="627"/>
      <c r="IDG65" s="627"/>
      <c r="IDI65" s="627"/>
      <c r="IDK65" s="627"/>
      <c r="IDM65" s="627"/>
      <c r="IDO65" s="627"/>
      <c r="IDQ65" s="627"/>
      <c r="IDS65" s="627"/>
      <c r="IDU65" s="627"/>
      <c r="IDW65" s="627"/>
      <c r="IDY65" s="627"/>
      <c r="IEA65" s="627"/>
      <c r="IEC65" s="627"/>
      <c r="IEE65" s="627"/>
      <c r="IEG65" s="627"/>
      <c r="IEI65" s="627"/>
      <c r="IEK65" s="627"/>
      <c r="IEM65" s="627"/>
      <c r="IEO65" s="627"/>
      <c r="IEQ65" s="627"/>
      <c r="IES65" s="627"/>
      <c r="IEU65" s="627"/>
      <c r="IEW65" s="627"/>
      <c r="IEY65" s="627"/>
      <c r="IFA65" s="627"/>
      <c r="IFC65" s="627"/>
      <c r="IFE65" s="627"/>
      <c r="IFG65" s="627"/>
      <c r="IFI65" s="627"/>
      <c r="IFK65" s="627"/>
      <c r="IFM65" s="627"/>
      <c r="IFO65" s="627"/>
      <c r="IFQ65" s="627"/>
      <c r="IFS65" s="627"/>
      <c r="IFU65" s="627"/>
      <c r="IFW65" s="627"/>
      <c r="IFY65" s="627"/>
      <c r="IGA65" s="627"/>
      <c r="IGC65" s="627"/>
      <c r="IGE65" s="627"/>
      <c r="IGG65" s="627"/>
      <c r="IGI65" s="627"/>
      <c r="IGK65" s="627"/>
      <c r="IGM65" s="627"/>
      <c r="IGO65" s="627"/>
      <c r="IGQ65" s="627"/>
      <c r="IGS65" s="627"/>
      <c r="IGU65" s="627"/>
      <c r="IGW65" s="627"/>
      <c r="IGY65" s="627"/>
      <c r="IHA65" s="627"/>
      <c r="IHC65" s="627"/>
      <c r="IHE65" s="627"/>
      <c r="IHG65" s="627"/>
      <c r="IHI65" s="627"/>
      <c r="IHK65" s="627"/>
      <c r="IHM65" s="627"/>
      <c r="IHO65" s="627"/>
      <c r="IHQ65" s="627"/>
      <c r="IHS65" s="627"/>
      <c r="IHU65" s="627"/>
      <c r="IHW65" s="627"/>
      <c r="IHY65" s="627"/>
      <c r="IIA65" s="627"/>
      <c r="IIC65" s="627"/>
      <c r="IIE65" s="627"/>
      <c r="IIG65" s="627"/>
      <c r="III65" s="627"/>
      <c r="IIK65" s="627"/>
      <c r="IIM65" s="627"/>
      <c r="IIO65" s="627"/>
      <c r="IIQ65" s="627"/>
      <c r="IIS65" s="627"/>
      <c r="IIU65" s="627"/>
      <c r="IIW65" s="627"/>
      <c r="IIY65" s="627"/>
      <c r="IJA65" s="627"/>
      <c r="IJC65" s="627"/>
      <c r="IJE65" s="627"/>
      <c r="IJG65" s="627"/>
      <c r="IJI65" s="627"/>
      <c r="IJK65" s="627"/>
      <c r="IJM65" s="627"/>
      <c r="IJO65" s="627"/>
      <c r="IJQ65" s="627"/>
      <c r="IJS65" s="627"/>
      <c r="IJU65" s="627"/>
      <c r="IJW65" s="627"/>
      <c r="IJY65" s="627"/>
      <c r="IKA65" s="627"/>
      <c r="IKC65" s="627"/>
      <c r="IKE65" s="627"/>
      <c r="IKG65" s="627"/>
      <c r="IKI65" s="627"/>
      <c r="IKK65" s="627"/>
      <c r="IKM65" s="627"/>
      <c r="IKO65" s="627"/>
      <c r="IKQ65" s="627"/>
      <c r="IKS65" s="627"/>
      <c r="IKU65" s="627"/>
      <c r="IKW65" s="627"/>
      <c r="IKY65" s="627"/>
      <c r="ILA65" s="627"/>
      <c r="ILC65" s="627"/>
      <c r="ILE65" s="627"/>
      <c r="ILG65" s="627"/>
      <c r="ILI65" s="627"/>
      <c r="ILK65" s="627"/>
      <c r="ILM65" s="627"/>
      <c r="ILO65" s="627"/>
      <c r="ILQ65" s="627"/>
      <c r="ILS65" s="627"/>
      <c r="ILU65" s="627"/>
      <c r="ILW65" s="627"/>
      <c r="ILY65" s="627"/>
      <c r="IMA65" s="627"/>
      <c r="IMC65" s="627"/>
      <c r="IME65" s="627"/>
      <c r="IMG65" s="627"/>
      <c r="IMI65" s="627"/>
      <c r="IMK65" s="627"/>
      <c r="IMM65" s="627"/>
      <c r="IMO65" s="627"/>
      <c r="IMQ65" s="627"/>
      <c r="IMS65" s="627"/>
      <c r="IMU65" s="627"/>
      <c r="IMW65" s="627"/>
      <c r="IMY65" s="627"/>
      <c r="INA65" s="627"/>
      <c r="INC65" s="627"/>
      <c r="INE65" s="627"/>
      <c r="ING65" s="627"/>
      <c r="INI65" s="627"/>
      <c r="INK65" s="627"/>
      <c r="INM65" s="627"/>
      <c r="INO65" s="627"/>
      <c r="INQ65" s="627"/>
      <c r="INS65" s="627"/>
      <c r="INU65" s="627"/>
      <c r="INW65" s="627"/>
      <c r="INY65" s="627"/>
      <c r="IOA65" s="627"/>
      <c r="IOC65" s="627"/>
      <c r="IOE65" s="627"/>
      <c r="IOG65" s="627"/>
      <c r="IOI65" s="627"/>
      <c r="IOK65" s="627"/>
      <c r="IOM65" s="627"/>
      <c r="IOO65" s="627"/>
      <c r="IOQ65" s="627"/>
      <c r="IOS65" s="627"/>
      <c r="IOU65" s="627"/>
      <c r="IOW65" s="627"/>
      <c r="IOY65" s="627"/>
      <c r="IPA65" s="627"/>
      <c r="IPC65" s="627"/>
      <c r="IPE65" s="627"/>
      <c r="IPG65" s="627"/>
      <c r="IPI65" s="627"/>
      <c r="IPK65" s="627"/>
      <c r="IPM65" s="627"/>
      <c r="IPO65" s="627"/>
      <c r="IPQ65" s="627"/>
      <c r="IPS65" s="627"/>
      <c r="IPU65" s="627"/>
      <c r="IPW65" s="627"/>
      <c r="IPY65" s="627"/>
      <c r="IQA65" s="627"/>
      <c r="IQC65" s="627"/>
      <c r="IQE65" s="627"/>
      <c r="IQG65" s="627"/>
      <c r="IQI65" s="627"/>
      <c r="IQK65" s="627"/>
      <c r="IQM65" s="627"/>
      <c r="IQO65" s="627"/>
      <c r="IQQ65" s="627"/>
      <c r="IQS65" s="627"/>
      <c r="IQU65" s="627"/>
      <c r="IQW65" s="627"/>
      <c r="IQY65" s="627"/>
      <c r="IRA65" s="627"/>
      <c r="IRC65" s="627"/>
      <c r="IRE65" s="627"/>
      <c r="IRG65" s="627"/>
      <c r="IRI65" s="627"/>
      <c r="IRK65" s="627"/>
      <c r="IRM65" s="627"/>
      <c r="IRO65" s="627"/>
      <c r="IRQ65" s="627"/>
      <c r="IRS65" s="627"/>
      <c r="IRU65" s="627"/>
      <c r="IRW65" s="627"/>
      <c r="IRY65" s="627"/>
      <c r="ISA65" s="627"/>
      <c r="ISC65" s="627"/>
      <c r="ISE65" s="627"/>
      <c r="ISG65" s="627"/>
      <c r="ISI65" s="627"/>
      <c r="ISK65" s="627"/>
      <c r="ISM65" s="627"/>
      <c r="ISO65" s="627"/>
      <c r="ISQ65" s="627"/>
      <c r="ISS65" s="627"/>
      <c r="ISU65" s="627"/>
      <c r="ISW65" s="627"/>
      <c r="ISY65" s="627"/>
      <c r="ITA65" s="627"/>
      <c r="ITC65" s="627"/>
      <c r="ITE65" s="627"/>
      <c r="ITG65" s="627"/>
      <c r="ITI65" s="627"/>
      <c r="ITK65" s="627"/>
      <c r="ITM65" s="627"/>
      <c r="ITO65" s="627"/>
      <c r="ITQ65" s="627"/>
      <c r="ITS65" s="627"/>
      <c r="ITU65" s="627"/>
      <c r="ITW65" s="627"/>
      <c r="ITY65" s="627"/>
      <c r="IUA65" s="627"/>
      <c r="IUC65" s="627"/>
      <c r="IUE65" s="627"/>
      <c r="IUG65" s="627"/>
      <c r="IUI65" s="627"/>
      <c r="IUK65" s="627"/>
      <c r="IUM65" s="627"/>
      <c r="IUO65" s="627"/>
      <c r="IUQ65" s="627"/>
      <c r="IUS65" s="627"/>
      <c r="IUU65" s="627"/>
      <c r="IUW65" s="627"/>
      <c r="IUY65" s="627"/>
      <c r="IVA65" s="627"/>
      <c r="IVC65" s="627"/>
      <c r="IVE65" s="627"/>
      <c r="IVG65" s="627"/>
      <c r="IVI65" s="627"/>
      <c r="IVK65" s="627"/>
      <c r="IVM65" s="627"/>
      <c r="IVO65" s="627"/>
      <c r="IVQ65" s="627"/>
      <c r="IVS65" s="627"/>
      <c r="IVU65" s="627"/>
      <c r="IVW65" s="627"/>
      <c r="IVY65" s="627"/>
      <c r="IWA65" s="627"/>
      <c r="IWC65" s="627"/>
      <c r="IWE65" s="627"/>
      <c r="IWG65" s="627"/>
      <c r="IWI65" s="627"/>
      <c r="IWK65" s="627"/>
      <c r="IWM65" s="627"/>
      <c r="IWO65" s="627"/>
      <c r="IWQ65" s="627"/>
      <c r="IWS65" s="627"/>
      <c r="IWU65" s="627"/>
      <c r="IWW65" s="627"/>
      <c r="IWY65" s="627"/>
      <c r="IXA65" s="627"/>
      <c r="IXC65" s="627"/>
      <c r="IXE65" s="627"/>
      <c r="IXG65" s="627"/>
      <c r="IXI65" s="627"/>
      <c r="IXK65" s="627"/>
      <c r="IXM65" s="627"/>
      <c r="IXO65" s="627"/>
      <c r="IXQ65" s="627"/>
      <c r="IXS65" s="627"/>
      <c r="IXU65" s="627"/>
      <c r="IXW65" s="627"/>
      <c r="IXY65" s="627"/>
      <c r="IYA65" s="627"/>
      <c r="IYC65" s="627"/>
      <c r="IYE65" s="627"/>
      <c r="IYG65" s="627"/>
      <c r="IYI65" s="627"/>
      <c r="IYK65" s="627"/>
      <c r="IYM65" s="627"/>
      <c r="IYO65" s="627"/>
      <c r="IYQ65" s="627"/>
      <c r="IYS65" s="627"/>
      <c r="IYU65" s="627"/>
      <c r="IYW65" s="627"/>
      <c r="IYY65" s="627"/>
      <c r="IZA65" s="627"/>
      <c r="IZC65" s="627"/>
      <c r="IZE65" s="627"/>
      <c r="IZG65" s="627"/>
      <c r="IZI65" s="627"/>
      <c r="IZK65" s="627"/>
      <c r="IZM65" s="627"/>
      <c r="IZO65" s="627"/>
      <c r="IZQ65" s="627"/>
      <c r="IZS65" s="627"/>
      <c r="IZU65" s="627"/>
      <c r="IZW65" s="627"/>
      <c r="IZY65" s="627"/>
      <c r="JAA65" s="627"/>
      <c r="JAC65" s="627"/>
      <c r="JAE65" s="627"/>
      <c r="JAG65" s="627"/>
      <c r="JAI65" s="627"/>
      <c r="JAK65" s="627"/>
      <c r="JAM65" s="627"/>
      <c r="JAO65" s="627"/>
      <c r="JAQ65" s="627"/>
      <c r="JAS65" s="627"/>
      <c r="JAU65" s="627"/>
      <c r="JAW65" s="627"/>
      <c r="JAY65" s="627"/>
      <c r="JBA65" s="627"/>
      <c r="JBC65" s="627"/>
      <c r="JBE65" s="627"/>
      <c r="JBG65" s="627"/>
      <c r="JBI65" s="627"/>
      <c r="JBK65" s="627"/>
      <c r="JBM65" s="627"/>
      <c r="JBO65" s="627"/>
      <c r="JBQ65" s="627"/>
      <c r="JBS65" s="627"/>
      <c r="JBU65" s="627"/>
      <c r="JBW65" s="627"/>
      <c r="JBY65" s="627"/>
      <c r="JCA65" s="627"/>
      <c r="JCC65" s="627"/>
      <c r="JCE65" s="627"/>
      <c r="JCG65" s="627"/>
      <c r="JCI65" s="627"/>
      <c r="JCK65" s="627"/>
      <c r="JCM65" s="627"/>
      <c r="JCO65" s="627"/>
      <c r="JCQ65" s="627"/>
      <c r="JCS65" s="627"/>
      <c r="JCU65" s="627"/>
      <c r="JCW65" s="627"/>
      <c r="JCY65" s="627"/>
      <c r="JDA65" s="627"/>
      <c r="JDC65" s="627"/>
      <c r="JDE65" s="627"/>
      <c r="JDG65" s="627"/>
      <c r="JDI65" s="627"/>
      <c r="JDK65" s="627"/>
      <c r="JDM65" s="627"/>
      <c r="JDO65" s="627"/>
      <c r="JDQ65" s="627"/>
      <c r="JDS65" s="627"/>
      <c r="JDU65" s="627"/>
      <c r="JDW65" s="627"/>
      <c r="JDY65" s="627"/>
      <c r="JEA65" s="627"/>
      <c r="JEC65" s="627"/>
      <c r="JEE65" s="627"/>
      <c r="JEG65" s="627"/>
      <c r="JEI65" s="627"/>
      <c r="JEK65" s="627"/>
      <c r="JEM65" s="627"/>
      <c r="JEO65" s="627"/>
      <c r="JEQ65" s="627"/>
      <c r="JES65" s="627"/>
      <c r="JEU65" s="627"/>
      <c r="JEW65" s="627"/>
      <c r="JEY65" s="627"/>
      <c r="JFA65" s="627"/>
      <c r="JFC65" s="627"/>
      <c r="JFE65" s="627"/>
      <c r="JFG65" s="627"/>
      <c r="JFI65" s="627"/>
      <c r="JFK65" s="627"/>
      <c r="JFM65" s="627"/>
      <c r="JFO65" s="627"/>
      <c r="JFQ65" s="627"/>
      <c r="JFS65" s="627"/>
      <c r="JFU65" s="627"/>
      <c r="JFW65" s="627"/>
      <c r="JFY65" s="627"/>
      <c r="JGA65" s="627"/>
      <c r="JGC65" s="627"/>
      <c r="JGE65" s="627"/>
      <c r="JGG65" s="627"/>
      <c r="JGI65" s="627"/>
      <c r="JGK65" s="627"/>
      <c r="JGM65" s="627"/>
      <c r="JGO65" s="627"/>
      <c r="JGQ65" s="627"/>
      <c r="JGS65" s="627"/>
      <c r="JGU65" s="627"/>
      <c r="JGW65" s="627"/>
      <c r="JGY65" s="627"/>
      <c r="JHA65" s="627"/>
      <c r="JHC65" s="627"/>
      <c r="JHE65" s="627"/>
      <c r="JHG65" s="627"/>
      <c r="JHI65" s="627"/>
      <c r="JHK65" s="627"/>
      <c r="JHM65" s="627"/>
      <c r="JHO65" s="627"/>
      <c r="JHQ65" s="627"/>
      <c r="JHS65" s="627"/>
      <c r="JHU65" s="627"/>
      <c r="JHW65" s="627"/>
      <c r="JHY65" s="627"/>
      <c r="JIA65" s="627"/>
      <c r="JIC65" s="627"/>
      <c r="JIE65" s="627"/>
      <c r="JIG65" s="627"/>
      <c r="JII65" s="627"/>
      <c r="JIK65" s="627"/>
      <c r="JIM65" s="627"/>
      <c r="JIO65" s="627"/>
      <c r="JIQ65" s="627"/>
      <c r="JIS65" s="627"/>
      <c r="JIU65" s="627"/>
      <c r="JIW65" s="627"/>
      <c r="JIY65" s="627"/>
      <c r="JJA65" s="627"/>
      <c r="JJC65" s="627"/>
      <c r="JJE65" s="627"/>
      <c r="JJG65" s="627"/>
      <c r="JJI65" s="627"/>
      <c r="JJK65" s="627"/>
      <c r="JJM65" s="627"/>
      <c r="JJO65" s="627"/>
      <c r="JJQ65" s="627"/>
      <c r="JJS65" s="627"/>
      <c r="JJU65" s="627"/>
      <c r="JJW65" s="627"/>
      <c r="JJY65" s="627"/>
      <c r="JKA65" s="627"/>
      <c r="JKC65" s="627"/>
      <c r="JKE65" s="627"/>
      <c r="JKG65" s="627"/>
      <c r="JKI65" s="627"/>
      <c r="JKK65" s="627"/>
      <c r="JKM65" s="627"/>
      <c r="JKO65" s="627"/>
      <c r="JKQ65" s="627"/>
      <c r="JKS65" s="627"/>
      <c r="JKU65" s="627"/>
      <c r="JKW65" s="627"/>
      <c r="JKY65" s="627"/>
      <c r="JLA65" s="627"/>
      <c r="JLC65" s="627"/>
      <c r="JLE65" s="627"/>
      <c r="JLG65" s="627"/>
      <c r="JLI65" s="627"/>
      <c r="JLK65" s="627"/>
      <c r="JLM65" s="627"/>
      <c r="JLO65" s="627"/>
      <c r="JLQ65" s="627"/>
      <c r="JLS65" s="627"/>
      <c r="JLU65" s="627"/>
      <c r="JLW65" s="627"/>
      <c r="JLY65" s="627"/>
      <c r="JMA65" s="627"/>
      <c r="JMC65" s="627"/>
      <c r="JME65" s="627"/>
      <c r="JMG65" s="627"/>
      <c r="JMI65" s="627"/>
      <c r="JMK65" s="627"/>
      <c r="JMM65" s="627"/>
      <c r="JMO65" s="627"/>
      <c r="JMQ65" s="627"/>
      <c r="JMS65" s="627"/>
      <c r="JMU65" s="627"/>
      <c r="JMW65" s="627"/>
      <c r="JMY65" s="627"/>
      <c r="JNA65" s="627"/>
      <c r="JNC65" s="627"/>
      <c r="JNE65" s="627"/>
      <c r="JNG65" s="627"/>
      <c r="JNI65" s="627"/>
      <c r="JNK65" s="627"/>
      <c r="JNM65" s="627"/>
      <c r="JNO65" s="627"/>
      <c r="JNQ65" s="627"/>
      <c r="JNS65" s="627"/>
      <c r="JNU65" s="627"/>
      <c r="JNW65" s="627"/>
      <c r="JNY65" s="627"/>
      <c r="JOA65" s="627"/>
      <c r="JOC65" s="627"/>
      <c r="JOE65" s="627"/>
      <c r="JOG65" s="627"/>
      <c r="JOI65" s="627"/>
      <c r="JOK65" s="627"/>
      <c r="JOM65" s="627"/>
      <c r="JOO65" s="627"/>
      <c r="JOQ65" s="627"/>
      <c r="JOS65" s="627"/>
      <c r="JOU65" s="627"/>
      <c r="JOW65" s="627"/>
      <c r="JOY65" s="627"/>
      <c r="JPA65" s="627"/>
      <c r="JPC65" s="627"/>
      <c r="JPE65" s="627"/>
      <c r="JPG65" s="627"/>
      <c r="JPI65" s="627"/>
      <c r="JPK65" s="627"/>
      <c r="JPM65" s="627"/>
      <c r="JPO65" s="627"/>
      <c r="JPQ65" s="627"/>
      <c r="JPS65" s="627"/>
      <c r="JPU65" s="627"/>
      <c r="JPW65" s="627"/>
      <c r="JPY65" s="627"/>
      <c r="JQA65" s="627"/>
      <c r="JQC65" s="627"/>
      <c r="JQE65" s="627"/>
      <c r="JQG65" s="627"/>
      <c r="JQI65" s="627"/>
      <c r="JQK65" s="627"/>
      <c r="JQM65" s="627"/>
      <c r="JQO65" s="627"/>
      <c r="JQQ65" s="627"/>
      <c r="JQS65" s="627"/>
      <c r="JQU65" s="627"/>
      <c r="JQW65" s="627"/>
      <c r="JQY65" s="627"/>
      <c r="JRA65" s="627"/>
      <c r="JRC65" s="627"/>
      <c r="JRE65" s="627"/>
      <c r="JRG65" s="627"/>
      <c r="JRI65" s="627"/>
      <c r="JRK65" s="627"/>
      <c r="JRM65" s="627"/>
      <c r="JRO65" s="627"/>
      <c r="JRQ65" s="627"/>
      <c r="JRS65" s="627"/>
      <c r="JRU65" s="627"/>
      <c r="JRW65" s="627"/>
      <c r="JRY65" s="627"/>
      <c r="JSA65" s="627"/>
      <c r="JSC65" s="627"/>
      <c r="JSE65" s="627"/>
      <c r="JSG65" s="627"/>
      <c r="JSI65" s="627"/>
      <c r="JSK65" s="627"/>
      <c r="JSM65" s="627"/>
      <c r="JSO65" s="627"/>
      <c r="JSQ65" s="627"/>
      <c r="JSS65" s="627"/>
      <c r="JSU65" s="627"/>
      <c r="JSW65" s="627"/>
      <c r="JSY65" s="627"/>
      <c r="JTA65" s="627"/>
      <c r="JTC65" s="627"/>
      <c r="JTE65" s="627"/>
      <c r="JTG65" s="627"/>
      <c r="JTI65" s="627"/>
      <c r="JTK65" s="627"/>
      <c r="JTM65" s="627"/>
      <c r="JTO65" s="627"/>
      <c r="JTQ65" s="627"/>
      <c r="JTS65" s="627"/>
      <c r="JTU65" s="627"/>
      <c r="JTW65" s="627"/>
      <c r="JTY65" s="627"/>
      <c r="JUA65" s="627"/>
      <c r="JUC65" s="627"/>
      <c r="JUE65" s="627"/>
      <c r="JUG65" s="627"/>
      <c r="JUI65" s="627"/>
      <c r="JUK65" s="627"/>
      <c r="JUM65" s="627"/>
      <c r="JUO65" s="627"/>
      <c r="JUQ65" s="627"/>
      <c r="JUS65" s="627"/>
      <c r="JUU65" s="627"/>
      <c r="JUW65" s="627"/>
      <c r="JUY65" s="627"/>
      <c r="JVA65" s="627"/>
      <c r="JVC65" s="627"/>
      <c r="JVE65" s="627"/>
      <c r="JVG65" s="627"/>
      <c r="JVI65" s="627"/>
      <c r="JVK65" s="627"/>
      <c r="JVM65" s="627"/>
      <c r="JVO65" s="627"/>
      <c r="JVQ65" s="627"/>
      <c r="JVS65" s="627"/>
      <c r="JVU65" s="627"/>
      <c r="JVW65" s="627"/>
      <c r="JVY65" s="627"/>
      <c r="JWA65" s="627"/>
      <c r="JWC65" s="627"/>
      <c r="JWE65" s="627"/>
      <c r="JWG65" s="627"/>
      <c r="JWI65" s="627"/>
      <c r="JWK65" s="627"/>
      <c r="JWM65" s="627"/>
      <c r="JWO65" s="627"/>
      <c r="JWQ65" s="627"/>
      <c r="JWS65" s="627"/>
      <c r="JWU65" s="627"/>
      <c r="JWW65" s="627"/>
      <c r="JWY65" s="627"/>
      <c r="JXA65" s="627"/>
      <c r="JXC65" s="627"/>
      <c r="JXE65" s="627"/>
      <c r="JXG65" s="627"/>
      <c r="JXI65" s="627"/>
      <c r="JXK65" s="627"/>
      <c r="JXM65" s="627"/>
      <c r="JXO65" s="627"/>
      <c r="JXQ65" s="627"/>
      <c r="JXS65" s="627"/>
      <c r="JXU65" s="627"/>
      <c r="JXW65" s="627"/>
      <c r="JXY65" s="627"/>
      <c r="JYA65" s="627"/>
      <c r="JYC65" s="627"/>
      <c r="JYE65" s="627"/>
      <c r="JYG65" s="627"/>
      <c r="JYI65" s="627"/>
      <c r="JYK65" s="627"/>
      <c r="JYM65" s="627"/>
      <c r="JYO65" s="627"/>
      <c r="JYQ65" s="627"/>
      <c r="JYS65" s="627"/>
      <c r="JYU65" s="627"/>
      <c r="JYW65" s="627"/>
      <c r="JYY65" s="627"/>
      <c r="JZA65" s="627"/>
      <c r="JZC65" s="627"/>
      <c r="JZE65" s="627"/>
      <c r="JZG65" s="627"/>
      <c r="JZI65" s="627"/>
      <c r="JZK65" s="627"/>
      <c r="JZM65" s="627"/>
      <c r="JZO65" s="627"/>
      <c r="JZQ65" s="627"/>
      <c r="JZS65" s="627"/>
      <c r="JZU65" s="627"/>
      <c r="JZW65" s="627"/>
      <c r="JZY65" s="627"/>
      <c r="KAA65" s="627"/>
      <c r="KAC65" s="627"/>
      <c r="KAE65" s="627"/>
      <c r="KAG65" s="627"/>
      <c r="KAI65" s="627"/>
      <c r="KAK65" s="627"/>
      <c r="KAM65" s="627"/>
      <c r="KAO65" s="627"/>
      <c r="KAQ65" s="627"/>
      <c r="KAS65" s="627"/>
      <c r="KAU65" s="627"/>
      <c r="KAW65" s="627"/>
      <c r="KAY65" s="627"/>
      <c r="KBA65" s="627"/>
      <c r="KBC65" s="627"/>
      <c r="KBE65" s="627"/>
      <c r="KBG65" s="627"/>
      <c r="KBI65" s="627"/>
      <c r="KBK65" s="627"/>
      <c r="KBM65" s="627"/>
      <c r="KBO65" s="627"/>
      <c r="KBQ65" s="627"/>
      <c r="KBS65" s="627"/>
      <c r="KBU65" s="627"/>
      <c r="KBW65" s="627"/>
      <c r="KBY65" s="627"/>
      <c r="KCA65" s="627"/>
      <c r="KCC65" s="627"/>
      <c r="KCE65" s="627"/>
      <c r="KCG65" s="627"/>
      <c r="KCI65" s="627"/>
      <c r="KCK65" s="627"/>
      <c r="KCM65" s="627"/>
      <c r="KCO65" s="627"/>
      <c r="KCQ65" s="627"/>
      <c r="KCS65" s="627"/>
      <c r="KCU65" s="627"/>
      <c r="KCW65" s="627"/>
      <c r="KCY65" s="627"/>
      <c r="KDA65" s="627"/>
      <c r="KDC65" s="627"/>
      <c r="KDE65" s="627"/>
      <c r="KDG65" s="627"/>
      <c r="KDI65" s="627"/>
      <c r="KDK65" s="627"/>
      <c r="KDM65" s="627"/>
      <c r="KDO65" s="627"/>
      <c r="KDQ65" s="627"/>
      <c r="KDS65" s="627"/>
      <c r="KDU65" s="627"/>
      <c r="KDW65" s="627"/>
      <c r="KDY65" s="627"/>
      <c r="KEA65" s="627"/>
      <c r="KEC65" s="627"/>
      <c r="KEE65" s="627"/>
      <c r="KEG65" s="627"/>
      <c r="KEI65" s="627"/>
      <c r="KEK65" s="627"/>
      <c r="KEM65" s="627"/>
      <c r="KEO65" s="627"/>
      <c r="KEQ65" s="627"/>
      <c r="KES65" s="627"/>
      <c r="KEU65" s="627"/>
      <c r="KEW65" s="627"/>
      <c r="KEY65" s="627"/>
      <c r="KFA65" s="627"/>
      <c r="KFC65" s="627"/>
      <c r="KFE65" s="627"/>
      <c r="KFG65" s="627"/>
      <c r="KFI65" s="627"/>
      <c r="KFK65" s="627"/>
      <c r="KFM65" s="627"/>
      <c r="KFO65" s="627"/>
      <c r="KFQ65" s="627"/>
      <c r="KFS65" s="627"/>
      <c r="KFU65" s="627"/>
      <c r="KFW65" s="627"/>
      <c r="KFY65" s="627"/>
      <c r="KGA65" s="627"/>
      <c r="KGC65" s="627"/>
      <c r="KGE65" s="627"/>
      <c r="KGG65" s="627"/>
      <c r="KGI65" s="627"/>
      <c r="KGK65" s="627"/>
      <c r="KGM65" s="627"/>
      <c r="KGO65" s="627"/>
      <c r="KGQ65" s="627"/>
      <c r="KGS65" s="627"/>
      <c r="KGU65" s="627"/>
      <c r="KGW65" s="627"/>
      <c r="KGY65" s="627"/>
      <c r="KHA65" s="627"/>
      <c r="KHC65" s="627"/>
      <c r="KHE65" s="627"/>
      <c r="KHG65" s="627"/>
      <c r="KHI65" s="627"/>
      <c r="KHK65" s="627"/>
      <c r="KHM65" s="627"/>
      <c r="KHO65" s="627"/>
      <c r="KHQ65" s="627"/>
      <c r="KHS65" s="627"/>
      <c r="KHU65" s="627"/>
      <c r="KHW65" s="627"/>
      <c r="KHY65" s="627"/>
      <c r="KIA65" s="627"/>
      <c r="KIC65" s="627"/>
      <c r="KIE65" s="627"/>
      <c r="KIG65" s="627"/>
      <c r="KII65" s="627"/>
      <c r="KIK65" s="627"/>
      <c r="KIM65" s="627"/>
      <c r="KIO65" s="627"/>
      <c r="KIQ65" s="627"/>
      <c r="KIS65" s="627"/>
      <c r="KIU65" s="627"/>
      <c r="KIW65" s="627"/>
      <c r="KIY65" s="627"/>
      <c r="KJA65" s="627"/>
      <c r="KJC65" s="627"/>
      <c r="KJE65" s="627"/>
      <c r="KJG65" s="627"/>
      <c r="KJI65" s="627"/>
      <c r="KJK65" s="627"/>
      <c r="KJM65" s="627"/>
      <c r="KJO65" s="627"/>
      <c r="KJQ65" s="627"/>
      <c r="KJS65" s="627"/>
      <c r="KJU65" s="627"/>
      <c r="KJW65" s="627"/>
      <c r="KJY65" s="627"/>
      <c r="KKA65" s="627"/>
      <c r="KKC65" s="627"/>
      <c r="KKE65" s="627"/>
      <c r="KKG65" s="627"/>
      <c r="KKI65" s="627"/>
      <c r="KKK65" s="627"/>
      <c r="KKM65" s="627"/>
      <c r="KKO65" s="627"/>
      <c r="KKQ65" s="627"/>
      <c r="KKS65" s="627"/>
      <c r="KKU65" s="627"/>
      <c r="KKW65" s="627"/>
      <c r="KKY65" s="627"/>
      <c r="KLA65" s="627"/>
      <c r="KLC65" s="627"/>
      <c r="KLE65" s="627"/>
      <c r="KLG65" s="627"/>
      <c r="KLI65" s="627"/>
      <c r="KLK65" s="627"/>
      <c r="KLM65" s="627"/>
      <c r="KLO65" s="627"/>
      <c r="KLQ65" s="627"/>
      <c r="KLS65" s="627"/>
      <c r="KLU65" s="627"/>
      <c r="KLW65" s="627"/>
      <c r="KLY65" s="627"/>
      <c r="KMA65" s="627"/>
      <c r="KMC65" s="627"/>
      <c r="KME65" s="627"/>
      <c r="KMG65" s="627"/>
      <c r="KMI65" s="627"/>
      <c r="KMK65" s="627"/>
      <c r="KMM65" s="627"/>
      <c r="KMO65" s="627"/>
      <c r="KMQ65" s="627"/>
      <c r="KMS65" s="627"/>
      <c r="KMU65" s="627"/>
      <c r="KMW65" s="627"/>
      <c r="KMY65" s="627"/>
      <c r="KNA65" s="627"/>
      <c r="KNC65" s="627"/>
      <c r="KNE65" s="627"/>
      <c r="KNG65" s="627"/>
      <c r="KNI65" s="627"/>
      <c r="KNK65" s="627"/>
      <c r="KNM65" s="627"/>
      <c r="KNO65" s="627"/>
      <c r="KNQ65" s="627"/>
      <c r="KNS65" s="627"/>
      <c r="KNU65" s="627"/>
      <c r="KNW65" s="627"/>
      <c r="KNY65" s="627"/>
      <c r="KOA65" s="627"/>
      <c r="KOC65" s="627"/>
      <c r="KOE65" s="627"/>
      <c r="KOG65" s="627"/>
      <c r="KOI65" s="627"/>
      <c r="KOK65" s="627"/>
      <c r="KOM65" s="627"/>
      <c r="KOO65" s="627"/>
      <c r="KOQ65" s="627"/>
      <c r="KOS65" s="627"/>
      <c r="KOU65" s="627"/>
      <c r="KOW65" s="627"/>
      <c r="KOY65" s="627"/>
      <c r="KPA65" s="627"/>
      <c r="KPC65" s="627"/>
      <c r="KPE65" s="627"/>
      <c r="KPG65" s="627"/>
      <c r="KPI65" s="627"/>
      <c r="KPK65" s="627"/>
      <c r="KPM65" s="627"/>
      <c r="KPO65" s="627"/>
      <c r="KPQ65" s="627"/>
      <c r="KPS65" s="627"/>
      <c r="KPU65" s="627"/>
      <c r="KPW65" s="627"/>
      <c r="KPY65" s="627"/>
      <c r="KQA65" s="627"/>
      <c r="KQC65" s="627"/>
      <c r="KQE65" s="627"/>
      <c r="KQG65" s="627"/>
      <c r="KQI65" s="627"/>
      <c r="KQK65" s="627"/>
      <c r="KQM65" s="627"/>
      <c r="KQO65" s="627"/>
      <c r="KQQ65" s="627"/>
      <c r="KQS65" s="627"/>
      <c r="KQU65" s="627"/>
      <c r="KQW65" s="627"/>
      <c r="KQY65" s="627"/>
      <c r="KRA65" s="627"/>
      <c r="KRC65" s="627"/>
      <c r="KRE65" s="627"/>
      <c r="KRG65" s="627"/>
      <c r="KRI65" s="627"/>
      <c r="KRK65" s="627"/>
      <c r="KRM65" s="627"/>
      <c r="KRO65" s="627"/>
      <c r="KRQ65" s="627"/>
      <c r="KRS65" s="627"/>
      <c r="KRU65" s="627"/>
      <c r="KRW65" s="627"/>
      <c r="KRY65" s="627"/>
      <c r="KSA65" s="627"/>
      <c r="KSC65" s="627"/>
      <c r="KSE65" s="627"/>
      <c r="KSG65" s="627"/>
      <c r="KSI65" s="627"/>
      <c r="KSK65" s="627"/>
      <c r="KSM65" s="627"/>
      <c r="KSO65" s="627"/>
      <c r="KSQ65" s="627"/>
      <c r="KSS65" s="627"/>
      <c r="KSU65" s="627"/>
      <c r="KSW65" s="627"/>
      <c r="KSY65" s="627"/>
      <c r="KTA65" s="627"/>
      <c r="KTC65" s="627"/>
      <c r="KTE65" s="627"/>
      <c r="KTG65" s="627"/>
      <c r="KTI65" s="627"/>
      <c r="KTK65" s="627"/>
      <c r="KTM65" s="627"/>
      <c r="KTO65" s="627"/>
      <c r="KTQ65" s="627"/>
      <c r="KTS65" s="627"/>
      <c r="KTU65" s="627"/>
      <c r="KTW65" s="627"/>
      <c r="KTY65" s="627"/>
      <c r="KUA65" s="627"/>
      <c r="KUC65" s="627"/>
      <c r="KUE65" s="627"/>
      <c r="KUG65" s="627"/>
      <c r="KUI65" s="627"/>
      <c r="KUK65" s="627"/>
      <c r="KUM65" s="627"/>
      <c r="KUO65" s="627"/>
      <c r="KUQ65" s="627"/>
      <c r="KUS65" s="627"/>
      <c r="KUU65" s="627"/>
      <c r="KUW65" s="627"/>
      <c r="KUY65" s="627"/>
      <c r="KVA65" s="627"/>
      <c r="KVC65" s="627"/>
      <c r="KVE65" s="627"/>
      <c r="KVG65" s="627"/>
      <c r="KVI65" s="627"/>
      <c r="KVK65" s="627"/>
      <c r="KVM65" s="627"/>
      <c r="KVO65" s="627"/>
      <c r="KVQ65" s="627"/>
      <c r="KVS65" s="627"/>
      <c r="KVU65" s="627"/>
      <c r="KVW65" s="627"/>
      <c r="KVY65" s="627"/>
      <c r="KWA65" s="627"/>
      <c r="KWC65" s="627"/>
      <c r="KWE65" s="627"/>
      <c r="KWG65" s="627"/>
      <c r="KWI65" s="627"/>
      <c r="KWK65" s="627"/>
      <c r="KWM65" s="627"/>
      <c r="KWO65" s="627"/>
      <c r="KWQ65" s="627"/>
      <c r="KWS65" s="627"/>
      <c r="KWU65" s="627"/>
      <c r="KWW65" s="627"/>
      <c r="KWY65" s="627"/>
      <c r="KXA65" s="627"/>
      <c r="KXC65" s="627"/>
      <c r="KXE65" s="627"/>
      <c r="KXG65" s="627"/>
      <c r="KXI65" s="627"/>
      <c r="KXK65" s="627"/>
      <c r="KXM65" s="627"/>
      <c r="KXO65" s="627"/>
      <c r="KXQ65" s="627"/>
      <c r="KXS65" s="627"/>
      <c r="KXU65" s="627"/>
      <c r="KXW65" s="627"/>
      <c r="KXY65" s="627"/>
      <c r="KYA65" s="627"/>
      <c r="KYC65" s="627"/>
      <c r="KYE65" s="627"/>
      <c r="KYG65" s="627"/>
      <c r="KYI65" s="627"/>
      <c r="KYK65" s="627"/>
      <c r="KYM65" s="627"/>
      <c r="KYO65" s="627"/>
      <c r="KYQ65" s="627"/>
      <c r="KYS65" s="627"/>
      <c r="KYU65" s="627"/>
      <c r="KYW65" s="627"/>
      <c r="KYY65" s="627"/>
      <c r="KZA65" s="627"/>
      <c r="KZC65" s="627"/>
      <c r="KZE65" s="627"/>
      <c r="KZG65" s="627"/>
      <c r="KZI65" s="627"/>
      <c r="KZK65" s="627"/>
      <c r="KZM65" s="627"/>
      <c r="KZO65" s="627"/>
      <c r="KZQ65" s="627"/>
      <c r="KZS65" s="627"/>
      <c r="KZU65" s="627"/>
      <c r="KZW65" s="627"/>
      <c r="KZY65" s="627"/>
      <c r="LAA65" s="627"/>
      <c r="LAC65" s="627"/>
      <c r="LAE65" s="627"/>
      <c r="LAG65" s="627"/>
      <c r="LAI65" s="627"/>
      <c r="LAK65" s="627"/>
      <c r="LAM65" s="627"/>
      <c r="LAO65" s="627"/>
      <c r="LAQ65" s="627"/>
      <c r="LAS65" s="627"/>
      <c r="LAU65" s="627"/>
      <c r="LAW65" s="627"/>
      <c r="LAY65" s="627"/>
      <c r="LBA65" s="627"/>
      <c r="LBC65" s="627"/>
      <c r="LBE65" s="627"/>
      <c r="LBG65" s="627"/>
      <c r="LBI65" s="627"/>
      <c r="LBK65" s="627"/>
      <c r="LBM65" s="627"/>
      <c r="LBO65" s="627"/>
      <c r="LBQ65" s="627"/>
      <c r="LBS65" s="627"/>
      <c r="LBU65" s="627"/>
      <c r="LBW65" s="627"/>
      <c r="LBY65" s="627"/>
      <c r="LCA65" s="627"/>
      <c r="LCC65" s="627"/>
      <c r="LCE65" s="627"/>
      <c r="LCG65" s="627"/>
      <c r="LCI65" s="627"/>
      <c r="LCK65" s="627"/>
      <c r="LCM65" s="627"/>
      <c r="LCO65" s="627"/>
      <c r="LCQ65" s="627"/>
      <c r="LCS65" s="627"/>
      <c r="LCU65" s="627"/>
      <c r="LCW65" s="627"/>
      <c r="LCY65" s="627"/>
      <c r="LDA65" s="627"/>
      <c r="LDC65" s="627"/>
      <c r="LDE65" s="627"/>
      <c r="LDG65" s="627"/>
      <c r="LDI65" s="627"/>
      <c r="LDK65" s="627"/>
      <c r="LDM65" s="627"/>
      <c r="LDO65" s="627"/>
      <c r="LDQ65" s="627"/>
      <c r="LDS65" s="627"/>
      <c r="LDU65" s="627"/>
      <c r="LDW65" s="627"/>
      <c r="LDY65" s="627"/>
      <c r="LEA65" s="627"/>
      <c r="LEC65" s="627"/>
      <c r="LEE65" s="627"/>
      <c r="LEG65" s="627"/>
      <c r="LEI65" s="627"/>
      <c r="LEK65" s="627"/>
      <c r="LEM65" s="627"/>
      <c r="LEO65" s="627"/>
      <c r="LEQ65" s="627"/>
      <c r="LES65" s="627"/>
      <c r="LEU65" s="627"/>
      <c r="LEW65" s="627"/>
      <c r="LEY65" s="627"/>
      <c r="LFA65" s="627"/>
      <c r="LFC65" s="627"/>
      <c r="LFE65" s="627"/>
      <c r="LFG65" s="627"/>
      <c r="LFI65" s="627"/>
      <c r="LFK65" s="627"/>
      <c r="LFM65" s="627"/>
      <c r="LFO65" s="627"/>
      <c r="LFQ65" s="627"/>
      <c r="LFS65" s="627"/>
      <c r="LFU65" s="627"/>
      <c r="LFW65" s="627"/>
      <c r="LFY65" s="627"/>
      <c r="LGA65" s="627"/>
      <c r="LGC65" s="627"/>
      <c r="LGE65" s="627"/>
      <c r="LGG65" s="627"/>
      <c r="LGI65" s="627"/>
      <c r="LGK65" s="627"/>
      <c r="LGM65" s="627"/>
      <c r="LGO65" s="627"/>
      <c r="LGQ65" s="627"/>
      <c r="LGS65" s="627"/>
      <c r="LGU65" s="627"/>
      <c r="LGW65" s="627"/>
      <c r="LGY65" s="627"/>
      <c r="LHA65" s="627"/>
      <c r="LHC65" s="627"/>
      <c r="LHE65" s="627"/>
      <c r="LHG65" s="627"/>
      <c r="LHI65" s="627"/>
      <c r="LHK65" s="627"/>
      <c r="LHM65" s="627"/>
      <c r="LHO65" s="627"/>
      <c r="LHQ65" s="627"/>
      <c r="LHS65" s="627"/>
      <c r="LHU65" s="627"/>
      <c r="LHW65" s="627"/>
      <c r="LHY65" s="627"/>
      <c r="LIA65" s="627"/>
      <c r="LIC65" s="627"/>
      <c r="LIE65" s="627"/>
      <c r="LIG65" s="627"/>
      <c r="LII65" s="627"/>
      <c r="LIK65" s="627"/>
      <c r="LIM65" s="627"/>
      <c r="LIO65" s="627"/>
      <c r="LIQ65" s="627"/>
      <c r="LIS65" s="627"/>
      <c r="LIU65" s="627"/>
      <c r="LIW65" s="627"/>
      <c r="LIY65" s="627"/>
      <c r="LJA65" s="627"/>
      <c r="LJC65" s="627"/>
      <c r="LJE65" s="627"/>
      <c r="LJG65" s="627"/>
      <c r="LJI65" s="627"/>
      <c r="LJK65" s="627"/>
      <c r="LJM65" s="627"/>
      <c r="LJO65" s="627"/>
      <c r="LJQ65" s="627"/>
      <c r="LJS65" s="627"/>
      <c r="LJU65" s="627"/>
      <c r="LJW65" s="627"/>
      <c r="LJY65" s="627"/>
      <c r="LKA65" s="627"/>
      <c r="LKC65" s="627"/>
      <c r="LKE65" s="627"/>
      <c r="LKG65" s="627"/>
      <c r="LKI65" s="627"/>
      <c r="LKK65" s="627"/>
      <c r="LKM65" s="627"/>
      <c r="LKO65" s="627"/>
      <c r="LKQ65" s="627"/>
      <c r="LKS65" s="627"/>
      <c r="LKU65" s="627"/>
      <c r="LKW65" s="627"/>
      <c r="LKY65" s="627"/>
      <c r="LLA65" s="627"/>
      <c r="LLC65" s="627"/>
      <c r="LLE65" s="627"/>
      <c r="LLG65" s="627"/>
      <c r="LLI65" s="627"/>
      <c r="LLK65" s="627"/>
      <c r="LLM65" s="627"/>
      <c r="LLO65" s="627"/>
      <c r="LLQ65" s="627"/>
      <c r="LLS65" s="627"/>
      <c r="LLU65" s="627"/>
      <c r="LLW65" s="627"/>
      <c r="LLY65" s="627"/>
      <c r="LMA65" s="627"/>
      <c r="LMC65" s="627"/>
      <c r="LME65" s="627"/>
      <c r="LMG65" s="627"/>
      <c r="LMI65" s="627"/>
      <c r="LMK65" s="627"/>
      <c r="LMM65" s="627"/>
      <c r="LMO65" s="627"/>
      <c r="LMQ65" s="627"/>
      <c r="LMS65" s="627"/>
      <c r="LMU65" s="627"/>
      <c r="LMW65" s="627"/>
      <c r="LMY65" s="627"/>
      <c r="LNA65" s="627"/>
      <c r="LNC65" s="627"/>
      <c r="LNE65" s="627"/>
      <c r="LNG65" s="627"/>
      <c r="LNI65" s="627"/>
      <c r="LNK65" s="627"/>
      <c r="LNM65" s="627"/>
      <c r="LNO65" s="627"/>
      <c r="LNQ65" s="627"/>
      <c r="LNS65" s="627"/>
      <c r="LNU65" s="627"/>
      <c r="LNW65" s="627"/>
      <c r="LNY65" s="627"/>
      <c r="LOA65" s="627"/>
      <c r="LOC65" s="627"/>
      <c r="LOE65" s="627"/>
      <c r="LOG65" s="627"/>
      <c r="LOI65" s="627"/>
      <c r="LOK65" s="627"/>
      <c r="LOM65" s="627"/>
      <c r="LOO65" s="627"/>
      <c r="LOQ65" s="627"/>
      <c r="LOS65" s="627"/>
      <c r="LOU65" s="627"/>
      <c r="LOW65" s="627"/>
      <c r="LOY65" s="627"/>
      <c r="LPA65" s="627"/>
      <c r="LPC65" s="627"/>
      <c r="LPE65" s="627"/>
      <c r="LPG65" s="627"/>
      <c r="LPI65" s="627"/>
      <c r="LPK65" s="627"/>
      <c r="LPM65" s="627"/>
      <c r="LPO65" s="627"/>
      <c r="LPQ65" s="627"/>
      <c r="LPS65" s="627"/>
      <c r="LPU65" s="627"/>
      <c r="LPW65" s="627"/>
      <c r="LPY65" s="627"/>
      <c r="LQA65" s="627"/>
      <c r="LQC65" s="627"/>
      <c r="LQE65" s="627"/>
      <c r="LQG65" s="627"/>
      <c r="LQI65" s="627"/>
      <c r="LQK65" s="627"/>
      <c r="LQM65" s="627"/>
      <c r="LQO65" s="627"/>
      <c r="LQQ65" s="627"/>
      <c r="LQS65" s="627"/>
      <c r="LQU65" s="627"/>
      <c r="LQW65" s="627"/>
      <c r="LQY65" s="627"/>
      <c r="LRA65" s="627"/>
      <c r="LRC65" s="627"/>
      <c r="LRE65" s="627"/>
      <c r="LRG65" s="627"/>
      <c r="LRI65" s="627"/>
      <c r="LRK65" s="627"/>
      <c r="LRM65" s="627"/>
      <c r="LRO65" s="627"/>
      <c r="LRQ65" s="627"/>
      <c r="LRS65" s="627"/>
      <c r="LRU65" s="627"/>
      <c r="LRW65" s="627"/>
      <c r="LRY65" s="627"/>
      <c r="LSA65" s="627"/>
      <c r="LSC65" s="627"/>
      <c r="LSE65" s="627"/>
      <c r="LSG65" s="627"/>
      <c r="LSI65" s="627"/>
      <c r="LSK65" s="627"/>
      <c r="LSM65" s="627"/>
      <c r="LSO65" s="627"/>
      <c r="LSQ65" s="627"/>
      <c r="LSS65" s="627"/>
      <c r="LSU65" s="627"/>
      <c r="LSW65" s="627"/>
      <c r="LSY65" s="627"/>
      <c r="LTA65" s="627"/>
      <c r="LTC65" s="627"/>
      <c r="LTE65" s="627"/>
      <c r="LTG65" s="627"/>
      <c r="LTI65" s="627"/>
      <c r="LTK65" s="627"/>
      <c r="LTM65" s="627"/>
      <c r="LTO65" s="627"/>
      <c r="LTQ65" s="627"/>
      <c r="LTS65" s="627"/>
      <c r="LTU65" s="627"/>
      <c r="LTW65" s="627"/>
      <c r="LTY65" s="627"/>
      <c r="LUA65" s="627"/>
      <c r="LUC65" s="627"/>
      <c r="LUE65" s="627"/>
      <c r="LUG65" s="627"/>
      <c r="LUI65" s="627"/>
      <c r="LUK65" s="627"/>
      <c r="LUM65" s="627"/>
      <c r="LUO65" s="627"/>
      <c r="LUQ65" s="627"/>
      <c r="LUS65" s="627"/>
      <c r="LUU65" s="627"/>
      <c r="LUW65" s="627"/>
      <c r="LUY65" s="627"/>
      <c r="LVA65" s="627"/>
      <c r="LVC65" s="627"/>
      <c r="LVE65" s="627"/>
      <c r="LVG65" s="627"/>
      <c r="LVI65" s="627"/>
      <c r="LVK65" s="627"/>
      <c r="LVM65" s="627"/>
      <c r="LVO65" s="627"/>
      <c r="LVQ65" s="627"/>
      <c r="LVS65" s="627"/>
      <c r="LVU65" s="627"/>
      <c r="LVW65" s="627"/>
      <c r="LVY65" s="627"/>
      <c r="LWA65" s="627"/>
      <c r="LWC65" s="627"/>
      <c r="LWE65" s="627"/>
      <c r="LWG65" s="627"/>
      <c r="LWI65" s="627"/>
      <c r="LWK65" s="627"/>
      <c r="LWM65" s="627"/>
      <c r="LWO65" s="627"/>
      <c r="LWQ65" s="627"/>
      <c r="LWS65" s="627"/>
      <c r="LWU65" s="627"/>
      <c r="LWW65" s="627"/>
      <c r="LWY65" s="627"/>
      <c r="LXA65" s="627"/>
      <c r="LXC65" s="627"/>
      <c r="LXE65" s="627"/>
      <c r="LXG65" s="627"/>
      <c r="LXI65" s="627"/>
      <c r="LXK65" s="627"/>
      <c r="LXM65" s="627"/>
      <c r="LXO65" s="627"/>
      <c r="LXQ65" s="627"/>
      <c r="LXS65" s="627"/>
      <c r="LXU65" s="627"/>
      <c r="LXW65" s="627"/>
      <c r="LXY65" s="627"/>
      <c r="LYA65" s="627"/>
      <c r="LYC65" s="627"/>
      <c r="LYE65" s="627"/>
      <c r="LYG65" s="627"/>
      <c r="LYI65" s="627"/>
      <c r="LYK65" s="627"/>
      <c r="LYM65" s="627"/>
      <c r="LYO65" s="627"/>
      <c r="LYQ65" s="627"/>
      <c r="LYS65" s="627"/>
      <c r="LYU65" s="627"/>
      <c r="LYW65" s="627"/>
      <c r="LYY65" s="627"/>
      <c r="LZA65" s="627"/>
      <c r="LZC65" s="627"/>
      <c r="LZE65" s="627"/>
      <c r="LZG65" s="627"/>
      <c r="LZI65" s="627"/>
      <c r="LZK65" s="627"/>
      <c r="LZM65" s="627"/>
      <c r="LZO65" s="627"/>
      <c r="LZQ65" s="627"/>
      <c r="LZS65" s="627"/>
      <c r="LZU65" s="627"/>
      <c r="LZW65" s="627"/>
      <c r="LZY65" s="627"/>
      <c r="MAA65" s="627"/>
      <c r="MAC65" s="627"/>
      <c r="MAE65" s="627"/>
      <c r="MAG65" s="627"/>
      <c r="MAI65" s="627"/>
      <c r="MAK65" s="627"/>
      <c r="MAM65" s="627"/>
      <c r="MAO65" s="627"/>
      <c r="MAQ65" s="627"/>
      <c r="MAS65" s="627"/>
      <c r="MAU65" s="627"/>
      <c r="MAW65" s="627"/>
      <c r="MAY65" s="627"/>
      <c r="MBA65" s="627"/>
      <c r="MBC65" s="627"/>
      <c r="MBE65" s="627"/>
      <c r="MBG65" s="627"/>
      <c r="MBI65" s="627"/>
      <c r="MBK65" s="627"/>
      <c r="MBM65" s="627"/>
      <c r="MBO65" s="627"/>
      <c r="MBQ65" s="627"/>
      <c r="MBS65" s="627"/>
      <c r="MBU65" s="627"/>
      <c r="MBW65" s="627"/>
      <c r="MBY65" s="627"/>
      <c r="MCA65" s="627"/>
      <c r="MCC65" s="627"/>
      <c r="MCE65" s="627"/>
      <c r="MCG65" s="627"/>
      <c r="MCI65" s="627"/>
      <c r="MCK65" s="627"/>
      <c r="MCM65" s="627"/>
      <c r="MCO65" s="627"/>
      <c r="MCQ65" s="627"/>
      <c r="MCS65" s="627"/>
      <c r="MCU65" s="627"/>
      <c r="MCW65" s="627"/>
      <c r="MCY65" s="627"/>
      <c r="MDA65" s="627"/>
      <c r="MDC65" s="627"/>
      <c r="MDE65" s="627"/>
      <c r="MDG65" s="627"/>
      <c r="MDI65" s="627"/>
      <c r="MDK65" s="627"/>
      <c r="MDM65" s="627"/>
      <c r="MDO65" s="627"/>
      <c r="MDQ65" s="627"/>
      <c r="MDS65" s="627"/>
      <c r="MDU65" s="627"/>
      <c r="MDW65" s="627"/>
      <c r="MDY65" s="627"/>
      <c r="MEA65" s="627"/>
      <c r="MEC65" s="627"/>
      <c r="MEE65" s="627"/>
      <c r="MEG65" s="627"/>
      <c r="MEI65" s="627"/>
      <c r="MEK65" s="627"/>
      <c r="MEM65" s="627"/>
      <c r="MEO65" s="627"/>
      <c r="MEQ65" s="627"/>
      <c r="MES65" s="627"/>
      <c r="MEU65" s="627"/>
      <c r="MEW65" s="627"/>
      <c r="MEY65" s="627"/>
      <c r="MFA65" s="627"/>
      <c r="MFC65" s="627"/>
      <c r="MFE65" s="627"/>
      <c r="MFG65" s="627"/>
      <c r="MFI65" s="627"/>
      <c r="MFK65" s="627"/>
      <c r="MFM65" s="627"/>
      <c r="MFO65" s="627"/>
      <c r="MFQ65" s="627"/>
      <c r="MFS65" s="627"/>
      <c r="MFU65" s="627"/>
      <c r="MFW65" s="627"/>
      <c r="MFY65" s="627"/>
      <c r="MGA65" s="627"/>
      <c r="MGC65" s="627"/>
      <c r="MGE65" s="627"/>
      <c r="MGG65" s="627"/>
      <c r="MGI65" s="627"/>
      <c r="MGK65" s="627"/>
      <c r="MGM65" s="627"/>
      <c r="MGO65" s="627"/>
      <c r="MGQ65" s="627"/>
      <c r="MGS65" s="627"/>
      <c r="MGU65" s="627"/>
      <c r="MGW65" s="627"/>
      <c r="MGY65" s="627"/>
      <c r="MHA65" s="627"/>
      <c r="MHC65" s="627"/>
      <c r="MHE65" s="627"/>
      <c r="MHG65" s="627"/>
      <c r="MHI65" s="627"/>
      <c r="MHK65" s="627"/>
      <c r="MHM65" s="627"/>
      <c r="MHO65" s="627"/>
      <c r="MHQ65" s="627"/>
      <c r="MHS65" s="627"/>
      <c r="MHU65" s="627"/>
      <c r="MHW65" s="627"/>
      <c r="MHY65" s="627"/>
      <c r="MIA65" s="627"/>
      <c r="MIC65" s="627"/>
      <c r="MIE65" s="627"/>
      <c r="MIG65" s="627"/>
      <c r="MII65" s="627"/>
      <c r="MIK65" s="627"/>
      <c r="MIM65" s="627"/>
      <c r="MIO65" s="627"/>
      <c r="MIQ65" s="627"/>
      <c r="MIS65" s="627"/>
      <c r="MIU65" s="627"/>
      <c r="MIW65" s="627"/>
      <c r="MIY65" s="627"/>
      <c r="MJA65" s="627"/>
      <c r="MJC65" s="627"/>
      <c r="MJE65" s="627"/>
      <c r="MJG65" s="627"/>
      <c r="MJI65" s="627"/>
      <c r="MJK65" s="627"/>
      <c r="MJM65" s="627"/>
      <c r="MJO65" s="627"/>
      <c r="MJQ65" s="627"/>
      <c r="MJS65" s="627"/>
      <c r="MJU65" s="627"/>
      <c r="MJW65" s="627"/>
      <c r="MJY65" s="627"/>
      <c r="MKA65" s="627"/>
      <c r="MKC65" s="627"/>
      <c r="MKE65" s="627"/>
      <c r="MKG65" s="627"/>
      <c r="MKI65" s="627"/>
      <c r="MKK65" s="627"/>
      <c r="MKM65" s="627"/>
      <c r="MKO65" s="627"/>
      <c r="MKQ65" s="627"/>
      <c r="MKS65" s="627"/>
      <c r="MKU65" s="627"/>
      <c r="MKW65" s="627"/>
      <c r="MKY65" s="627"/>
      <c r="MLA65" s="627"/>
      <c r="MLC65" s="627"/>
      <c r="MLE65" s="627"/>
      <c r="MLG65" s="627"/>
      <c r="MLI65" s="627"/>
      <c r="MLK65" s="627"/>
      <c r="MLM65" s="627"/>
      <c r="MLO65" s="627"/>
      <c r="MLQ65" s="627"/>
      <c r="MLS65" s="627"/>
      <c r="MLU65" s="627"/>
      <c r="MLW65" s="627"/>
      <c r="MLY65" s="627"/>
      <c r="MMA65" s="627"/>
      <c r="MMC65" s="627"/>
      <c r="MME65" s="627"/>
      <c r="MMG65" s="627"/>
      <c r="MMI65" s="627"/>
      <c r="MMK65" s="627"/>
      <c r="MMM65" s="627"/>
      <c r="MMO65" s="627"/>
      <c r="MMQ65" s="627"/>
      <c r="MMS65" s="627"/>
      <c r="MMU65" s="627"/>
      <c r="MMW65" s="627"/>
      <c r="MMY65" s="627"/>
      <c r="MNA65" s="627"/>
      <c r="MNC65" s="627"/>
      <c r="MNE65" s="627"/>
      <c r="MNG65" s="627"/>
      <c r="MNI65" s="627"/>
      <c r="MNK65" s="627"/>
      <c r="MNM65" s="627"/>
      <c r="MNO65" s="627"/>
      <c r="MNQ65" s="627"/>
      <c r="MNS65" s="627"/>
      <c r="MNU65" s="627"/>
      <c r="MNW65" s="627"/>
      <c r="MNY65" s="627"/>
      <c r="MOA65" s="627"/>
      <c r="MOC65" s="627"/>
      <c r="MOE65" s="627"/>
      <c r="MOG65" s="627"/>
      <c r="MOI65" s="627"/>
      <c r="MOK65" s="627"/>
      <c r="MOM65" s="627"/>
      <c r="MOO65" s="627"/>
      <c r="MOQ65" s="627"/>
      <c r="MOS65" s="627"/>
      <c r="MOU65" s="627"/>
      <c r="MOW65" s="627"/>
      <c r="MOY65" s="627"/>
      <c r="MPA65" s="627"/>
      <c r="MPC65" s="627"/>
      <c r="MPE65" s="627"/>
      <c r="MPG65" s="627"/>
      <c r="MPI65" s="627"/>
      <c r="MPK65" s="627"/>
      <c r="MPM65" s="627"/>
      <c r="MPO65" s="627"/>
      <c r="MPQ65" s="627"/>
      <c r="MPS65" s="627"/>
      <c r="MPU65" s="627"/>
      <c r="MPW65" s="627"/>
      <c r="MPY65" s="627"/>
      <c r="MQA65" s="627"/>
      <c r="MQC65" s="627"/>
      <c r="MQE65" s="627"/>
      <c r="MQG65" s="627"/>
      <c r="MQI65" s="627"/>
      <c r="MQK65" s="627"/>
      <c r="MQM65" s="627"/>
      <c r="MQO65" s="627"/>
      <c r="MQQ65" s="627"/>
      <c r="MQS65" s="627"/>
      <c r="MQU65" s="627"/>
      <c r="MQW65" s="627"/>
      <c r="MQY65" s="627"/>
      <c r="MRA65" s="627"/>
      <c r="MRC65" s="627"/>
      <c r="MRE65" s="627"/>
      <c r="MRG65" s="627"/>
      <c r="MRI65" s="627"/>
      <c r="MRK65" s="627"/>
      <c r="MRM65" s="627"/>
      <c r="MRO65" s="627"/>
      <c r="MRQ65" s="627"/>
      <c r="MRS65" s="627"/>
      <c r="MRU65" s="627"/>
      <c r="MRW65" s="627"/>
      <c r="MRY65" s="627"/>
      <c r="MSA65" s="627"/>
      <c r="MSC65" s="627"/>
      <c r="MSE65" s="627"/>
      <c r="MSG65" s="627"/>
      <c r="MSI65" s="627"/>
      <c r="MSK65" s="627"/>
      <c r="MSM65" s="627"/>
      <c r="MSO65" s="627"/>
      <c r="MSQ65" s="627"/>
      <c r="MSS65" s="627"/>
      <c r="MSU65" s="627"/>
      <c r="MSW65" s="627"/>
      <c r="MSY65" s="627"/>
      <c r="MTA65" s="627"/>
      <c r="MTC65" s="627"/>
      <c r="MTE65" s="627"/>
      <c r="MTG65" s="627"/>
      <c r="MTI65" s="627"/>
      <c r="MTK65" s="627"/>
      <c r="MTM65" s="627"/>
      <c r="MTO65" s="627"/>
      <c r="MTQ65" s="627"/>
      <c r="MTS65" s="627"/>
      <c r="MTU65" s="627"/>
      <c r="MTW65" s="627"/>
      <c r="MTY65" s="627"/>
      <c r="MUA65" s="627"/>
      <c r="MUC65" s="627"/>
      <c r="MUE65" s="627"/>
      <c r="MUG65" s="627"/>
      <c r="MUI65" s="627"/>
      <c r="MUK65" s="627"/>
      <c r="MUM65" s="627"/>
      <c r="MUO65" s="627"/>
      <c r="MUQ65" s="627"/>
      <c r="MUS65" s="627"/>
      <c r="MUU65" s="627"/>
      <c r="MUW65" s="627"/>
      <c r="MUY65" s="627"/>
      <c r="MVA65" s="627"/>
      <c r="MVC65" s="627"/>
      <c r="MVE65" s="627"/>
      <c r="MVG65" s="627"/>
      <c r="MVI65" s="627"/>
      <c r="MVK65" s="627"/>
      <c r="MVM65" s="627"/>
      <c r="MVO65" s="627"/>
      <c r="MVQ65" s="627"/>
      <c r="MVS65" s="627"/>
      <c r="MVU65" s="627"/>
      <c r="MVW65" s="627"/>
      <c r="MVY65" s="627"/>
      <c r="MWA65" s="627"/>
      <c r="MWC65" s="627"/>
      <c r="MWE65" s="627"/>
      <c r="MWG65" s="627"/>
      <c r="MWI65" s="627"/>
      <c r="MWK65" s="627"/>
      <c r="MWM65" s="627"/>
      <c r="MWO65" s="627"/>
      <c r="MWQ65" s="627"/>
      <c r="MWS65" s="627"/>
      <c r="MWU65" s="627"/>
      <c r="MWW65" s="627"/>
      <c r="MWY65" s="627"/>
      <c r="MXA65" s="627"/>
      <c r="MXC65" s="627"/>
      <c r="MXE65" s="627"/>
      <c r="MXG65" s="627"/>
      <c r="MXI65" s="627"/>
      <c r="MXK65" s="627"/>
      <c r="MXM65" s="627"/>
      <c r="MXO65" s="627"/>
      <c r="MXQ65" s="627"/>
      <c r="MXS65" s="627"/>
      <c r="MXU65" s="627"/>
      <c r="MXW65" s="627"/>
      <c r="MXY65" s="627"/>
      <c r="MYA65" s="627"/>
      <c r="MYC65" s="627"/>
      <c r="MYE65" s="627"/>
      <c r="MYG65" s="627"/>
      <c r="MYI65" s="627"/>
      <c r="MYK65" s="627"/>
      <c r="MYM65" s="627"/>
      <c r="MYO65" s="627"/>
      <c r="MYQ65" s="627"/>
      <c r="MYS65" s="627"/>
      <c r="MYU65" s="627"/>
      <c r="MYW65" s="627"/>
      <c r="MYY65" s="627"/>
      <c r="MZA65" s="627"/>
      <c r="MZC65" s="627"/>
      <c r="MZE65" s="627"/>
      <c r="MZG65" s="627"/>
      <c r="MZI65" s="627"/>
      <c r="MZK65" s="627"/>
      <c r="MZM65" s="627"/>
      <c r="MZO65" s="627"/>
      <c r="MZQ65" s="627"/>
      <c r="MZS65" s="627"/>
      <c r="MZU65" s="627"/>
      <c r="MZW65" s="627"/>
      <c r="MZY65" s="627"/>
      <c r="NAA65" s="627"/>
      <c r="NAC65" s="627"/>
      <c r="NAE65" s="627"/>
      <c r="NAG65" s="627"/>
      <c r="NAI65" s="627"/>
      <c r="NAK65" s="627"/>
      <c r="NAM65" s="627"/>
      <c r="NAO65" s="627"/>
      <c r="NAQ65" s="627"/>
      <c r="NAS65" s="627"/>
      <c r="NAU65" s="627"/>
      <c r="NAW65" s="627"/>
      <c r="NAY65" s="627"/>
      <c r="NBA65" s="627"/>
      <c r="NBC65" s="627"/>
      <c r="NBE65" s="627"/>
      <c r="NBG65" s="627"/>
      <c r="NBI65" s="627"/>
      <c r="NBK65" s="627"/>
      <c r="NBM65" s="627"/>
      <c r="NBO65" s="627"/>
      <c r="NBQ65" s="627"/>
      <c r="NBS65" s="627"/>
      <c r="NBU65" s="627"/>
      <c r="NBW65" s="627"/>
      <c r="NBY65" s="627"/>
      <c r="NCA65" s="627"/>
      <c r="NCC65" s="627"/>
      <c r="NCE65" s="627"/>
      <c r="NCG65" s="627"/>
      <c r="NCI65" s="627"/>
      <c r="NCK65" s="627"/>
      <c r="NCM65" s="627"/>
      <c r="NCO65" s="627"/>
      <c r="NCQ65" s="627"/>
      <c r="NCS65" s="627"/>
      <c r="NCU65" s="627"/>
      <c r="NCW65" s="627"/>
      <c r="NCY65" s="627"/>
      <c r="NDA65" s="627"/>
      <c r="NDC65" s="627"/>
      <c r="NDE65" s="627"/>
      <c r="NDG65" s="627"/>
      <c r="NDI65" s="627"/>
      <c r="NDK65" s="627"/>
      <c r="NDM65" s="627"/>
      <c r="NDO65" s="627"/>
      <c r="NDQ65" s="627"/>
      <c r="NDS65" s="627"/>
      <c r="NDU65" s="627"/>
      <c r="NDW65" s="627"/>
      <c r="NDY65" s="627"/>
      <c r="NEA65" s="627"/>
      <c r="NEC65" s="627"/>
      <c r="NEE65" s="627"/>
      <c r="NEG65" s="627"/>
      <c r="NEI65" s="627"/>
      <c r="NEK65" s="627"/>
      <c r="NEM65" s="627"/>
      <c r="NEO65" s="627"/>
      <c r="NEQ65" s="627"/>
      <c r="NES65" s="627"/>
      <c r="NEU65" s="627"/>
      <c r="NEW65" s="627"/>
      <c r="NEY65" s="627"/>
      <c r="NFA65" s="627"/>
      <c r="NFC65" s="627"/>
      <c r="NFE65" s="627"/>
      <c r="NFG65" s="627"/>
      <c r="NFI65" s="627"/>
      <c r="NFK65" s="627"/>
      <c r="NFM65" s="627"/>
      <c r="NFO65" s="627"/>
      <c r="NFQ65" s="627"/>
      <c r="NFS65" s="627"/>
      <c r="NFU65" s="627"/>
      <c r="NFW65" s="627"/>
      <c r="NFY65" s="627"/>
      <c r="NGA65" s="627"/>
      <c r="NGC65" s="627"/>
      <c r="NGE65" s="627"/>
      <c r="NGG65" s="627"/>
      <c r="NGI65" s="627"/>
      <c r="NGK65" s="627"/>
      <c r="NGM65" s="627"/>
      <c r="NGO65" s="627"/>
      <c r="NGQ65" s="627"/>
      <c r="NGS65" s="627"/>
      <c r="NGU65" s="627"/>
      <c r="NGW65" s="627"/>
      <c r="NGY65" s="627"/>
      <c r="NHA65" s="627"/>
      <c r="NHC65" s="627"/>
      <c r="NHE65" s="627"/>
      <c r="NHG65" s="627"/>
      <c r="NHI65" s="627"/>
      <c r="NHK65" s="627"/>
      <c r="NHM65" s="627"/>
      <c r="NHO65" s="627"/>
      <c r="NHQ65" s="627"/>
      <c r="NHS65" s="627"/>
      <c r="NHU65" s="627"/>
      <c r="NHW65" s="627"/>
      <c r="NHY65" s="627"/>
      <c r="NIA65" s="627"/>
      <c r="NIC65" s="627"/>
      <c r="NIE65" s="627"/>
      <c r="NIG65" s="627"/>
      <c r="NII65" s="627"/>
      <c r="NIK65" s="627"/>
      <c r="NIM65" s="627"/>
      <c r="NIO65" s="627"/>
      <c r="NIQ65" s="627"/>
      <c r="NIS65" s="627"/>
      <c r="NIU65" s="627"/>
      <c r="NIW65" s="627"/>
      <c r="NIY65" s="627"/>
      <c r="NJA65" s="627"/>
      <c r="NJC65" s="627"/>
      <c r="NJE65" s="627"/>
      <c r="NJG65" s="627"/>
      <c r="NJI65" s="627"/>
      <c r="NJK65" s="627"/>
      <c r="NJM65" s="627"/>
      <c r="NJO65" s="627"/>
      <c r="NJQ65" s="627"/>
      <c r="NJS65" s="627"/>
      <c r="NJU65" s="627"/>
      <c r="NJW65" s="627"/>
      <c r="NJY65" s="627"/>
      <c r="NKA65" s="627"/>
      <c r="NKC65" s="627"/>
      <c r="NKE65" s="627"/>
      <c r="NKG65" s="627"/>
      <c r="NKI65" s="627"/>
      <c r="NKK65" s="627"/>
      <c r="NKM65" s="627"/>
      <c r="NKO65" s="627"/>
      <c r="NKQ65" s="627"/>
      <c r="NKS65" s="627"/>
      <c r="NKU65" s="627"/>
      <c r="NKW65" s="627"/>
      <c r="NKY65" s="627"/>
      <c r="NLA65" s="627"/>
      <c r="NLC65" s="627"/>
      <c r="NLE65" s="627"/>
      <c r="NLG65" s="627"/>
      <c r="NLI65" s="627"/>
      <c r="NLK65" s="627"/>
      <c r="NLM65" s="627"/>
      <c r="NLO65" s="627"/>
      <c r="NLQ65" s="627"/>
      <c r="NLS65" s="627"/>
      <c r="NLU65" s="627"/>
      <c r="NLW65" s="627"/>
      <c r="NLY65" s="627"/>
      <c r="NMA65" s="627"/>
      <c r="NMC65" s="627"/>
      <c r="NME65" s="627"/>
      <c r="NMG65" s="627"/>
      <c r="NMI65" s="627"/>
      <c r="NMK65" s="627"/>
      <c r="NMM65" s="627"/>
      <c r="NMO65" s="627"/>
      <c r="NMQ65" s="627"/>
      <c r="NMS65" s="627"/>
      <c r="NMU65" s="627"/>
      <c r="NMW65" s="627"/>
      <c r="NMY65" s="627"/>
      <c r="NNA65" s="627"/>
      <c r="NNC65" s="627"/>
      <c r="NNE65" s="627"/>
      <c r="NNG65" s="627"/>
      <c r="NNI65" s="627"/>
      <c r="NNK65" s="627"/>
      <c r="NNM65" s="627"/>
      <c r="NNO65" s="627"/>
      <c r="NNQ65" s="627"/>
      <c r="NNS65" s="627"/>
      <c r="NNU65" s="627"/>
      <c r="NNW65" s="627"/>
      <c r="NNY65" s="627"/>
      <c r="NOA65" s="627"/>
      <c r="NOC65" s="627"/>
      <c r="NOE65" s="627"/>
      <c r="NOG65" s="627"/>
      <c r="NOI65" s="627"/>
      <c r="NOK65" s="627"/>
      <c r="NOM65" s="627"/>
      <c r="NOO65" s="627"/>
      <c r="NOQ65" s="627"/>
      <c r="NOS65" s="627"/>
      <c r="NOU65" s="627"/>
      <c r="NOW65" s="627"/>
      <c r="NOY65" s="627"/>
      <c r="NPA65" s="627"/>
      <c r="NPC65" s="627"/>
      <c r="NPE65" s="627"/>
      <c r="NPG65" s="627"/>
      <c r="NPI65" s="627"/>
      <c r="NPK65" s="627"/>
      <c r="NPM65" s="627"/>
      <c r="NPO65" s="627"/>
      <c r="NPQ65" s="627"/>
      <c r="NPS65" s="627"/>
      <c r="NPU65" s="627"/>
      <c r="NPW65" s="627"/>
      <c r="NPY65" s="627"/>
      <c r="NQA65" s="627"/>
      <c r="NQC65" s="627"/>
      <c r="NQE65" s="627"/>
      <c r="NQG65" s="627"/>
      <c r="NQI65" s="627"/>
      <c r="NQK65" s="627"/>
      <c r="NQM65" s="627"/>
      <c r="NQO65" s="627"/>
      <c r="NQQ65" s="627"/>
      <c r="NQS65" s="627"/>
      <c r="NQU65" s="627"/>
      <c r="NQW65" s="627"/>
      <c r="NQY65" s="627"/>
      <c r="NRA65" s="627"/>
      <c r="NRC65" s="627"/>
      <c r="NRE65" s="627"/>
      <c r="NRG65" s="627"/>
      <c r="NRI65" s="627"/>
      <c r="NRK65" s="627"/>
      <c r="NRM65" s="627"/>
      <c r="NRO65" s="627"/>
      <c r="NRQ65" s="627"/>
      <c r="NRS65" s="627"/>
      <c r="NRU65" s="627"/>
      <c r="NRW65" s="627"/>
      <c r="NRY65" s="627"/>
      <c r="NSA65" s="627"/>
      <c r="NSC65" s="627"/>
      <c r="NSE65" s="627"/>
      <c r="NSG65" s="627"/>
      <c r="NSI65" s="627"/>
      <c r="NSK65" s="627"/>
      <c r="NSM65" s="627"/>
      <c r="NSO65" s="627"/>
      <c r="NSQ65" s="627"/>
      <c r="NSS65" s="627"/>
      <c r="NSU65" s="627"/>
      <c r="NSW65" s="627"/>
      <c r="NSY65" s="627"/>
      <c r="NTA65" s="627"/>
      <c r="NTC65" s="627"/>
      <c r="NTE65" s="627"/>
      <c r="NTG65" s="627"/>
      <c r="NTI65" s="627"/>
      <c r="NTK65" s="627"/>
      <c r="NTM65" s="627"/>
      <c r="NTO65" s="627"/>
      <c r="NTQ65" s="627"/>
      <c r="NTS65" s="627"/>
      <c r="NTU65" s="627"/>
      <c r="NTW65" s="627"/>
      <c r="NTY65" s="627"/>
      <c r="NUA65" s="627"/>
      <c r="NUC65" s="627"/>
      <c r="NUE65" s="627"/>
      <c r="NUG65" s="627"/>
      <c r="NUI65" s="627"/>
      <c r="NUK65" s="627"/>
      <c r="NUM65" s="627"/>
      <c r="NUO65" s="627"/>
      <c r="NUQ65" s="627"/>
      <c r="NUS65" s="627"/>
      <c r="NUU65" s="627"/>
      <c r="NUW65" s="627"/>
      <c r="NUY65" s="627"/>
      <c r="NVA65" s="627"/>
      <c r="NVC65" s="627"/>
      <c r="NVE65" s="627"/>
      <c r="NVG65" s="627"/>
      <c r="NVI65" s="627"/>
      <c r="NVK65" s="627"/>
      <c r="NVM65" s="627"/>
      <c r="NVO65" s="627"/>
      <c r="NVQ65" s="627"/>
      <c r="NVS65" s="627"/>
      <c r="NVU65" s="627"/>
      <c r="NVW65" s="627"/>
      <c r="NVY65" s="627"/>
      <c r="NWA65" s="627"/>
      <c r="NWC65" s="627"/>
      <c r="NWE65" s="627"/>
      <c r="NWG65" s="627"/>
      <c r="NWI65" s="627"/>
      <c r="NWK65" s="627"/>
      <c r="NWM65" s="627"/>
      <c r="NWO65" s="627"/>
      <c r="NWQ65" s="627"/>
      <c r="NWS65" s="627"/>
      <c r="NWU65" s="627"/>
      <c r="NWW65" s="627"/>
      <c r="NWY65" s="627"/>
      <c r="NXA65" s="627"/>
      <c r="NXC65" s="627"/>
      <c r="NXE65" s="627"/>
      <c r="NXG65" s="627"/>
      <c r="NXI65" s="627"/>
      <c r="NXK65" s="627"/>
      <c r="NXM65" s="627"/>
      <c r="NXO65" s="627"/>
      <c r="NXQ65" s="627"/>
      <c r="NXS65" s="627"/>
      <c r="NXU65" s="627"/>
      <c r="NXW65" s="627"/>
      <c r="NXY65" s="627"/>
      <c r="NYA65" s="627"/>
      <c r="NYC65" s="627"/>
      <c r="NYE65" s="627"/>
      <c r="NYG65" s="627"/>
      <c r="NYI65" s="627"/>
      <c r="NYK65" s="627"/>
      <c r="NYM65" s="627"/>
      <c r="NYO65" s="627"/>
      <c r="NYQ65" s="627"/>
      <c r="NYS65" s="627"/>
      <c r="NYU65" s="627"/>
      <c r="NYW65" s="627"/>
      <c r="NYY65" s="627"/>
      <c r="NZA65" s="627"/>
      <c r="NZC65" s="627"/>
      <c r="NZE65" s="627"/>
      <c r="NZG65" s="627"/>
      <c r="NZI65" s="627"/>
      <c r="NZK65" s="627"/>
      <c r="NZM65" s="627"/>
      <c r="NZO65" s="627"/>
      <c r="NZQ65" s="627"/>
      <c r="NZS65" s="627"/>
      <c r="NZU65" s="627"/>
      <c r="NZW65" s="627"/>
      <c r="NZY65" s="627"/>
      <c r="OAA65" s="627"/>
      <c r="OAC65" s="627"/>
      <c r="OAE65" s="627"/>
      <c r="OAG65" s="627"/>
      <c r="OAI65" s="627"/>
      <c r="OAK65" s="627"/>
      <c r="OAM65" s="627"/>
      <c r="OAO65" s="627"/>
      <c r="OAQ65" s="627"/>
      <c r="OAS65" s="627"/>
      <c r="OAU65" s="627"/>
      <c r="OAW65" s="627"/>
      <c r="OAY65" s="627"/>
      <c r="OBA65" s="627"/>
      <c r="OBC65" s="627"/>
      <c r="OBE65" s="627"/>
      <c r="OBG65" s="627"/>
      <c r="OBI65" s="627"/>
      <c r="OBK65" s="627"/>
      <c r="OBM65" s="627"/>
      <c r="OBO65" s="627"/>
      <c r="OBQ65" s="627"/>
      <c r="OBS65" s="627"/>
      <c r="OBU65" s="627"/>
      <c r="OBW65" s="627"/>
      <c r="OBY65" s="627"/>
      <c r="OCA65" s="627"/>
      <c r="OCC65" s="627"/>
      <c r="OCE65" s="627"/>
      <c r="OCG65" s="627"/>
      <c r="OCI65" s="627"/>
      <c r="OCK65" s="627"/>
      <c r="OCM65" s="627"/>
      <c r="OCO65" s="627"/>
      <c r="OCQ65" s="627"/>
      <c r="OCS65" s="627"/>
      <c r="OCU65" s="627"/>
      <c r="OCW65" s="627"/>
      <c r="OCY65" s="627"/>
      <c r="ODA65" s="627"/>
      <c r="ODC65" s="627"/>
      <c r="ODE65" s="627"/>
      <c r="ODG65" s="627"/>
      <c r="ODI65" s="627"/>
      <c r="ODK65" s="627"/>
      <c r="ODM65" s="627"/>
      <c r="ODO65" s="627"/>
      <c r="ODQ65" s="627"/>
      <c r="ODS65" s="627"/>
      <c r="ODU65" s="627"/>
      <c r="ODW65" s="627"/>
      <c r="ODY65" s="627"/>
      <c r="OEA65" s="627"/>
      <c r="OEC65" s="627"/>
      <c r="OEE65" s="627"/>
      <c r="OEG65" s="627"/>
      <c r="OEI65" s="627"/>
      <c r="OEK65" s="627"/>
      <c r="OEM65" s="627"/>
      <c r="OEO65" s="627"/>
      <c r="OEQ65" s="627"/>
      <c r="OES65" s="627"/>
      <c r="OEU65" s="627"/>
      <c r="OEW65" s="627"/>
      <c r="OEY65" s="627"/>
      <c r="OFA65" s="627"/>
      <c r="OFC65" s="627"/>
      <c r="OFE65" s="627"/>
      <c r="OFG65" s="627"/>
      <c r="OFI65" s="627"/>
      <c r="OFK65" s="627"/>
      <c r="OFM65" s="627"/>
      <c r="OFO65" s="627"/>
      <c r="OFQ65" s="627"/>
      <c r="OFS65" s="627"/>
      <c r="OFU65" s="627"/>
      <c r="OFW65" s="627"/>
      <c r="OFY65" s="627"/>
      <c r="OGA65" s="627"/>
      <c r="OGC65" s="627"/>
      <c r="OGE65" s="627"/>
      <c r="OGG65" s="627"/>
      <c r="OGI65" s="627"/>
      <c r="OGK65" s="627"/>
      <c r="OGM65" s="627"/>
      <c r="OGO65" s="627"/>
      <c r="OGQ65" s="627"/>
      <c r="OGS65" s="627"/>
      <c r="OGU65" s="627"/>
      <c r="OGW65" s="627"/>
      <c r="OGY65" s="627"/>
      <c r="OHA65" s="627"/>
      <c r="OHC65" s="627"/>
      <c r="OHE65" s="627"/>
      <c r="OHG65" s="627"/>
      <c r="OHI65" s="627"/>
      <c r="OHK65" s="627"/>
      <c r="OHM65" s="627"/>
      <c r="OHO65" s="627"/>
      <c r="OHQ65" s="627"/>
      <c r="OHS65" s="627"/>
      <c r="OHU65" s="627"/>
      <c r="OHW65" s="627"/>
      <c r="OHY65" s="627"/>
      <c r="OIA65" s="627"/>
      <c r="OIC65" s="627"/>
      <c r="OIE65" s="627"/>
      <c r="OIG65" s="627"/>
      <c r="OII65" s="627"/>
      <c r="OIK65" s="627"/>
      <c r="OIM65" s="627"/>
      <c r="OIO65" s="627"/>
      <c r="OIQ65" s="627"/>
      <c r="OIS65" s="627"/>
      <c r="OIU65" s="627"/>
      <c r="OIW65" s="627"/>
      <c r="OIY65" s="627"/>
      <c r="OJA65" s="627"/>
      <c r="OJC65" s="627"/>
      <c r="OJE65" s="627"/>
      <c r="OJG65" s="627"/>
      <c r="OJI65" s="627"/>
      <c r="OJK65" s="627"/>
      <c r="OJM65" s="627"/>
      <c r="OJO65" s="627"/>
      <c r="OJQ65" s="627"/>
      <c r="OJS65" s="627"/>
      <c r="OJU65" s="627"/>
      <c r="OJW65" s="627"/>
      <c r="OJY65" s="627"/>
      <c r="OKA65" s="627"/>
      <c r="OKC65" s="627"/>
      <c r="OKE65" s="627"/>
      <c r="OKG65" s="627"/>
      <c r="OKI65" s="627"/>
      <c r="OKK65" s="627"/>
      <c r="OKM65" s="627"/>
      <c r="OKO65" s="627"/>
      <c r="OKQ65" s="627"/>
      <c r="OKS65" s="627"/>
      <c r="OKU65" s="627"/>
      <c r="OKW65" s="627"/>
      <c r="OKY65" s="627"/>
      <c r="OLA65" s="627"/>
      <c r="OLC65" s="627"/>
      <c r="OLE65" s="627"/>
      <c r="OLG65" s="627"/>
      <c r="OLI65" s="627"/>
      <c r="OLK65" s="627"/>
      <c r="OLM65" s="627"/>
      <c r="OLO65" s="627"/>
      <c r="OLQ65" s="627"/>
      <c r="OLS65" s="627"/>
      <c r="OLU65" s="627"/>
      <c r="OLW65" s="627"/>
      <c r="OLY65" s="627"/>
      <c r="OMA65" s="627"/>
      <c r="OMC65" s="627"/>
      <c r="OME65" s="627"/>
      <c r="OMG65" s="627"/>
      <c r="OMI65" s="627"/>
      <c r="OMK65" s="627"/>
      <c r="OMM65" s="627"/>
      <c r="OMO65" s="627"/>
      <c r="OMQ65" s="627"/>
      <c r="OMS65" s="627"/>
      <c r="OMU65" s="627"/>
      <c r="OMW65" s="627"/>
      <c r="OMY65" s="627"/>
      <c r="ONA65" s="627"/>
      <c r="ONC65" s="627"/>
      <c r="ONE65" s="627"/>
      <c r="ONG65" s="627"/>
      <c r="ONI65" s="627"/>
      <c r="ONK65" s="627"/>
      <c r="ONM65" s="627"/>
      <c r="ONO65" s="627"/>
      <c r="ONQ65" s="627"/>
      <c r="ONS65" s="627"/>
      <c r="ONU65" s="627"/>
      <c r="ONW65" s="627"/>
      <c r="ONY65" s="627"/>
      <c r="OOA65" s="627"/>
      <c r="OOC65" s="627"/>
      <c r="OOE65" s="627"/>
      <c r="OOG65" s="627"/>
      <c r="OOI65" s="627"/>
      <c r="OOK65" s="627"/>
      <c r="OOM65" s="627"/>
      <c r="OOO65" s="627"/>
      <c r="OOQ65" s="627"/>
      <c r="OOS65" s="627"/>
      <c r="OOU65" s="627"/>
      <c r="OOW65" s="627"/>
      <c r="OOY65" s="627"/>
      <c r="OPA65" s="627"/>
      <c r="OPC65" s="627"/>
      <c r="OPE65" s="627"/>
      <c r="OPG65" s="627"/>
      <c r="OPI65" s="627"/>
      <c r="OPK65" s="627"/>
      <c r="OPM65" s="627"/>
      <c r="OPO65" s="627"/>
      <c r="OPQ65" s="627"/>
      <c r="OPS65" s="627"/>
      <c r="OPU65" s="627"/>
      <c r="OPW65" s="627"/>
      <c r="OPY65" s="627"/>
      <c r="OQA65" s="627"/>
      <c r="OQC65" s="627"/>
      <c r="OQE65" s="627"/>
      <c r="OQG65" s="627"/>
      <c r="OQI65" s="627"/>
      <c r="OQK65" s="627"/>
      <c r="OQM65" s="627"/>
      <c r="OQO65" s="627"/>
      <c r="OQQ65" s="627"/>
      <c r="OQS65" s="627"/>
      <c r="OQU65" s="627"/>
      <c r="OQW65" s="627"/>
      <c r="OQY65" s="627"/>
      <c r="ORA65" s="627"/>
      <c r="ORC65" s="627"/>
      <c r="ORE65" s="627"/>
      <c r="ORG65" s="627"/>
      <c r="ORI65" s="627"/>
      <c r="ORK65" s="627"/>
      <c r="ORM65" s="627"/>
      <c r="ORO65" s="627"/>
      <c r="ORQ65" s="627"/>
      <c r="ORS65" s="627"/>
      <c r="ORU65" s="627"/>
      <c r="ORW65" s="627"/>
      <c r="ORY65" s="627"/>
      <c r="OSA65" s="627"/>
      <c r="OSC65" s="627"/>
      <c r="OSE65" s="627"/>
      <c r="OSG65" s="627"/>
      <c r="OSI65" s="627"/>
      <c r="OSK65" s="627"/>
      <c r="OSM65" s="627"/>
      <c r="OSO65" s="627"/>
      <c r="OSQ65" s="627"/>
      <c r="OSS65" s="627"/>
      <c r="OSU65" s="627"/>
      <c r="OSW65" s="627"/>
      <c r="OSY65" s="627"/>
      <c r="OTA65" s="627"/>
      <c r="OTC65" s="627"/>
      <c r="OTE65" s="627"/>
      <c r="OTG65" s="627"/>
      <c r="OTI65" s="627"/>
      <c r="OTK65" s="627"/>
      <c r="OTM65" s="627"/>
      <c r="OTO65" s="627"/>
      <c r="OTQ65" s="627"/>
      <c r="OTS65" s="627"/>
      <c r="OTU65" s="627"/>
      <c r="OTW65" s="627"/>
      <c r="OTY65" s="627"/>
      <c r="OUA65" s="627"/>
      <c r="OUC65" s="627"/>
      <c r="OUE65" s="627"/>
      <c r="OUG65" s="627"/>
      <c r="OUI65" s="627"/>
      <c r="OUK65" s="627"/>
      <c r="OUM65" s="627"/>
      <c r="OUO65" s="627"/>
      <c r="OUQ65" s="627"/>
      <c r="OUS65" s="627"/>
      <c r="OUU65" s="627"/>
      <c r="OUW65" s="627"/>
      <c r="OUY65" s="627"/>
      <c r="OVA65" s="627"/>
      <c r="OVC65" s="627"/>
      <c r="OVE65" s="627"/>
      <c r="OVG65" s="627"/>
      <c r="OVI65" s="627"/>
      <c r="OVK65" s="627"/>
      <c r="OVM65" s="627"/>
      <c r="OVO65" s="627"/>
      <c r="OVQ65" s="627"/>
      <c r="OVS65" s="627"/>
      <c r="OVU65" s="627"/>
      <c r="OVW65" s="627"/>
      <c r="OVY65" s="627"/>
      <c r="OWA65" s="627"/>
      <c r="OWC65" s="627"/>
      <c r="OWE65" s="627"/>
      <c r="OWG65" s="627"/>
      <c r="OWI65" s="627"/>
      <c r="OWK65" s="627"/>
      <c r="OWM65" s="627"/>
      <c r="OWO65" s="627"/>
      <c r="OWQ65" s="627"/>
      <c r="OWS65" s="627"/>
      <c r="OWU65" s="627"/>
      <c r="OWW65" s="627"/>
      <c r="OWY65" s="627"/>
      <c r="OXA65" s="627"/>
      <c r="OXC65" s="627"/>
      <c r="OXE65" s="627"/>
      <c r="OXG65" s="627"/>
      <c r="OXI65" s="627"/>
      <c r="OXK65" s="627"/>
      <c r="OXM65" s="627"/>
      <c r="OXO65" s="627"/>
      <c r="OXQ65" s="627"/>
      <c r="OXS65" s="627"/>
      <c r="OXU65" s="627"/>
      <c r="OXW65" s="627"/>
      <c r="OXY65" s="627"/>
      <c r="OYA65" s="627"/>
      <c r="OYC65" s="627"/>
      <c r="OYE65" s="627"/>
      <c r="OYG65" s="627"/>
      <c r="OYI65" s="627"/>
      <c r="OYK65" s="627"/>
      <c r="OYM65" s="627"/>
      <c r="OYO65" s="627"/>
      <c r="OYQ65" s="627"/>
      <c r="OYS65" s="627"/>
      <c r="OYU65" s="627"/>
      <c r="OYW65" s="627"/>
      <c r="OYY65" s="627"/>
      <c r="OZA65" s="627"/>
      <c r="OZC65" s="627"/>
      <c r="OZE65" s="627"/>
      <c r="OZG65" s="627"/>
      <c r="OZI65" s="627"/>
      <c r="OZK65" s="627"/>
      <c r="OZM65" s="627"/>
      <c r="OZO65" s="627"/>
      <c r="OZQ65" s="627"/>
      <c r="OZS65" s="627"/>
      <c r="OZU65" s="627"/>
      <c r="OZW65" s="627"/>
      <c r="OZY65" s="627"/>
      <c r="PAA65" s="627"/>
      <c r="PAC65" s="627"/>
      <c r="PAE65" s="627"/>
      <c r="PAG65" s="627"/>
      <c r="PAI65" s="627"/>
      <c r="PAK65" s="627"/>
      <c r="PAM65" s="627"/>
      <c r="PAO65" s="627"/>
      <c r="PAQ65" s="627"/>
      <c r="PAS65" s="627"/>
      <c r="PAU65" s="627"/>
      <c r="PAW65" s="627"/>
      <c r="PAY65" s="627"/>
      <c r="PBA65" s="627"/>
      <c r="PBC65" s="627"/>
      <c r="PBE65" s="627"/>
      <c r="PBG65" s="627"/>
      <c r="PBI65" s="627"/>
      <c r="PBK65" s="627"/>
      <c r="PBM65" s="627"/>
      <c r="PBO65" s="627"/>
      <c r="PBQ65" s="627"/>
      <c r="PBS65" s="627"/>
      <c r="PBU65" s="627"/>
      <c r="PBW65" s="627"/>
      <c r="PBY65" s="627"/>
      <c r="PCA65" s="627"/>
      <c r="PCC65" s="627"/>
      <c r="PCE65" s="627"/>
      <c r="PCG65" s="627"/>
      <c r="PCI65" s="627"/>
      <c r="PCK65" s="627"/>
      <c r="PCM65" s="627"/>
      <c r="PCO65" s="627"/>
      <c r="PCQ65" s="627"/>
      <c r="PCS65" s="627"/>
      <c r="PCU65" s="627"/>
      <c r="PCW65" s="627"/>
      <c r="PCY65" s="627"/>
      <c r="PDA65" s="627"/>
      <c r="PDC65" s="627"/>
      <c r="PDE65" s="627"/>
      <c r="PDG65" s="627"/>
      <c r="PDI65" s="627"/>
      <c r="PDK65" s="627"/>
      <c r="PDM65" s="627"/>
      <c r="PDO65" s="627"/>
      <c r="PDQ65" s="627"/>
      <c r="PDS65" s="627"/>
      <c r="PDU65" s="627"/>
      <c r="PDW65" s="627"/>
      <c r="PDY65" s="627"/>
      <c r="PEA65" s="627"/>
      <c r="PEC65" s="627"/>
      <c r="PEE65" s="627"/>
      <c r="PEG65" s="627"/>
      <c r="PEI65" s="627"/>
      <c r="PEK65" s="627"/>
      <c r="PEM65" s="627"/>
      <c r="PEO65" s="627"/>
      <c r="PEQ65" s="627"/>
      <c r="PES65" s="627"/>
      <c r="PEU65" s="627"/>
      <c r="PEW65" s="627"/>
      <c r="PEY65" s="627"/>
      <c r="PFA65" s="627"/>
      <c r="PFC65" s="627"/>
      <c r="PFE65" s="627"/>
      <c r="PFG65" s="627"/>
      <c r="PFI65" s="627"/>
      <c r="PFK65" s="627"/>
      <c r="PFM65" s="627"/>
      <c r="PFO65" s="627"/>
      <c r="PFQ65" s="627"/>
      <c r="PFS65" s="627"/>
      <c r="PFU65" s="627"/>
      <c r="PFW65" s="627"/>
      <c r="PFY65" s="627"/>
      <c r="PGA65" s="627"/>
      <c r="PGC65" s="627"/>
      <c r="PGE65" s="627"/>
      <c r="PGG65" s="627"/>
      <c r="PGI65" s="627"/>
      <c r="PGK65" s="627"/>
      <c r="PGM65" s="627"/>
      <c r="PGO65" s="627"/>
      <c r="PGQ65" s="627"/>
      <c r="PGS65" s="627"/>
      <c r="PGU65" s="627"/>
      <c r="PGW65" s="627"/>
      <c r="PGY65" s="627"/>
      <c r="PHA65" s="627"/>
      <c r="PHC65" s="627"/>
      <c r="PHE65" s="627"/>
      <c r="PHG65" s="627"/>
      <c r="PHI65" s="627"/>
      <c r="PHK65" s="627"/>
      <c r="PHM65" s="627"/>
      <c r="PHO65" s="627"/>
      <c r="PHQ65" s="627"/>
      <c r="PHS65" s="627"/>
      <c r="PHU65" s="627"/>
      <c r="PHW65" s="627"/>
      <c r="PHY65" s="627"/>
      <c r="PIA65" s="627"/>
      <c r="PIC65" s="627"/>
      <c r="PIE65" s="627"/>
      <c r="PIG65" s="627"/>
      <c r="PII65" s="627"/>
      <c r="PIK65" s="627"/>
      <c r="PIM65" s="627"/>
      <c r="PIO65" s="627"/>
      <c r="PIQ65" s="627"/>
      <c r="PIS65" s="627"/>
      <c r="PIU65" s="627"/>
      <c r="PIW65" s="627"/>
      <c r="PIY65" s="627"/>
      <c r="PJA65" s="627"/>
      <c r="PJC65" s="627"/>
      <c r="PJE65" s="627"/>
      <c r="PJG65" s="627"/>
      <c r="PJI65" s="627"/>
      <c r="PJK65" s="627"/>
      <c r="PJM65" s="627"/>
      <c r="PJO65" s="627"/>
      <c r="PJQ65" s="627"/>
      <c r="PJS65" s="627"/>
      <c r="PJU65" s="627"/>
      <c r="PJW65" s="627"/>
      <c r="PJY65" s="627"/>
      <c r="PKA65" s="627"/>
      <c r="PKC65" s="627"/>
      <c r="PKE65" s="627"/>
      <c r="PKG65" s="627"/>
      <c r="PKI65" s="627"/>
      <c r="PKK65" s="627"/>
      <c r="PKM65" s="627"/>
      <c r="PKO65" s="627"/>
      <c r="PKQ65" s="627"/>
      <c r="PKS65" s="627"/>
      <c r="PKU65" s="627"/>
      <c r="PKW65" s="627"/>
      <c r="PKY65" s="627"/>
      <c r="PLA65" s="627"/>
      <c r="PLC65" s="627"/>
      <c r="PLE65" s="627"/>
      <c r="PLG65" s="627"/>
      <c r="PLI65" s="627"/>
      <c r="PLK65" s="627"/>
      <c r="PLM65" s="627"/>
      <c r="PLO65" s="627"/>
      <c r="PLQ65" s="627"/>
      <c r="PLS65" s="627"/>
      <c r="PLU65" s="627"/>
      <c r="PLW65" s="627"/>
      <c r="PLY65" s="627"/>
      <c r="PMA65" s="627"/>
      <c r="PMC65" s="627"/>
      <c r="PME65" s="627"/>
      <c r="PMG65" s="627"/>
      <c r="PMI65" s="627"/>
      <c r="PMK65" s="627"/>
      <c r="PMM65" s="627"/>
      <c r="PMO65" s="627"/>
      <c r="PMQ65" s="627"/>
      <c r="PMS65" s="627"/>
      <c r="PMU65" s="627"/>
      <c r="PMW65" s="627"/>
      <c r="PMY65" s="627"/>
      <c r="PNA65" s="627"/>
      <c r="PNC65" s="627"/>
      <c r="PNE65" s="627"/>
      <c r="PNG65" s="627"/>
      <c r="PNI65" s="627"/>
      <c r="PNK65" s="627"/>
      <c r="PNM65" s="627"/>
      <c r="PNO65" s="627"/>
      <c r="PNQ65" s="627"/>
      <c r="PNS65" s="627"/>
      <c r="PNU65" s="627"/>
      <c r="PNW65" s="627"/>
      <c r="PNY65" s="627"/>
      <c r="POA65" s="627"/>
      <c r="POC65" s="627"/>
      <c r="POE65" s="627"/>
      <c r="POG65" s="627"/>
      <c r="POI65" s="627"/>
      <c r="POK65" s="627"/>
      <c r="POM65" s="627"/>
      <c r="POO65" s="627"/>
      <c r="POQ65" s="627"/>
      <c r="POS65" s="627"/>
      <c r="POU65" s="627"/>
      <c r="POW65" s="627"/>
      <c r="POY65" s="627"/>
      <c r="PPA65" s="627"/>
      <c r="PPC65" s="627"/>
      <c r="PPE65" s="627"/>
      <c r="PPG65" s="627"/>
      <c r="PPI65" s="627"/>
      <c r="PPK65" s="627"/>
      <c r="PPM65" s="627"/>
      <c r="PPO65" s="627"/>
      <c r="PPQ65" s="627"/>
      <c r="PPS65" s="627"/>
      <c r="PPU65" s="627"/>
      <c r="PPW65" s="627"/>
      <c r="PPY65" s="627"/>
      <c r="PQA65" s="627"/>
      <c r="PQC65" s="627"/>
      <c r="PQE65" s="627"/>
      <c r="PQG65" s="627"/>
      <c r="PQI65" s="627"/>
      <c r="PQK65" s="627"/>
      <c r="PQM65" s="627"/>
      <c r="PQO65" s="627"/>
      <c r="PQQ65" s="627"/>
      <c r="PQS65" s="627"/>
      <c r="PQU65" s="627"/>
      <c r="PQW65" s="627"/>
      <c r="PQY65" s="627"/>
      <c r="PRA65" s="627"/>
      <c r="PRC65" s="627"/>
      <c r="PRE65" s="627"/>
      <c r="PRG65" s="627"/>
      <c r="PRI65" s="627"/>
      <c r="PRK65" s="627"/>
      <c r="PRM65" s="627"/>
      <c r="PRO65" s="627"/>
      <c r="PRQ65" s="627"/>
      <c r="PRS65" s="627"/>
      <c r="PRU65" s="627"/>
      <c r="PRW65" s="627"/>
      <c r="PRY65" s="627"/>
      <c r="PSA65" s="627"/>
      <c r="PSC65" s="627"/>
      <c r="PSE65" s="627"/>
      <c r="PSG65" s="627"/>
      <c r="PSI65" s="627"/>
      <c r="PSK65" s="627"/>
      <c r="PSM65" s="627"/>
      <c r="PSO65" s="627"/>
      <c r="PSQ65" s="627"/>
      <c r="PSS65" s="627"/>
      <c r="PSU65" s="627"/>
      <c r="PSW65" s="627"/>
      <c r="PSY65" s="627"/>
      <c r="PTA65" s="627"/>
      <c r="PTC65" s="627"/>
      <c r="PTE65" s="627"/>
      <c r="PTG65" s="627"/>
      <c r="PTI65" s="627"/>
      <c r="PTK65" s="627"/>
      <c r="PTM65" s="627"/>
      <c r="PTO65" s="627"/>
      <c r="PTQ65" s="627"/>
      <c r="PTS65" s="627"/>
      <c r="PTU65" s="627"/>
      <c r="PTW65" s="627"/>
      <c r="PTY65" s="627"/>
      <c r="PUA65" s="627"/>
      <c r="PUC65" s="627"/>
      <c r="PUE65" s="627"/>
      <c r="PUG65" s="627"/>
      <c r="PUI65" s="627"/>
      <c r="PUK65" s="627"/>
      <c r="PUM65" s="627"/>
      <c r="PUO65" s="627"/>
      <c r="PUQ65" s="627"/>
      <c r="PUS65" s="627"/>
      <c r="PUU65" s="627"/>
      <c r="PUW65" s="627"/>
      <c r="PUY65" s="627"/>
      <c r="PVA65" s="627"/>
      <c r="PVC65" s="627"/>
      <c r="PVE65" s="627"/>
      <c r="PVG65" s="627"/>
      <c r="PVI65" s="627"/>
      <c r="PVK65" s="627"/>
      <c r="PVM65" s="627"/>
      <c r="PVO65" s="627"/>
      <c r="PVQ65" s="627"/>
      <c r="PVS65" s="627"/>
      <c r="PVU65" s="627"/>
      <c r="PVW65" s="627"/>
      <c r="PVY65" s="627"/>
      <c r="PWA65" s="627"/>
      <c r="PWC65" s="627"/>
      <c r="PWE65" s="627"/>
      <c r="PWG65" s="627"/>
      <c r="PWI65" s="627"/>
      <c r="PWK65" s="627"/>
      <c r="PWM65" s="627"/>
      <c r="PWO65" s="627"/>
      <c r="PWQ65" s="627"/>
      <c r="PWS65" s="627"/>
      <c r="PWU65" s="627"/>
      <c r="PWW65" s="627"/>
      <c r="PWY65" s="627"/>
      <c r="PXA65" s="627"/>
      <c r="PXC65" s="627"/>
      <c r="PXE65" s="627"/>
      <c r="PXG65" s="627"/>
      <c r="PXI65" s="627"/>
      <c r="PXK65" s="627"/>
      <c r="PXM65" s="627"/>
      <c r="PXO65" s="627"/>
      <c r="PXQ65" s="627"/>
      <c r="PXS65" s="627"/>
      <c r="PXU65" s="627"/>
      <c r="PXW65" s="627"/>
      <c r="PXY65" s="627"/>
      <c r="PYA65" s="627"/>
      <c r="PYC65" s="627"/>
      <c r="PYE65" s="627"/>
      <c r="PYG65" s="627"/>
      <c r="PYI65" s="627"/>
      <c r="PYK65" s="627"/>
      <c r="PYM65" s="627"/>
      <c r="PYO65" s="627"/>
      <c r="PYQ65" s="627"/>
      <c r="PYS65" s="627"/>
      <c r="PYU65" s="627"/>
      <c r="PYW65" s="627"/>
      <c r="PYY65" s="627"/>
      <c r="PZA65" s="627"/>
      <c r="PZC65" s="627"/>
      <c r="PZE65" s="627"/>
      <c r="PZG65" s="627"/>
      <c r="PZI65" s="627"/>
      <c r="PZK65" s="627"/>
      <c r="PZM65" s="627"/>
      <c r="PZO65" s="627"/>
      <c r="PZQ65" s="627"/>
      <c r="PZS65" s="627"/>
      <c r="PZU65" s="627"/>
      <c r="PZW65" s="627"/>
      <c r="PZY65" s="627"/>
      <c r="QAA65" s="627"/>
      <c r="QAC65" s="627"/>
      <c r="QAE65" s="627"/>
      <c r="QAG65" s="627"/>
      <c r="QAI65" s="627"/>
      <c r="QAK65" s="627"/>
      <c r="QAM65" s="627"/>
      <c r="QAO65" s="627"/>
      <c r="QAQ65" s="627"/>
      <c r="QAS65" s="627"/>
      <c r="QAU65" s="627"/>
      <c r="QAW65" s="627"/>
      <c r="QAY65" s="627"/>
      <c r="QBA65" s="627"/>
      <c r="QBC65" s="627"/>
      <c r="QBE65" s="627"/>
      <c r="QBG65" s="627"/>
      <c r="QBI65" s="627"/>
      <c r="QBK65" s="627"/>
      <c r="QBM65" s="627"/>
      <c r="QBO65" s="627"/>
      <c r="QBQ65" s="627"/>
      <c r="QBS65" s="627"/>
      <c r="QBU65" s="627"/>
      <c r="QBW65" s="627"/>
      <c r="QBY65" s="627"/>
      <c r="QCA65" s="627"/>
      <c r="QCC65" s="627"/>
      <c r="QCE65" s="627"/>
      <c r="QCG65" s="627"/>
      <c r="QCI65" s="627"/>
      <c r="QCK65" s="627"/>
      <c r="QCM65" s="627"/>
      <c r="QCO65" s="627"/>
      <c r="QCQ65" s="627"/>
      <c r="QCS65" s="627"/>
      <c r="QCU65" s="627"/>
      <c r="QCW65" s="627"/>
      <c r="QCY65" s="627"/>
      <c r="QDA65" s="627"/>
      <c r="QDC65" s="627"/>
      <c r="QDE65" s="627"/>
      <c r="QDG65" s="627"/>
      <c r="QDI65" s="627"/>
      <c r="QDK65" s="627"/>
      <c r="QDM65" s="627"/>
      <c r="QDO65" s="627"/>
      <c r="QDQ65" s="627"/>
      <c r="QDS65" s="627"/>
      <c r="QDU65" s="627"/>
      <c r="QDW65" s="627"/>
      <c r="QDY65" s="627"/>
      <c r="QEA65" s="627"/>
      <c r="QEC65" s="627"/>
      <c r="QEE65" s="627"/>
      <c r="QEG65" s="627"/>
      <c r="QEI65" s="627"/>
      <c r="QEK65" s="627"/>
      <c r="QEM65" s="627"/>
      <c r="QEO65" s="627"/>
      <c r="QEQ65" s="627"/>
      <c r="QES65" s="627"/>
      <c r="QEU65" s="627"/>
      <c r="QEW65" s="627"/>
      <c r="QEY65" s="627"/>
      <c r="QFA65" s="627"/>
      <c r="QFC65" s="627"/>
      <c r="QFE65" s="627"/>
      <c r="QFG65" s="627"/>
      <c r="QFI65" s="627"/>
      <c r="QFK65" s="627"/>
      <c r="QFM65" s="627"/>
      <c r="QFO65" s="627"/>
      <c r="QFQ65" s="627"/>
      <c r="QFS65" s="627"/>
      <c r="QFU65" s="627"/>
      <c r="QFW65" s="627"/>
      <c r="QFY65" s="627"/>
      <c r="QGA65" s="627"/>
      <c r="QGC65" s="627"/>
      <c r="QGE65" s="627"/>
      <c r="QGG65" s="627"/>
      <c r="QGI65" s="627"/>
      <c r="QGK65" s="627"/>
      <c r="QGM65" s="627"/>
      <c r="QGO65" s="627"/>
      <c r="QGQ65" s="627"/>
      <c r="QGS65" s="627"/>
      <c r="QGU65" s="627"/>
      <c r="QGW65" s="627"/>
      <c r="QGY65" s="627"/>
      <c r="QHA65" s="627"/>
      <c r="QHC65" s="627"/>
      <c r="QHE65" s="627"/>
      <c r="QHG65" s="627"/>
      <c r="QHI65" s="627"/>
      <c r="QHK65" s="627"/>
      <c r="QHM65" s="627"/>
      <c r="QHO65" s="627"/>
      <c r="QHQ65" s="627"/>
      <c r="QHS65" s="627"/>
      <c r="QHU65" s="627"/>
      <c r="QHW65" s="627"/>
      <c r="QHY65" s="627"/>
      <c r="QIA65" s="627"/>
      <c r="QIC65" s="627"/>
      <c r="QIE65" s="627"/>
      <c r="QIG65" s="627"/>
      <c r="QII65" s="627"/>
      <c r="QIK65" s="627"/>
      <c r="QIM65" s="627"/>
      <c r="QIO65" s="627"/>
      <c r="QIQ65" s="627"/>
      <c r="QIS65" s="627"/>
      <c r="QIU65" s="627"/>
      <c r="QIW65" s="627"/>
      <c r="QIY65" s="627"/>
      <c r="QJA65" s="627"/>
      <c r="QJC65" s="627"/>
      <c r="QJE65" s="627"/>
      <c r="QJG65" s="627"/>
      <c r="QJI65" s="627"/>
      <c r="QJK65" s="627"/>
      <c r="QJM65" s="627"/>
      <c r="QJO65" s="627"/>
      <c r="QJQ65" s="627"/>
      <c r="QJS65" s="627"/>
      <c r="QJU65" s="627"/>
      <c r="QJW65" s="627"/>
      <c r="QJY65" s="627"/>
      <c r="QKA65" s="627"/>
      <c r="QKC65" s="627"/>
      <c r="QKE65" s="627"/>
      <c r="QKG65" s="627"/>
      <c r="QKI65" s="627"/>
      <c r="QKK65" s="627"/>
      <c r="QKM65" s="627"/>
      <c r="QKO65" s="627"/>
      <c r="QKQ65" s="627"/>
      <c r="QKS65" s="627"/>
      <c r="QKU65" s="627"/>
      <c r="QKW65" s="627"/>
      <c r="QKY65" s="627"/>
      <c r="QLA65" s="627"/>
      <c r="QLC65" s="627"/>
      <c r="QLE65" s="627"/>
      <c r="QLG65" s="627"/>
      <c r="QLI65" s="627"/>
      <c r="QLK65" s="627"/>
      <c r="QLM65" s="627"/>
      <c r="QLO65" s="627"/>
      <c r="QLQ65" s="627"/>
      <c r="QLS65" s="627"/>
      <c r="QLU65" s="627"/>
      <c r="QLW65" s="627"/>
      <c r="QLY65" s="627"/>
      <c r="QMA65" s="627"/>
      <c r="QMC65" s="627"/>
      <c r="QME65" s="627"/>
      <c r="QMG65" s="627"/>
      <c r="QMI65" s="627"/>
      <c r="QMK65" s="627"/>
      <c r="QMM65" s="627"/>
      <c r="QMO65" s="627"/>
      <c r="QMQ65" s="627"/>
      <c r="QMS65" s="627"/>
      <c r="QMU65" s="627"/>
      <c r="QMW65" s="627"/>
      <c r="QMY65" s="627"/>
      <c r="QNA65" s="627"/>
      <c r="QNC65" s="627"/>
      <c r="QNE65" s="627"/>
      <c r="QNG65" s="627"/>
      <c r="QNI65" s="627"/>
      <c r="QNK65" s="627"/>
      <c r="QNM65" s="627"/>
      <c r="QNO65" s="627"/>
      <c r="QNQ65" s="627"/>
      <c r="QNS65" s="627"/>
      <c r="QNU65" s="627"/>
      <c r="QNW65" s="627"/>
      <c r="QNY65" s="627"/>
      <c r="QOA65" s="627"/>
      <c r="QOC65" s="627"/>
      <c r="QOE65" s="627"/>
      <c r="QOG65" s="627"/>
      <c r="QOI65" s="627"/>
      <c r="QOK65" s="627"/>
      <c r="QOM65" s="627"/>
      <c r="QOO65" s="627"/>
      <c r="QOQ65" s="627"/>
      <c r="QOS65" s="627"/>
      <c r="QOU65" s="627"/>
      <c r="QOW65" s="627"/>
      <c r="QOY65" s="627"/>
      <c r="QPA65" s="627"/>
      <c r="QPC65" s="627"/>
      <c r="QPE65" s="627"/>
      <c r="QPG65" s="627"/>
      <c r="QPI65" s="627"/>
      <c r="QPK65" s="627"/>
      <c r="QPM65" s="627"/>
      <c r="QPO65" s="627"/>
      <c r="QPQ65" s="627"/>
      <c r="QPS65" s="627"/>
      <c r="QPU65" s="627"/>
      <c r="QPW65" s="627"/>
      <c r="QPY65" s="627"/>
      <c r="QQA65" s="627"/>
      <c r="QQC65" s="627"/>
      <c r="QQE65" s="627"/>
      <c r="QQG65" s="627"/>
      <c r="QQI65" s="627"/>
      <c r="QQK65" s="627"/>
      <c r="QQM65" s="627"/>
      <c r="QQO65" s="627"/>
      <c r="QQQ65" s="627"/>
      <c r="QQS65" s="627"/>
      <c r="QQU65" s="627"/>
      <c r="QQW65" s="627"/>
      <c r="QQY65" s="627"/>
      <c r="QRA65" s="627"/>
      <c r="QRC65" s="627"/>
      <c r="QRE65" s="627"/>
      <c r="QRG65" s="627"/>
      <c r="QRI65" s="627"/>
      <c r="QRK65" s="627"/>
      <c r="QRM65" s="627"/>
      <c r="QRO65" s="627"/>
      <c r="QRQ65" s="627"/>
      <c r="QRS65" s="627"/>
      <c r="QRU65" s="627"/>
      <c r="QRW65" s="627"/>
      <c r="QRY65" s="627"/>
      <c r="QSA65" s="627"/>
      <c r="QSC65" s="627"/>
      <c r="QSE65" s="627"/>
      <c r="QSG65" s="627"/>
      <c r="QSI65" s="627"/>
      <c r="QSK65" s="627"/>
      <c r="QSM65" s="627"/>
      <c r="QSO65" s="627"/>
      <c r="QSQ65" s="627"/>
      <c r="QSS65" s="627"/>
      <c r="QSU65" s="627"/>
      <c r="QSW65" s="627"/>
      <c r="QSY65" s="627"/>
      <c r="QTA65" s="627"/>
      <c r="QTC65" s="627"/>
      <c r="QTE65" s="627"/>
      <c r="QTG65" s="627"/>
      <c r="QTI65" s="627"/>
      <c r="QTK65" s="627"/>
      <c r="QTM65" s="627"/>
      <c r="QTO65" s="627"/>
      <c r="QTQ65" s="627"/>
      <c r="QTS65" s="627"/>
      <c r="QTU65" s="627"/>
      <c r="QTW65" s="627"/>
      <c r="QTY65" s="627"/>
      <c r="QUA65" s="627"/>
      <c r="QUC65" s="627"/>
      <c r="QUE65" s="627"/>
      <c r="QUG65" s="627"/>
      <c r="QUI65" s="627"/>
      <c r="QUK65" s="627"/>
      <c r="QUM65" s="627"/>
      <c r="QUO65" s="627"/>
      <c r="QUQ65" s="627"/>
      <c r="QUS65" s="627"/>
      <c r="QUU65" s="627"/>
      <c r="QUW65" s="627"/>
      <c r="QUY65" s="627"/>
      <c r="QVA65" s="627"/>
      <c r="QVC65" s="627"/>
      <c r="QVE65" s="627"/>
      <c r="QVG65" s="627"/>
      <c r="QVI65" s="627"/>
      <c r="QVK65" s="627"/>
      <c r="QVM65" s="627"/>
      <c r="QVO65" s="627"/>
      <c r="QVQ65" s="627"/>
      <c r="QVS65" s="627"/>
      <c r="QVU65" s="627"/>
      <c r="QVW65" s="627"/>
      <c r="QVY65" s="627"/>
      <c r="QWA65" s="627"/>
      <c r="QWC65" s="627"/>
      <c r="QWE65" s="627"/>
      <c r="QWG65" s="627"/>
      <c r="QWI65" s="627"/>
      <c r="QWK65" s="627"/>
      <c r="QWM65" s="627"/>
      <c r="QWO65" s="627"/>
      <c r="QWQ65" s="627"/>
      <c r="QWS65" s="627"/>
      <c r="QWU65" s="627"/>
      <c r="QWW65" s="627"/>
      <c r="QWY65" s="627"/>
      <c r="QXA65" s="627"/>
      <c r="QXC65" s="627"/>
      <c r="QXE65" s="627"/>
      <c r="QXG65" s="627"/>
      <c r="QXI65" s="627"/>
      <c r="QXK65" s="627"/>
      <c r="QXM65" s="627"/>
      <c r="QXO65" s="627"/>
      <c r="QXQ65" s="627"/>
      <c r="QXS65" s="627"/>
      <c r="QXU65" s="627"/>
      <c r="QXW65" s="627"/>
      <c r="QXY65" s="627"/>
      <c r="QYA65" s="627"/>
      <c r="QYC65" s="627"/>
      <c r="QYE65" s="627"/>
      <c r="QYG65" s="627"/>
      <c r="QYI65" s="627"/>
      <c r="QYK65" s="627"/>
      <c r="QYM65" s="627"/>
      <c r="QYO65" s="627"/>
      <c r="QYQ65" s="627"/>
      <c r="QYS65" s="627"/>
      <c r="QYU65" s="627"/>
      <c r="QYW65" s="627"/>
      <c r="QYY65" s="627"/>
      <c r="QZA65" s="627"/>
      <c r="QZC65" s="627"/>
      <c r="QZE65" s="627"/>
      <c r="QZG65" s="627"/>
      <c r="QZI65" s="627"/>
      <c r="QZK65" s="627"/>
      <c r="QZM65" s="627"/>
      <c r="QZO65" s="627"/>
      <c r="QZQ65" s="627"/>
      <c r="QZS65" s="627"/>
      <c r="QZU65" s="627"/>
      <c r="QZW65" s="627"/>
      <c r="QZY65" s="627"/>
      <c r="RAA65" s="627"/>
      <c r="RAC65" s="627"/>
      <c r="RAE65" s="627"/>
      <c r="RAG65" s="627"/>
      <c r="RAI65" s="627"/>
      <c r="RAK65" s="627"/>
      <c r="RAM65" s="627"/>
      <c r="RAO65" s="627"/>
      <c r="RAQ65" s="627"/>
      <c r="RAS65" s="627"/>
      <c r="RAU65" s="627"/>
      <c r="RAW65" s="627"/>
      <c r="RAY65" s="627"/>
      <c r="RBA65" s="627"/>
      <c r="RBC65" s="627"/>
      <c r="RBE65" s="627"/>
      <c r="RBG65" s="627"/>
      <c r="RBI65" s="627"/>
      <c r="RBK65" s="627"/>
      <c r="RBM65" s="627"/>
      <c r="RBO65" s="627"/>
      <c r="RBQ65" s="627"/>
      <c r="RBS65" s="627"/>
      <c r="RBU65" s="627"/>
      <c r="RBW65" s="627"/>
      <c r="RBY65" s="627"/>
      <c r="RCA65" s="627"/>
      <c r="RCC65" s="627"/>
      <c r="RCE65" s="627"/>
      <c r="RCG65" s="627"/>
      <c r="RCI65" s="627"/>
      <c r="RCK65" s="627"/>
      <c r="RCM65" s="627"/>
      <c r="RCO65" s="627"/>
      <c r="RCQ65" s="627"/>
      <c r="RCS65" s="627"/>
      <c r="RCU65" s="627"/>
      <c r="RCW65" s="627"/>
      <c r="RCY65" s="627"/>
      <c r="RDA65" s="627"/>
      <c r="RDC65" s="627"/>
      <c r="RDE65" s="627"/>
      <c r="RDG65" s="627"/>
      <c r="RDI65" s="627"/>
      <c r="RDK65" s="627"/>
      <c r="RDM65" s="627"/>
      <c r="RDO65" s="627"/>
      <c r="RDQ65" s="627"/>
      <c r="RDS65" s="627"/>
      <c r="RDU65" s="627"/>
      <c r="RDW65" s="627"/>
      <c r="RDY65" s="627"/>
      <c r="REA65" s="627"/>
      <c r="REC65" s="627"/>
      <c r="REE65" s="627"/>
      <c r="REG65" s="627"/>
      <c r="REI65" s="627"/>
      <c r="REK65" s="627"/>
      <c r="REM65" s="627"/>
      <c r="REO65" s="627"/>
      <c r="REQ65" s="627"/>
      <c r="RES65" s="627"/>
      <c r="REU65" s="627"/>
      <c r="REW65" s="627"/>
      <c r="REY65" s="627"/>
      <c r="RFA65" s="627"/>
      <c r="RFC65" s="627"/>
      <c r="RFE65" s="627"/>
      <c r="RFG65" s="627"/>
      <c r="RFI65" s="627"/>
      <c r="RFK65" s="627"/>
      <c r="RFM65" s="627"/>
      <c r="RFO65" s="627"/>
      <c r="RFQ65" s="627"/>
      <c r="RFS65" s="627"/>
      <c r="RFU65" s="627"/>
      <c r="RFW65" s="627"/>
      <c r="RFY65" s="627"/>
      <c r="RGA65" s="627"/>
      <c r="RGC65" s="627"/>
      <c r="RGE65" s="627"/>
      <c r="RGG65" s="627"/>
      <c r="RGI65" s="627"/>
      <c r="RGK65" s="627"/>
      <c r="RGM65" s="627"/>
      <c r="RGO65" s="627"/>
      <c r="RGQ65" s="627"/>
      <c r="RGS65" s="627"/>
      <c r="RGU65" s="627"/>
      <c r="RGW65" s="627"/>
      <c r="RGY65" s="627"/>
      <c r="RHA65" s="627"/>
      <c r="RHC65" s="627"/>
      <c r="RHE65" s="627"/>
      <c r="RHG65" s="627"/>
      <c r="RHI65" s="627"/>
      <c r="RHK65" s="627"/>
      <c r="RHM65" s="627"/>
      <c r="RHO65" s="627"/>
      <c r="RHQ65" s="627"/>
      <c r="RHS65" s="627"/>
      <c r="RHU65" s="627"/>
      <c r="RHW65" s="627"/>
      <c r="RHY65" s="627"/>
      <c r="RIA65" s="627"/>
      <c r="RIC65" s="627"/>
      <c r="RIE65" s="627"/>
      <c r="RIG65" s="627"/>
      <c r="RII65" s="627"/>
      <c r="RIK65" s="627"/>
      <c r="RIM65" s="627"/>
      <c r="RIO65" s="627"/>
      <c r="RIQ65" s="627"/>
      <c r="RIS65" s="627"/>
      <c r="RIU65" s="627"/>
      <c r="RIW65" s="627"/>
      <c r="RIY65" s="627"/>
      <c r="RJA65" s="627"/>
      <c r="RJC65" s="627"/>
      <c r="RJE65" s="627"/>
      <c r="RJG65" s="627"/>
      <c r="RJI65" s="627"/>
      <c r="RJK65" s="627"/>
      <c r="RJM65" s="627"/>
      <c r="RJO65" s="627"/>
      <c r="RJQ65" s="627"/>
      <c r="RJS65" s="627"/>
      <c r="RJU65" s="627"/>
      <c r="RJW65" s="627"/>
      <c r="RJY65" s="627"/>
      <c r="RKA65" s="627"/>
      <c r="RKC65" s="627"/>
      <c r="RKE65" s="627"/>
      <c r="RKG65" s="627"/>
      <c r="RKI65" s="627"/>
      <c r="RKK65" s="627"/>
      <c r="RKM65" s="627"/>
      <c r="RKO65" s="627"/>
      <c r="RKQ65" s="627"/>
      <c r="RKS65" s="627"/>
      <c r="RKU65" s="627"/>
      <c r="RKW65" s="627"/>
      <c r="RKY65" s="627"/>
      <c r="RLA65" s="627"/>
      <c r="RLC65" s="627"/>
      <c r="RLE65" s="627"/>
      <c r="RLG65" s="627"/>
      <c r="RLI65" s="627"/>
      <c r="RLK65" s="627"/>
      <c r="RLM65" s="627"/>
      <c r="RLO65" s="627"/>
      <c r="RLQ65" s="627"/>
      <c r="RLS65" s="627"/>
      <c r="RLU65" s="627"/>
      <c r="RLW65" s="627"/>
      <c r="RLY65" s="627"/>
      <c r="RMA65" s="627"/>
      <c r="RMC65" s="627"/>
      <c r="RME65" s="627"/>
      <c r="RMG65" s="627"/>
      <c r="RMI65" s="627"/>
      <c r="RMK65" s="627"/>
      <c r="RMM65" s="627"/>
      <c r="RMO65" s="627"/>
      <c r="RMQ65" s="627"/>
      <c r="RMS65" s="627"/>
      <c r="RMU65" s="627"/>
      <c r="RMW65" s="627"/>
      <c r="RMY65" s="627"/>
      <c r="RNA65" s="627"/>
      <c r="RNC65" s="627"/>
      <c r="RNE65" s="627"/>
      <c r="RNG65" s="627"/>
      <c r="RNI65" s="627"/>
      <c r="RNK65" s="627"/>
      <c r="RNM65" s="627"/>
      <c r="RNO65" s="627"/>
      <c r="RNQ65" s="627"/>
      <c r="RNS65" s="627"/>
      <c r="RNU65" s="627"/>
      <c r="RNW65" s="627"/>
      <c r="RNY65" s="627"/>
      <c r="ROA65" s="627"/>
      <c r="ROC65" s="627"/>
      <c r="ROE65" s="627"/>
      <c r="ROG65" s="627"/>
      <c r="ROI65" s="627"/>
      <c r="ROK65" s="627"/>
      <c r="ROM65" s="627"/>
      <c r="ROO65" s="627"/>
      <c r="ROQ65" s="627"/>
      <c r="ROS65" s="627"/>
      <c r="ROU65" s="627"/>
      <c r="ROW65" s="627"/>
      <c r="ROY65" s="627"/>
      <c r="RPA65" s="627"/>
      <c r="RPC65" s="627"/>
      <c r="RPE65" s="627"/>
      <c r="RPG65" s="627"/>
      <c r="RPI65" s="627"/>
      <c r="RPK65" s="627"/>
      <c r="RPM65" s="627"/>
      <c r="RPO65" s="627"/>
      <c r="RPQ65" s="627"/>
      <c r="RPS65" s="627"/>
      <c r="RPU65" s="627"/>
      <c r="RPW65" s="627"/>
      <c r="RPY65" s="627"/>
      <c r="RQA65" s="627"/>
      <c r="RQC65" s="627"/>
      <c r="RQE65" s="627"/>
      <c r="RQG65" s="627"/>
      <c r="RQI65" s="627"/>
      <c r="RQK65" s="627"/>
      <c r="RQM65" s="627"/>
      <c r="RQO65" s="627"/>
      <c r="RQQ65" s="627"/>
      <c r="RQS65" s="627"/>
      <c r="RQU65" s="627"/>
      <c r="RQW65" s="627"/>
      <c r="RQY65" s="627"/>
      <c r="RRA65" s="627"/>
      <c r="RRC65" s="627"/>
      <c r="RRE65" s="627"/>
      <c r="RRG65" s="627"/>
      <c r="RRI65" s="627"/>
      <c r="RRK65" s="627"/>
      <c r="RRM65" s="627"/>
      <c r="RRO65" s="627"/>
      <c r="RRQ65" s="627"/>
      <c r="RRS65" s="627"/>
      <c r="RRU65" s="627"/>
      <c r="RRW65" s="627"/>
      <c r="RRY65" s="627"/>
      <c r="RSA65" s="627"/>
      <c r="RSC65" s="627"/>
      <c r="RSE65" s="627"/>
      <c r="RSG65" s="627"/>
      <c r="RSI65" s="627"/>
      <c r="RSK65" s="627"/>
      <c r="RSM65" s="627"/>
      <c r="RSO65" s="627"/>
      <c r="RSQ65" s="627"/>
      <c r="RSS65" s="627"/>
      <c r="RSU65" s="627"/>
      <c r="RSW65" s="627"/>
      <c r="RSY65" s="627"/>
      <c r="RTA65" s="627"/>
      <c r="RTC65" s="627"/>
      <c r="RTE65" s="627"/>
      <c r="RTG65" s="627"/>
      <c r="RTI65" s="627"/>
      <c r="RTK65" s="627"/>
      <c r="RTM65" s="627"/>
      <c r="RTO65" s="627"/>
      <c r="RTQ65" s="627"/>
      <c r="RTS65" s="627"/>
      <c r="RTU65" s="627"/>
      <c r="RTW65" s="627"/>
      <c r="RTY65" s="627"/>
      <c r="RUA65" s="627"/>
      <c r="RUC65" s="627"/>
      <c r="RUE65" s="627"/>
      <c r="RUG65" s="627"/>
      <c r="RUI65" s="627"/>
      <c r="RUK65" s="627"/>
      <c r="RUM65" s="627"/>
      <c r="RUO65" s="627"/>
      <c r="RUQ65" s="627"/>
      <c r="RUS65" s="627"/>
      <c r="RUU65" s="627"/>
      <c r="RUW65" s="627"/>
      <c r="RUY65" s="627"/>
      <c r="RVA65" s="627"/>
      <c r="RVC65" s="627"/>
      <c r="RVE65" s="627"/>
      <c r="RVG65" s="627"/>
      <c r="RVI65" s="627"/>
      <c r="RVK65" s="627"/>
      <c r="RVM65" s="627"/>
      <c r="RVO65" s="627"/>
      <c r="RVQ65" s="627"/>
      <c r="RVS65" s="627"/>
      <c r="RVU65" s="627"/>
      <c r="RVW65" s="627"/>
      <c r="RVY65" s="627"/>
      <c r="RWA65" s="627"/>
      <c r="RWC65" s="627"/>
      <c r="RWE65" s="627"/>
      <c r="RWG65" s="627"/>
      <c r="RWI65" s="627"/>
      <c r="RWK65" s="627"/>
      <c r="RWM65" s="627"/>
      <c r="RWO65" s="627"/>
      <c r="RWQ65" s="627"/>
      <c r="RWS65" s="627"/>
      <c r="RWU65" s="627"/>
      <c r="RWW65" s="627"/>
      <c r="RWY65" s="627"/>
      <c r="RXA65" s="627"/>
      <c r="RXC65" s="627"/>
      <c r="RXE65" s="627"/>
      <c r="RXG65" s="627"/>
      <c r="RXI65" s="627"/>
      <c r="RXK65" s="627"/>
      <c r="RXM65" s="627"/>
      <c r="RXO65" s="627"/>
      <c r="RXQ65" s="627"/>
      <c r="RXS65" s="627"/>
      <c r="RXU65" s="627"/>
      <c r="RXW65" s="627"/>
      <c r="RXY65" s="627"/>
      <c r="RYA65" s="627"/>
      <c r="RYC65" s="627"/>
      <c r="RYE65" s="627"/>
      <c r="RYG65" s="627"/>
      <c r="RYI65" s="627"/>
      <c r="RYK65" s="627"/>
      <c r="RYM65" s="627"/>
      <c r="RYO65" s="627"/>
      <c r="RYQ65" s="627"/>
      <c r="RYS65" s="627"/>
      <c r="RYU65" s="627"/>
      <c r="RYW65" s="627"/>
      <c r="RYY65" s="627"/>
      <c r="RZA65" s="627"/>
      <c r="RZC65" s="627"/>
      <c r="RZE65" s="627"/>
      <c r="RZG65" s="627"/>
      <c r="RZI65" s="627"/>
      <c r="RZK65" s="627"/>
      <c r="RZM65" s="627"/>
      <c r="RZO65" s="627"/>
      <c r="RZQ65" s="627"/>
      <c r="RZS65" s="627"/>
      <c r="RZU65" s="627"/>
      <c r="RZW65" s="627"/>
      <c r="RZY65" s="627"/>
      <c r="SAA65" s="627"/>
      <c r="SAC65" s="627"/>
      <c r="SAE65" s="627"/>
      <c r="SAG65" s="627"/>
      <c r="SAI65" s="627"/>
      <c r="SAK65" s="627"/>
      <c r="SAM65" s="627"/>
      <c r="SAO65" s="627"/>
      <c r="SAQ65" s="627"/>
      <c r="SAS65" s="627"/>
      <c r="SAU65" s="627"/>
      <c r="SAW65" s="627"/>
      <c r="SAY65" s="627"/>
      <c r="SBA65" s="627"/>
      <c r="SBC65" s="627"/>
      <c r="SBE65" s="627"/>
      <c r="SBG65" s="627"/>
      <c r="SBI65" s="627"/>
      <c r="SBK65" s="627"/>
      <c r="SBM65" s="627"/>
      <c r="SBO65" s="627"/>
      <c r="SBQ65" s="627"/>
      <c r="SBS65" s="627"/>
      <c r="SBU65" s="627"/>
      <c r="SBW65" s="627"/>
      <c r="SBY65" s="627"/>
      <c r="SCA65" s="627"/>
      <c r="SCC65" s="627"/>
      <c r="SCE65" s="627"/>
      <c r="SCG65" s="627"/>
      <c r="SCI65" s="627"/>
      <c r="SCK65" s="627"/>
      <c r="SCM65" s="627"/>
      <c r="SCO65" s="627"/>
      <c r="SCQ65" s="627"/>
      <c r="SCS65" s="627"/>
      <c r="SCU65" s="627"/>
      <c r="SCW65" s="627"/>
      <c r="SCY65" s="627"/>
      <c r="SDA65" s="627"/>
      <c r="SDC65" s="627"/>
      <c r="SDE65" s="627"/>
      <c r="SDG65" s="627"/>
      <c r="SDI65" s="627"/>
      <c r="SDK65" s="627"/>
      <c r="SDM65" s="627"/>
      <c r="SDO65" s="627"/>
      <c r="SDQ65" s="627"/>
      <c r="SDS65" s="627"/>
      <c r="SDU65" s="627"/>
      <c r="SDW65" s="627"/>
      <c r="SDY65" s="627"/>
      <c r="SEA65" s="627"/>
      <c r="SEC65" s="627"/>
      <c r="SEE65" s="627"/>
      <c r="SEG65" s="627"/>
      <c r="SEI65" s="627"/>
      <c r="SEK65" s="627"/>
      <c r="SEM65" s="627"/>
      <c r="SEO65" s="627"/>
      <c r="SEQ65" s="627"/>
      <c r="SES65" s="627"/>
      <c r="SEU65" s="627"/>
      <c r="SEW65" s="627"/>
      <c r="SEY65" s="627"/>
      <c r="SFA65" s="627"/>
      <c r="SFC65" s="627"/>
      <c r="SFE65" s="627"/>
      <c r="SFG65" s="627"/>
      <c r="SFI65" s="627"/>
      <c r="SFK65" s="627"/>
      <c r="SFM65" s="627"/>
      <c r="SFO65" s="627"/>
      <c r="SFQ65" s="627"/>
      <c r="SFS65" s="627"/>
      <c r="SFU65" s="627"/>
      <c r="SFW65" s="627"/>
      <c r="SFY65" s="627"/>
      <c r="SGA65" s="627"/>
      <c r="SGC65" s="627"/>
      <c r="SGE65" s="627"/>
      <c r="SGG65" s="627"/>
      <c r="SGI65" s="627"/>
      <c r="SGK65" s="627"/>
      <c r="SGM65" s="627"/>
      <c r="SGO65" s="627"/>
      <c r="SGQ65" s="627"/>
      <c r="SGS65" s="627"/>
      <c r="SGU65" s="627"/>
      <c r="SGW65" s="627"/>
      <c r="SGY65" s="627"/>
      <c r="SHA65" s="627"/>
      <c r="SHC65" s="627"/>
      <c r="SHE65" s="627"/>
      <c r="SHG65" s="627"/>
      <c r="SHI65" s="627"/>
      <c r="SHK65" s="627"/>
      <c r="SHM65" s="627"/>
      <c r="SHO65" s="627"/>
      <c r="SHQ65" s="627"/>
      <c r="SHS65" s="627"/>
      <c r="SHU65" s="627"/>
      <c r="SHW65" s="627"/>
      <c r="SHY65" s="627"/>
      <c r="SIA65" s="627"/>
      <c r="SIC65" s="627"/>
      <c r="SIE65" s="627"/>
      <c r="SIG65" s="627"/>
      <c r="SII65" s="627"/>
      <c r="SIK65" s="627"/>
      <c r="SIM65" s="627"/>
      <c r="SIO65" s="627"/>
      <c r="SIQ65" s="627"/>
      <c r="SIS65" s="627"/>
      <c r="SIU65" s="627"/>
      <c r="SIW65" s="627"/>
      <c r="SIY65" s="627"/>
      <c r="SJA65" s="627"/>
      <c r="SJC65" s="627"/>
      <c r="SJE65" s="627"/>
      <c r="SJG65" s="627"/>
      <c r="SJI65" s="627"/>
      <c r="SJK65" s="627"/>
      <c r="SJM65" s="627"/>
      <c r="SJO65" s="627"/>
      <c r="SJQ65" s="627"/>
      <c r="SJS65" s="627"/>
      <c r="SJU65" s="627"/>
      <c r="SJW65" s="627"/>
      <c r="SJY65" s="627"/>
      <c r="SKA65" s="627"/>
      <c r="SKC65" s="627"/>
      <c r="SKE65" s="627"/>
      <c r="SKG65" s="627"/>
      <c r="SKI65" s="627"/>
      <c r="SKK65" s="627"/>
      <c r="SKM65" s="627"/>
      <c r="SKO65" s="627"/>
      <c r="SKQ65" s="627"/>
      <c r="SKS65" s="627"/>
      <c r="SKU65" s="627"/>
      <c r="SKW65" s="627"/>
      <c r="SKY65" s="627"/>
      <c r="SLA65" s="627"/>
      <c r="SLC65" s="627"/>
      <c r="SLE65" s="627"/>
      <c r="SLG65" s="627"/>
      <c r="SLI65" s="627"/>
      <c r="SLK65" s="627"/>
      <c r="SLM65" s="627"/>
      <c r="SLO65" s="627"/>
      <c r="SLQ65" s="627"/>
      <c r="SLS65" s="627"/>
      <c r="SLU65" s="627"/>
      <c r="SLW65" s="627"/>
      <c r="SLY65" s="627"/>
      <c r="SMA65" s="627"/>
      <c r="SMC65" s="627"/>
      <c r="SME65" s="627"/>
      <c r="SMG65" s="627"/>
      <c r="SMI65" s="627"/>
      <c r="SMK65" s="627"/>
      <c r="SMM65" s="627"/>
      <c r="SMO65" s="627"/>
      <c r="SMQ65" s="627"/>
      <c r="SMS65" s="627"/>
      <c r="SMU65" s="627"/>
      <c r="SMW65" s="627"/>
      <c r="SMY65" s="627"/>
      <c r="SNA65" s="627"/>
      <c r="SNC65" s="627"/>
      <c r="SNE65" s="627"/>
      <c r="SNG65" s="627"/>
      <c r="SNI65" s="627"/>
      <c r="SNK65" s="627"/>
      <c r="SNM65" s="627"/>
      <c r="SNO65" s="627"/>
      <c r="SNQ65" s="627"/>
      <c r="SNS65" s="627"/>
      <c r="SNU65" s="627"/>
      <c r="SNW65" s="627"/>
      <c r="SNY65" s="627"/>
      <c r="SOA65" s="627"/>
      <c r="SOC65" s="627"/>
      <c r="SOE65" s="627"/>
      <c r="SOG65" s="627"/>
      <c r="SOI65" s="627"/>
      <c r="SOK65" s="627"/>
      <c r="SOM65" s="627"/>
      <c r="SOO65" s="627"/>
      <c r="SOQ65" s="627"/>
      <c r="SOS65" s="627"/>
      <c r="SOU65" s="627"/>
      <c r="SOW65" s="627"/>
      <c r="SOY65" s="627"/>
      <c r="SPA65" s="627"/>
      <c r="SPC65" s="627"/>
      <c r="SPE65" s="627"/>
      <c r="SPG65" s="627"/>
      <c r="SPI65" s="627"/>
      <c r="SPK65" s="627"/>
      <c r="SPM65" s="627"/>
      <c r="SPO65" s="627"/>
      <c r="SPQ65" s="627"/>
      <c r="SPS65" s="627"/>
      <c r="SPU65" s="627"/>
      <c r="SPW65" s="627"/>
      <c r="SPY65" s="627"/>
      <c r="SQA65" s="627"/>
      <c r="SQC65" s="627"/>
      <c r="SQE65" s="627"/>
      <c r="SQG65" s="627"/>
      <c r="SQI65" s="627"/>
      <c r="SQK65" s="627"/>
      <c r="SQM65" s="627"/>
      <c r="SQO65" s="627"/>
      <c r="SQQ65" s="627"/>
      <c r="SQS65" s="627"/>
      <c r="SQU65" s="627"/>
      <c r="SQW65" s="627"/>
      <c r="SQY65" s="627"/>
      <c r="SRA65" s="627"/>
      <c r="SRC65" s="627"/>
      <c r="SRE65" s="627"/>
      <c r="SRG65" s="627"/>
      <c r="SRI65" s="627"/>
      <c r="SRK65" s="627"/>
      <c r="SRM65" s="627"/>
      <c r="SRO65" s="627"/>
      <c r="SRQ65" s="627"/>
      <c r="SRS65" s="627"/>
      <c r="SRU65" s="627"/>
      <c r="SRW65" s="627"/>
      <c r="SRY65" s="627"/>
      <c r="SSA65" s="627"/>
      <c r="SSC65" s="627"/>
      <c r="SSE65" s="627"/>
      <c r="SSG65" s="627"/>
      <c r="SSI65" s="627"/>
      <c r="SSK65" s="627"/>
      <c r="SSM65" s="627"/>
      <c r="SSO65" s="627"/>
      <c r="SSQ65" s="627"/>
      <c r="SSS65" s="627"/>
      <c r="SSU65" s="627"/>
      <c r="SSW65" s="627"/>
      <c r="SSY65" s="627"/>
      <c r="STA65" s="627"/>
      <c r="STC65" s="627"/>
      <c r="STE65" s="627"/>
      <c r="STG65" s="627"/>
      <c r="STI65" s="627"/>
      <c r="STK65" s="627"/>
      <c r="STM65" s="627"/>
      <c r="STO65" s="627"/>
      <c r="STQ65" s="627"/>
      <c r="STS65" s="627"/>
      <c r="STU65" s="627"/>
      <c r="STW65" s="627"/>
      <c r="STY65" s="627"/>
      <c r="SUA65" s="627"/>
      <c r="SUC65" s="627"/>
      <c r="SUE65" s="627"/>
      <c r="SUG65" s="627"/>
      <c r="SUI65" s="627"/>
      <c r="SUK65" s="627"/>
      <c r="SUM65" s="627"/>
      <c r="SUO65" s="627"/>
      <c r="SUQ65" s="627"/>
      <c r="SUS65" s="627"/>
      <c r="SUU65" s="627"/>
      <c r="SUW65" s="627"/>
      <c r="SUY65" s="627"/>
      <c r="SVA65" s="627"/>
      <c r="SVC65" s="627"/>
      <c r="SVE65" s="627"/>
      <c r="SVG65" s="627"/>
      <c r="SVI65" s="627"/>
      <c r="SVK65" s="627"/>
      <c r="SVM65" s="627"/>
      <c r="SVO65" s="627"/>
      <c r="SVQ65" s="627"/>
      <c r="SVS65" s="627"/>
      <c r="SVU65" s="627"/>
      <c r="SVW65" s="627"/>
      <c r="SVY65" s="627"/>
      <c r="SWA65" s="627"/>
      <c r="SWC65" s="627"/>
      <c r="SWE65" s="627"/>
      <c r="SWG65" s="627"/>
      <c r="SWI65" s="627"/>
      <c r="SWK65" s="627"/>
      <c r="SWM65" s="627"/>
      <c r="SWO65" s="627"/>
      <c r="SWQ65" s="627"/>
      <c r="SWS65" s="627"/>
      <c r="SWU65" s="627"/>
      <c r="SWW65" s="627"/>
      <c r="SWY65" s="627"/>
      <c r="SXA65" s="627"/>
      <c r="SXC65" s="627"/>
      <c r="SXE65" s="627"/>
      <c r="SXG65" s="627"/>
      <c r="SXI65" s="627"/>
      <c r="SXK65" s="627"/>
      <c r="SXM65" s="627"/>
      <c r="SXO65" s="627"/>
      <c r="SXQ65" s="627"/>
      <c r="SXS65" s="627"/>
      <c r="SXU65" s="627"/>
      <c r="SXW65" s="627"/>
      <c r="SXY65" s="627"/>
      <c r="SYA65" s="627"/>
      <c r="SYC65" s="627"/>
      <c r="SYE65" s="627"/>
      <c r="SYG65" s="627"/>
      <c r="SYI65" s="627"/>
      <c r="SYK65" s="627"/>
      <c r="SYM65" s="627"/>
      <c r="SYO65" s="627"/>
      <c r="SYQ65" s="627"/>
      <c r="SYS65" s="627"/>
      <c r="SYU65" s="627"/>
      <c r="SYW65" s="627"/>
      <c r="SYY65" s="627"/>
      <c r="SZA65" s="627"/>
      <c r="SZC65" s="627"/>
      <c r="SZE65" s="627"/>
      <c r="SZG65" s="627"/>
      <c r="SZI65" s="627"/>
      <c r="SZK65" s="627"/>
      <c r="SZM65" s="627"/>
      <c r="SZO65" s="627"/>
      <c r="SZQ65" s="627"/>
      <c r="SZS65" s="627"/>
      <c r="SZU65" s="627"/>
      <c r="SZW65" s="627"/>
      <c r="SZY65" s="627"/>
      <c r="TAA65" s="627"/>
      <c r="TAC65" s="627"/>
      <c r="TAE65" s="627"/>
      <c r="TAG65" s="627"/>
      <c r="TAI65" s="627"/>
      <c r="TAK65" s="627"/>
      <c r="TAM65" s="627"/>
      <c r="TAO65" s="627"/>
      <c r="TAQ65" s="627"/>
      <c r="TAS65" s="627"/>
      <c r="TAU65" s="627"/>
      <c r="TAW65" s="627"/>
      <c r="TAY65" s="627"/>
      <c r="TBA65" s="627"/>
      <c r="TBC65" s="627"/>
      <c r="TBE65" s="627"/>
      <c r="TBG65" s="627"/>
      <c r="TBI65" s="627"/>
      <c r="TBK65" s="627"/>
      <c r="TBM65" s="627"/>
      <c r="TBO65" s="627"/>
      <c r="TBQ65" s="627"/>
      <c r="TBS65" s="627"/>
      <c r="TBU65" s="627"/>
      <c r="TBW65" s="627"/>
      <c r="TBY65" s="627"/>
      <c r="TCA65" s="627"/>
      <c r="TCC65" s="627"/>
      <c r="TCE65" s="627"/>
      <c r="TCG65" s="627"/>
      <c r="TCI65" s="627"/>
      <c r="TCK65" s="627"/>
      <c r="TCM65" s="627"/>
      <c r="TCO65" s="627"/>
      <c r="TCQ65" s="627"/>
      <c r="TCS65" s="627"/>
      <c r="TCU65" s="627"/>
      <c r="TCW65" s="627"/>
      <c r="TCY65" s="627"/>
      <c r="TDA65" s="627"/>
      <c r="TDC65" s="627"/>
      <c r="TDE65" s="627"/>
      <c r="TDG65" s="627"/>
      <c r="TDI65" s="627"/>
      <c r="TDK65" s="627"/>
      <c r="TDM65" s="627"/>
      <c r="TDO65" s="627"/>
      <c r="TDQ65" s="627"/>
      <c r="TDS65" s="627"/>
      <c r="TDU65" s="627"/>
      <c r="TDW65" s="627"/>
      <c r="TDY65" s="627"/>
      <c r="TEA65" s="627"/>
      <c r="TEC65" s="627"/>
      <c r="TEE65" s="627"/>
      <c r="TEG65" s="627"/>
      <c r="TEI65" s="627"/>
      <c r="TEK65" s="627"/>
      <c r="TEM65" s="627"/>
      <c r="TEO65" s="627"/>
      <c r="TEQ65" s="627"/>
      <c r="TES65" s="627"/>
      <c r="TEU65" s="627"/>
      <c r="TEW65" s="627"/>
      <c r="TEY65" s="627"/>
      <c r="TFA65" s="627"/>
      <c r="TFC65" s="627"/>
      <c r="TFE65" s="627"/>
      <c r="TFG65" s="627"/>
      <c r="TFI65" s="627"/>
      <c r="TFK65" s="627"/>
      <c r="TFM65" s="627"/>
      <c r="TFO65" s="627"/>
      <c r="TFQ65" s="627"/>
      <c r="TFS65" s="627"/>
      <c r="TFU65" s="627"/>
      <c r="TFW65" s="627"/>
      <c r="TFY65" s="627"/>
      <c r="TGA65" s="627"/>
      <c r="TGC65" s="627"/>
      <c r="TGE65" s="627"/>
      <c r="TGG65" s="627"/>
      <c r="TGI65" s="627"/>
      <c r="TGK65" s="627"/>
      <c r="TGM65" s="627"/>
      <c r="TGO65" s="627"/>
      <c r="TGQ65" s="627"/>
      <c r="TGS65" s="627"/>
      <c r="TGU65" s="627"/>
      <c r="TGW65" s="627"/>
      <c r="TGY65" s="627"/>
      <c r="THA65" s="627"/>
      <c r="THC65" s="627"/>
      <c r="THE65" s="627"/>
      <c r="THG65" s="627"/>
      <c r="THI65" s="627"/>
      <c r="THK65" s="627"/>
      <c r="THM65" s="627"/>
      <c r="THO65" s="627"/>
      <c r="THQ65" s="627"/>
      <c r="THS65" s="627"/>
      <c r="THU65" s="627"/>
      <c r="THW65" s="627"/>
      <c r="THY65" s="627"/>
      <c r="TIA65" s="627"/>
      <c r="TIC65" s="627"/>
      <c r="TIE65" s="627"/>
      <c r="TIG65" s="627"/>
      <c r="TII65" s="627"/>
      <c r="TIK65" s="627"/>
      <c r="TIM65" s="627"/>
      <c r="TIO65" s="627"/>
      <c r="TIQ65" s="627"/>
      <c r="TIS65" s="627"/>
      <c r="TIU65" s="627"/>
      <c r="TIW65" s="627"/>
      <c r="TIY65" s="627"/>
      <c r="TJA65" s="627"/>
      <c r="TJC65" s="627"/>
      <c r="TJE65" s="627"/>
      <c r="TJG65" s="627"/>
      <c r="TJI65" s="627"/>
      <c r="TJK65" s="627"/>
      <c r="TJM65" s="627"/>
      <c r="TJO65" s="627"/>
      <c r="TJQ65" s="627"/>
      <c r="TJS65" s="627"/>
      <c r="TJU65" s="627"/>
      <c r="TJW65" s="627"/>
      <c r="TJY65" s="627"/>
      <c r="TKA65" s="627"/>
      <c r="TKC65" s="627"/>
      <c r="TKE65" s="627"/>
      <c r="TKG65" s="627"/>
      <c r="TKI65" s="627"/>
      <c r="TKK65" s="627"/>
      <c r="TKM65" s="627"/>
      <c r="TKO65" s="627"/>
      <c r="TKQ65" s="627"/>
      <c r="TKS65" s="627"/>
      <c r="TKU65" s="627"/>
      <c r="TKW65" s="627"/>
      <c r="TKY65" s="627"/>
      <c r="TLA65" s="627"/>
      <c r="TLC65" s="627"/>
      <c r="TLE65" s="627"/>
      <c r="TLG65" s="627"/>
      <c r="TLI65" s="627"/>
      <c r="TLK65" s="627"/>
      <c r="TLM65" s="627"/>
      <c r="TLO65" s="627"/>
      <c r="TLQ65" s="627"/>
      <c r="TLS65" s="627"/>
      <c r="TLU65" s="627"/>
      <c r="TLW65" s="627"/>
      <c r="TLY65" s="627"/>
      <c r="TMA65" s="627"/>
      <c r="TMC65" s="627"/>
      <c r="TME65" s="627"/>
      <c r="TMG65" s="627"/>
      <c r="TMI65" s="627"/>
      <c r="TMK65" s="627"/>
      <c r="TMM65" s="627"/>
      <c r="TMO65" s="627"/>
      <c r="TMQ65" s="627"/>
      <c r="TMS65" s="627"/>
      <c r="TMU65" s="627"/>
      <c r="TMW65" s="627"/>
      <c r="TMY65" s="627"/>
      <c r="TNA65" s="627"/>
      <c r="TNC65" s="627"/>
      <c r="TNE65" s="627"/>
      <c r="TNG65" s="627"/>
      <c r="TNI65" s="627"/>
      <c r="TNK65" s="627"/>
      <c r="TNM65" s="627"/>
      <c r="TNO65" s="627"/>
      <c r="TNQ65" s="627"/>
      <c r="TNS65" s="627"/>
      <c r="TNU65" s="627"/>
      <c r="TNW65" s="627"/>
      <c r="TNY65" s="627"/>
      <c r="TOA65" s="627"/>
      <c r="TOC65" s="627"/>
      <c r="TOE65" s="627"/>
      <c r="TOG65" s="627"/>
      <c r="TOI65" s="627"/>
      <c r="TOK65" s="627"/>
      <c r="TOM65" s="627"/>
      <c r="TOO65" s="627"/>
      <c r="TOQ65" s="627"/>
      <c r="TOS65" s="627"/>
      <c r="TOU65" s="627"/>
      <c r="TOW65" s="627"/>
      <c r="TOY65" s="627"/>
      <c r="TPA65" s="627"/>
      <c r="TPC65" s="627"/>
      <c r="TPE65" s="627"/>
      <c r="TPG65" s="627"/>
      <c r="TPI65" s="627"/>
      <c r="TPK65" s="627"/>
      <c r="TPM65" s="627"/>
      <c r="TPO65" s="627"/>
      <c r="TPQ65" s="627"/>
      <c r="TPS65" s="627"/>
      <c r="TPU65" s="627"/>
      <c r="TPW65" s="627"/>
      <c r="TPY65" s="627"/>
      <c r="TQA65" s="627"/>
      <c r="TQC65" s="627"/>
      <c r="TQE65" s="627"/>
      <c r="TQG65" s="627"/>
      <c r="TQI65" s="627"/>
      <c r="TQK65" s="627"/>
      <c r="TQM65" s="627"/>
      <c r="TQO65" s="627"/>
      <c r="TQQ65" s="627"/>
      <c r="TQS65" s="627"/>
      <c r="TQU65" s="627"/>
      <c r="TQW65" s="627"/>
      <c r="TQY65" s="627"/>
      <c r="TRA65" s="627"/>
      <c r="TRC65" s="627"/>
      <c r="TRE65" s="627"/>
      <c r="TRG65" s="627"/>
      <c r="TRI65" s="627"/>
      <c r="TRK65" s="627"/>
      <c r="TRM65" s="627"/>
      <c r="TRO65" s="627"/>
      <c r="TRQ65" s="627"/>
      <c r="TRS65" s="627"/>
      <c r="TRU65" s="627"/>
      <c r="TRW65" s="627"/>
      <c r="TRY65" s="627"/>
      <c r="TSA65" s="627"/>
      <c r="TSC65" s="627"/>
      <c r="TSE65" s="627"/>
      <c r="TSG65" s="627"/>
      <c r="TSI65" s="627"/>
      <c r="TSK65" s="627"/>
      <c r="TSM65" s="627"/>
      <c r="TSO65" s="627"/>
      <c r="TSQ65" s="627"/>
      <c r="TSS65" s="627"/>
      <c r="TSU65" s="627"/>
      <c r="TSW65" s="627"/>
      <c r="TSY65" s="627"/>
      <c r="TTA65" s="627"/>
      <c r="TTC65" s="627"/>
      <c r="TTE65" s="627"/>
      <c r="TTG65" s="627"/>
      <c r="TTI65" s="627"/>
      <c r="TTK65" s="627"/>
      <c r="TTM65" s="627"/>
      <c r="TTO65" s="627"/>
      <c r="TTQ65" s="627"/>
      <c r="TTS65" s="627"/>
      <c r="TTU65" s="627"/>
      <c r="TTW65" s="627"/>
      <c r="TTY65" s="627"/>
      <c r="TUA65" s="627"/>
      <c r="TUC65" s="627"/>
      <c r="TUE65" s="627"/>
      <c r="TUG65" s="627"/>
      <c r="TUI65" s="627"/>
      <c r="TUK65" s="627"/>
      <c r="TUM65" s="627"/>
      <c r="TUO65" s="627"/>
      <c r="TUQ65" s="627"/>
      <c r="TUS65" s="627"/>
      <c r="TUU65" s="627"/>
      <c r="TUW65" s="627"/>
      <c r="TUY65" s="627"/>
      <c r="TVA65" s="627"/>
      <c r="TVC65" s="627"/>
      <c r="TVE65" s="627"/>
      <c r="TVG65" s="627"/>
      <c r="TVI65" s="627"/>
      <c r="TVK65" s="627"/>
      <c r="TVM65" s="627"/>
      <c r="TVO65" s="627"/>
      <c r="TVQ65" s="627"/>
      <c r="TVS65" s="627"/>
      <c r="TVU65" s="627"/>
      <c r="TVW65" s="627"/>
      <c r="TVY65" s="627"/>
      <c r="TWA65" s="627"/>
      <c r="TWC65" s="627"/>
      <c r="TWE65" s="627"/>
      <c r="TWG65" s="627"/>
      <c r="TWI65" s="627"/>
      <c r="TWK65" s="627"/>
      <c r="TWM65" s="627"/>
      <c r="TWO65" s="627"/>
      <c r="TWQ65" s="627"/>
      <c r="TWS65" s="627"/>
      <c r="TWU65" s="627"/>
      <c r="TWW65" s="627"/>
      <c r="TWY65" s="627"/>
      <c r="TXA65" s="627"/>
      <c r="TXC65" s="627"/>
      <c r="TXE65" s="627"/>
      <c r="TXG65" s="627"/>
      <c r="TXI65" s="627"/>
      <c r="TXK65" s="627"/>
      <c r="TXM65" s="627"/>
      <c r="TXO65" s="627"/>
      <c r="TXQ65" s="627"/>
      <c r="TXS65" s="627"/>
      <c r="TXU65" s="627"/>
      <c r="TXW65" s="627"/>
      <c r="TXY65" s="627"/>
      <c r="TYA65" s="627"/>
      <c r="TYC65" s="627"/>
      <c r="TYE65" s="627"/>
      <c r="TYG65" s="627"/>
      <c r="TYI65" s="627"/>
      <c r="TYK65" s="627"/>
      <c r="TYM65" s="627"/>
      <c r="TYO65" s="627"/>
      <c r="TYQ65" s="627"/>
      <c r="TYS65" s="627"/>
      <c r="TYU65" s="627"/>
      <c r="TYW65" s="627"/>
      <c r="TYY65" s="627"/>
      <c r="TZA65" s="627"/>
      <c r="TZC65" s="627"/>
      <c r="TZE65" s="627"/>
      <c r="TZG65" s="627"/>
      <c r="TZI65" s="627"/>
      <c r="TZK65" s="627"/>
      <c r="TZM65" s="627"/>
      <c r="TZO65" s="627"/>
      <c r="TZQ65" s="627"/>
      <c r="TZS65" s="627"/>
      <c r="TZU65" s="627"/>
      <c r="TZW65" s="627"/>
      <c r="TZY65" s="627"/>
      <c r="UAA65" s="627"/>
      <c r="UAC65" s="627"/>
      <c r="UAE65" s="627"/>
      <c r="UAG65" s="627"/>
      <c r="UAI65" s="627"/>
      <c r="UAK65" s="627"/>
      <c r="UAM65" s="627"/>
      <c r="UAO65" s="627"/>
      <c r="UAQ65" s="627"/>
      <c r="UAS65" s="627"/>
      <c r="UAU65" s="627"/>
      <c r="UAW65" s="627"/>
      <c r="UAY65" s="627"/>
      <c r="UBA65" s="627"/>
      <c r="UBC65" s="627"/>
      <c r="UBE65" s="627"/>
      <c r="UBG65" s="627"/>
      <c r="UBI65" s="627"/>
      <c r="UBK65" s="627"/>
      <c r="UBM65" s="627"/>
      <c r="UBO65" s="627"/>
      <c r="UBQ65" s="627"/>
      <c r="UBS65" s="627"/>
      <c r="UBU65" s="627"/>
      <c r="UBW65" s="627"/>
      <c r="UBY65" s="627"/>
      <c r="UCA65" s="627"/>
      <c r="UCC65" s="627"/>
      <c r="UCE65" s="627"/>
      <c r="UCG65" s="627"/>
      <c r="UCI65" s="627"/>
      <c r="UCK65" s="627"/>
      <c r="UCM65" s="627"/>
      <c r="UCO65" s="627"/>
      <c r="UCQ65" s="627"/>
      <c r="UCS65" s="627"/>
      <c r="UCU65" s="627"/>
      <c r="UCW65" s="627"/>
      <c r="UCY65" s="627"/>
      <c r="UDA65" s="627"/>
      <c r="UDC65" s="627"/>
      <c r="UDE65" s="627"/>
      <c r="UDG65" s="627"/>
      <c r="UDI65" s="627"/>
      <c r="UDK65" s="627"/>
      <c r="UDM65" s="627"/>
      <c r="UDO65" s="627"/>
      <c r="UDQ65" s="627"/>
      <c r="UDS65" s="627"/>
      <c r="UDU65" s="627"/>
      <c r="UDW65" s="627"/>
      <c r="UDY65" s="627"/>
      <c r="UEA65" s="627"/>
      <c r="UEC65" s="627"/>
      <c r="UEE65" s="627"/>
      <c r="UEG65" s="627"/>
      <c r="UEI65" s="627"/>
      <c r="UEK65" s="627"/>
      <c r="UEM65" s="627"/>
      <c r="UEO65" s="627"/>
      <c r="UEQ65" s="627"/>
      <c r="UES65" s="627"/>
      <c r="UEU65" s="627"/>
      <c r="UEW65" s="627"/>
      <c r="UEY65" s="627"/>
      <c r="UFA65" s="627"/>
      <c r="UFC65" s="627"/>
      <c r="UFE65" s="627"/>
      <c r="UFG65" s="627"/>
      <c r="UFI65" s="627"/>
      <c r="UFK65" s="627"/>
      <c r="UFM65" s="627"/>
      <c r="UFO65" s="627"/>
      <c r="UFQ65" s="627"/>
      <c r="UFS65" s="627"/>
      <c r="UFU65" s="627"/>
      <c r="UFW65" s="627"/>
      <c r="UFY65" s="627"/>
      <c r="UGA65" s="627"/>
      <c r="UGC65" s="627"/>
      <c r="UGE65" s="627"/>
      <c r="UGG65" s="627"/>
      <c r="UGI65" s="627"/>
      <c r="UGK65" s="627"/>
      <c r="UGM65" s="627"/>
      <c r="UGO65" s="627"/>
      <c r="UGQ65" s="627"/>
      <c r="UGS65" s="627"/>
      <c r="UGU65" s="627"/>
      <c r="UGW65" s="627"/>
      <c r="UGY65" s="627"/>
      <c r="UHA65" s="627"/>
      <c r="UHC65" s="627"/>
      <c r="UHE65" s="627"/>
      <c r="UHG65" s="627"/>
      <c r="UHI65" s="627"/>
      <c r="UHK65" s="627"/>
      <c r="UHM65" s="627"/>
      <c r="UHO65" s="627"/>
      <c r="UHQ65" s="627"/>
      <c r="UHS65" s="627"/>
      <c r="UHU65" s="627"/>
      <c r="UHW65" s="627"/>
      <c r="UHY65" s="627"/>
      <c r="UIA65" s="627"/>
      <c r="UIC65" s="627"/>
      <c r="UIE65" s="627"/>
      <c r="UIG65" s="627"/>
      <c r="UII65" s="627"/>
      <c r="UIK65" s="627"/>
      <c r="UIM65" s="627"/>
      <c r="UIO65" s="627"/>
      <c r="UIQ65" s="627"/>
      <c r="UIS65" s="627"/>
      <c r="UIU65" s="627"/>
      <c r="UIW65" s="627"/>
      <c r="UIY65" s="627"/>
      <c r="UJA65" s="627"/>
      <c r="UJC65" s="627"/>
      <c r="UJE65" s="627"/>
      <c r="UJG65" s="627"/>
      <c r="UJI65" s="627"/>
      <c r="UJK65" s="627"/>
      <c r="UJM65" s="627"/>
      <c r="UJO65" s="627"/>
      <c r="UJQ65" s="627"/>
      <c r="UJS65" s="627"/>
      <c r="UJU65" s="627"/>
      <c r="UJW65" s="627"/>
      <c r="UJY65" s="627"/>
      <c r="UKA65" s="627"/>
      <c r="UKC65" s="627"/>
      <c r="UKE65" s="627"/>
      <c r="UKG65" s="627"/>
      <c r="UKI65" s="627"/>
      <c r="UKK65" s="627"/>
      <c r="UKM65" s="627"/>
      <c r="UKO65" s="627"/>
      <c r="UKQ65" s="627"/>
      <c r="UKS65" s="627"/>
      <c r="UKU65" s="627"/>
      <c r="UKW65" s="627"/>
      <c r="UKY65" s="627"/>
      <c r="ULA65" s="627"/>
      <c r="ULC65" s="627"/>
      <c r="ULE65" s="627"/>
      <c r="ULG65" s="627"/>
      <c r="ULI65" s="627"/>
      <c r="ULK65" s="627"/>
      <c r="ULM65" s="627"/>
      <c r="ULO65" s="627"/>
      <c r="ULQ65" s="627"/>
      <c r="ULS65" s="627"/>
      <c r="ULU65" s="627"/>
      <c r="ULW65" s="627"/>
      <c r="ULY65" s="627"/>
      <c r="UMA65" s="627"/>
      <c r="UMC65" s="627"/>
      <c r="UME65" s="627"/>
      <c r="UMG65" s="627"/>
      <c r="UMI65" s="627"/>
      <c r="UMK65" s="627"/>
      <c r="UMM65" s="627"/>
      <c r="UMO65" s="627"/>
      <c r="UMQ65" s="627"/>
      <c r="UMS65" s="627"/>
      <c r="UMU65" s="627"/>
      <c r="UMW65" s="627"/>
      <c r="UMY65" s="627"/>
      <c r="UNA65" s="627"/>
      <c r="UNC65" s="627"/>
      <c r="UNE65" s="627"/>
      <c r="UNG65" s="627"/>
      <c r="UNI65" s="627"/>
      <c r="UNK65" s="627"/>
      <c r="UNM65" s="627"/>
      <c r="UNO65" s="627"/>
      <c r="UNQ65" s="627"/>
      <c r="UNS65" s="627"/>
      <c r="UNU65" s="627"/>
      <c r="UNW65" s="627"/>
      <c r="UNY65" s="627"/>
      <c r="UOA65" s="627"/>
      <c r="UOC65" s="627"/>
      <c r="UOE65" s="627"/>
      <c r="UOG65" s="627"/>
      <c r="UOI65" s="627"/>
      <c r="UOK65" s="627"/>
      <c r="UOM65" s="627"/>
      <c r="UOO65" s="627"/>
      <c r="UOQ65" s="627"/>
      <c r="UOS65" s="627"/>
      <c r="UOU65" s="627"/>
      <c r="UOW65" s="627"/>
      <c r="UOY65" s="627"/>
      <c r="UPA65" s="627"/>
      <c r="UPC65" s="627"/>
      <c r="UPE65" s="627"/>
      <c r="UPG65" s="627"/>
      <c r="UPI65" s="627"/>
      <c r="UPK65" s="627"/>
      <c r="UPM65" s="627"/>
      <c r="UPO65" s="627"/>
      <c r="UPQ65" s="627"/>
      <c r="UPS65" s="627"/>
      <c r="UPU65" s="627"/>
      <c r="UPW65" s="627"/>
      <c r="UPY65" s="627"/>
      <c r="UQA65" s="627"/>
      <c r="UQC65" s="627"/>
      <c r="UQE65" s="627"/>
      <c r="UQG65" s="627"/>
      <c r="UQI65" s="627"/>
      <c r="UQK65" s="627"/>
      <c r="UQM65" s="627"/>
      <c r="UQO65" s="627"/>
      <c r="UQQ65" s="627"/>
      <c r="UQS65" s="627"/>
      <c r="UQU65" s="627"/>
      <c r="UQW65" s="627"/>
      <c r="UQY65" s="627"/>
      <c r="URA65" s="627"/>
      <c r="URC65" s="627"/>
      <c r="URE65" s="627"/>
      <c r="URG65" s="627"/>
      <c r="URI65" s="627"/>
      <c r="URK65" s="627"/>
      <c r="URM65" s="627"/>
      <c r="URO65" s="627"/>
      <c r="URQ65" s="627"/>
      <c r="URS65" s="627"/>
      <c r="URU65" s="627"/>
      <c r="URW65" s="627"/>
      <c r="URY65" s="627"/>
      <c r="USA65" s="627"/>
      <c r="USC65" s="627"/>
      <c r="USE65" s="627"/>
      <c r="USG65" s="627"/>
      <c r="USI65" s="627"/>
      <c r="USK65" s="627"/>
      <c r="USM65" s="627"/>
      <c r="USO65" s="627"/>
      <c r="USQ65" s="627"/>
      <c r="USS65" s="627"/>
      <c r="USU65" s="627"/>
      <c r="USW65" s="627"/>
      <c r="USY65" s="627"/>
      <c r="UTA65" s="627"/>
      <c r="UTC65" s="627"/>
      <c r="UTE65" s="627"/>
      <c r="UTG65" s="627"/>
      <c r="UTI65" s="627"/>
      <c r="UTK65" s="627"/>
      <c r="UTM65" s="627"/>
      <c r="UTO65" s="627"/>
      <c r="UTQ65" s="627"/>
      <c r="UTS65" s="627"/>
      <c r="UTU65" s="627"/>
      <c r="UTW65" s="627"/>
      <c r="UTY65" s="627"/>
      <c r="UUA65" s="627"/>
      <c r="UUC65" s="627"/>
      <c r="UUE65" s="627"/>
      <c r="UUG65" s="627"/>
      <c r="UUI65" s="627"/>
      <c r="UUK65" s="627"/>
      <c r="UUM65" s="627"/>
      <c r="UUO65" s="627"/>
      <c r="UUQ65" s="627"/>
      <c r="UUS65" s="627"/>
      <c r="UUU65" s="627"/>
      <c r="UUW65" s="627"/>
      <c r="UUY65" s="627"/>
      <c r="UVA65" s="627"/>
      <c r="UVC65" s="627"/>
      <c r="UVE65" s="627"/>
      <c r="UVG65" s="627"/>
      <c r="UVI65" s="627"/>
      <c r="UVK65" s="627"/>
      <c r="UVM65" s="627"/>
      <c r="UVO65" s="627"/>
      <c r="UVQ65" s="627"/>
      <c r="UVS65" s="627"/>
      <c r="UVU65" s="627"/>
      <c r="UVW65" s="627"/>
      <c r="UVY65" s="627"/>
      <c r="UWA65" s="627"/>
      <c r="UWC65" s="627"/>
      <c r="UWE65" s="627"/>
      <c r="UWG65" s="627"/>
      <c r="UWI65" s="627"/>
      <c r="UWK65" s="627"/>
      <c r="UWM65" s="627"/>
      <c r="UWO65" s="627"/>
      <c r="UWQ65" s="627"/>
      <c r="UWS65" s="627"/>
      <c r="UWU65" s="627"/>
      <c r="UWW65" s="627"/>
      <c r="UWY65" s="627"/>
      <c r="UXA65" s="627"/>
      <c r="UXC65" s="627"/>
      <c r="UXE65" s="627"/>
      <c r="UXG65" s="627"/>
      <c r="UXI65" s="627"/>
      <c r="UXK65" s="627"/>
      <c r="UXM65" s="627"/>
      <c r="UXO65" s="627"/>
      <c r="UXQ65" s="627"/>
      <c r="UXS65" s="627"/>
      <c r="UXU65" s="627"/>
      <c r="UXW65" s="627"/>
      <c r="UXY65" s="627"/>
      <c r="UYA65" s="627"/>
      <c r="UYC65" s="627"/>
      <c r="UYE65" s="627"/>
      <c r="UYG65" s="627"/>
      <c r="UYI65" s="627"/>
      <c r="UYK65" s="627"/>
      <c r="UYM65" s="627"/>
      <c r="UYO65" s="627"/>
      <c r="UYQ65" s="627"/>
      <c r="UYS65" s="627"/>
      <c r="UYU65" s="627"/>
      <c r="UYW65" s="627"/>
      <c r="UYY65" s="627"/>
      <c r="UZA65" s="627"/>
      <c r="UZC65" s="627"/>
      <c r="UZE65" s="627"/>
      <c r="UZG65" s="627"/>
      <c r="UZI65" s="627"/>
      <c r="UZK65" s="627"/>
      <c r="UZM65" s="627"/>
      <c r="UZO65" s="627"/>
      <c r="UZQ65" s="627"/>
      <c r="UZS65" s="627"/>
      <c r="UZU65" s="627"/>
      <c r="UZW65" s="627"/>
      <c r="UZY65" s="627"/>
      <c r="VAA65" s="627"/>
      <c r="VAC65" s="627"/>
      <c r="VAE65" s="627"/>
      <c r="VAG65" s="627"/>
      <c r="VAI65" s="627"/>
      <c r="VAK65" s="627"/>
      <c r="VAM65" s="627"/>
      <c r="VAO65" s="627"/>
      <c r="VAQ65" s="627"/>
      <c r="VAS65" s="627"/>
      <c r="VAU65" s="627"/>
      <c r="VAW65" s="627"/>
      <c r="VAY65" s="627"/>
      <c r="VBA65" s="627"/>
      <c r="VBC65" s="627"/>
      <c r="VBE65" s="627"/>
      <c r="VBG65" s="627"/>
      <c r="VBI65" s="627"/>
      <c r="VBK65" s="627"/>
      <c r="VBM65" s="627"/>
      <c r="VBO65" s="627"/>
      <c r="VBQ65" s="627"/>
      <c r="VBS65" s="627"/>
      <c r="VBU65" s="627"/>
      <c r="VBW65" s="627"/>
      <c r="VBY65" s="627"/>
      <c r="VCA65" s="627"/>
      <c r="VCC65" s="627"/>
      <c r="VCE65" s="627"/>
      <c r="VCG65" s="627"/>
      <c r="VCI65" s="627"/>
      <c r="VCK65" s="627"/>
      <c r="VCM65" s="627"/>
      <c r="VCO65" s="627"/>
      <c r="VCQ65" s="627"/>
      <c r="VCS65" s="627"/>
      <c r="VCU65" s="627"/>
      <c r="VCW65" s="627"/>
      <c r="VCY65" s="627"/>
      <c r="VDA65" s="627"/>
      <c r="VDC65" s="627"/>
      <c r="VDE65" s="627"/>
      <c r="VDG65" s="627"/>
      <c r="VDI65" s="627"/>
      <c r="VDK65" s="627"/>
      <c r="VDM65" s="627"/>
      <c r="VDO65" s="627"/>
      <c r="VDQ65" s="627"/>
      <c r="VDS65" s="627"/>
      <c r="VDU65" s="627"/>
      <c r="VDW65" s="627"/>
      <c r="VDY65" s="627"/>
      <c r="VEA65" s="627"/>
      <c r="VEC65" s="627"/>
      <c r="VEE65" s="627"/>
      <c r="VEG65" s="627"/>
      <c r="VEI65" s="627"/>
      <c r="VEK65" s="627"/>
      <c r="VEM65" s="627"/>
      <c r="VEO65" s="627"/>
      <c r="VEQ65" s="627"/>
      <c r="VES65" s="627"/>
      <c r="VEU65" s="627"/>
      <c r="VEW65" s="627"/>
      <c r="VEY65" s="627"/>
      <c r="VFA65" s="627"/>
      <c r="VFC65" s="627"/>
      <c r="VFE65" s="627"/>
      <c r="VFG65" s="627"/>
      <c r="VFI65" s="627"/>
      <c r="VFK65" s="627"/>
      <c r="VFM65" s="627"/>
      <c r="VFO65" s="627"/>
      <c r="VFQ65" s="627"/>
      <c r="VFS65" s="627"/>
      <c r="VFU65" s="627"/>
      <c r="VFW65" s="627"/>
      <c r="VFY65" s="627"/>
      <c r="VGA65" s="627"/>
      <c r="VGC65" s="627"/>
      <c r="VGE65" s="627"/>
      <c r="VGG65" s="627"/>
      <c r="VGI65" s="627"/>
      <c r="VGK65" s="627"/>
      <c r="VGM65" s="627"/>
      <c r="VGO65" s="627"/>
      <c r="VGQ65" s="627"/>
      <c r="VGS65" s="627"/>
      <c r="VGU65" s="627"/>
      <c r="VGW65" s="627"/>
      <c r="VGY65" s="627"/>
      <c r="VHA65" s="627"/>
      <c r="VHC65" s="627"/>
      <c r="VHE65" s="627"/>
      <c r="VHG65" s="627"/>
      <c r="VHI65" s="627"/>
      <c r="VHK65" s="627"/>
      <c r="VHM65" s="627"/>
      <c r="VHO65" s="627"/>
      <c r="VHQ65" s="627"/>
      <c r="VHS65" s="627"/>
      <c r="VHU65" s="627"/>
      <c r="VHW65" s="627"/>
      <c r="VHY65" s="627"/>
      <c r="VIA65" s="627"/>
      <c r="VIC65" s="627"/>
      <c r="VIE65" s="627"/>
      <c r="VIG65" s="627"/>
      <c r="VII65" s="627"/>
      <c r="VIK65" s="627"/>
      <c r="VIM65" s="627"/>
      <c r="VIO65" s="627"/>
      <c r="VIQ65" s="627"/>
      <c r="VIS65" s="627"/>
      <c r="VIU65" s="627"/>
      <c r="VIW65" s="627"/>
      <c r="VIY65" s="627"/>
      <c r="VJA65" s="627"/>
      <c r="VJC65" s="627"/>
      <c r="VJE65" s="627"/>
      <c r="VJG65" s="627"/>
      <c r="VJI65" s="627"/>
      <c r="VJK65" s="627"/>
      <c r="VJM65" s="627"/>
      <c r="VJO65" s="627"/>
      <c r="VJQ65" s="627"/>
      <c r="VJS65" s="627"/>
      <c r="VJU65" s="627"/>
      <c r="VJW65" s="627"/>
      <c r="VJY65" s="627"/>
      <c r="VKA65" s="627"/>
      <c r="VKC65" s="627"/>
      <c r="VKE65" s="627"/>
      <c r="VKG65" s="627"/>
      <c r="VKI65" s="627"/>
      <c r="VKK65" s="627"/>
      <c r="VKM65" s="627"/>
      <c r="VKO65" s="627"/>
      <c r="VKQ65" s="627"/>
      <c r="VKS65" s="627"/>
      <c r="VKU65" s="627"/>
      <c r="VKW65" s="627"/>
      <c r="VKY65" s="627"/>
      <c r="VLA65" s="627"/>
      <c r="VLC65" s="627"/>
      <c r="VLE65" s="627"/>
      <c r="VLG65" s="627"/>
      <c r="VLI65" s="627"/>
      <c r="VLK65" s="627"/>
      <c r="VLM65" s="627"/>
      <c r="VLO65" s="627"/>
      <c r="VLQ65" s="627"/>
      <c r="VLS65" s="627"/>
      <c r="VLU65" s="627"/>
      <c r="VLW65" s="627"/>
      <c r="VLY65" s="627"/>
      <c r="VMA65" s="627"/>
      <c r="VMC65" s="627"/>
      <c r="VME65" s="627"/>
      <c r="VMG65" s="627"/>
      <c r="VMI65" s="627"/>
      <c r="VMK65" s="627"/>
      <c r="VMM65" s="627"/>
      <c r="VMO65" s="627"/>
      <c r="VMQ65" s="627"/>
      <c r="VMS65" s="627"/>
      <c r="VMU65" s="627"/>
      <c r="VMW65" s="627"/>
      <c r="VMY65" s="627"/>
      <c r="VNA65" s="627"/>
      <c r="VNC65" s="627"/>
      <c r="VNE65" s="627"/>
      <c r="VNG65" s="627"/>
      <c r="VNI65" s="627"/>
      <c r="VNK65" s="627"/>
      <c r="VNM65" s="627"/>
      <c r="VNO65" s="627"/>
      <c r="VNQ65" s="627"/>
      <c r="VNS65" s="627"/>
      <c r="VNU65" s="627"/>
      <c r="VNW65" s="627"/>
      <c r="VNY65" s="627"/>
      <c r="VOA65" s="627"/>
      <c r="VOC65" s="627"/>
      <c r="VOE65" s="627"/>
      <c r="VOG65" s="627"/>
      <c r="VOI65" s="627"/>
      <c r="VOK65" s="627"/>
      <c r="VOM65" s="627"/>
      <c r="VOO65" s="627"/>
      <c r="VOQ65" s="627"/>
      <c r="VOS65" s="627"/>
      <c r="VOU65" s="627"/>
      <c r="VOW65" s="627"/>
      <c r="VOY65" s="627"/>
      <c r="VPA65" s="627"/>
      <c r="VPC65" s="627"/>
      <c r="VPE65" s="627"/>
      <c r="VPG65" s="627"/>
      <c r="VPI65" s="627"/>
      <c r="VPK65" s="627"/>
      <c r="VPM65" s="627"/>
      <c r="VPO65" s="627"/>
      <c r="VPQ65" s="627"/>
      <c r="VPS65" s="627"/>
      <c r="VPU65" s="627"/>
      <c r="VPW65" s="627"/>
      <c r="VPY65" s="627"/>
      <c r="VQA65" s="627"/>
      <c r="VQC65" s="627"/>
      <c r="VQE65" s="627"/>
      <c r="VQG65" s="627"/>
      <c r="VQI65" s="627"/>
      <c r="VQK65" s="627"/>
      <c r="VQM65" s="627"/>
      <c r="VQO65" s="627"/>
      <c r="VQQ65" s="627"/>
      <c r="VQS65" s="627"/>
      <c r="VQU65" s="627"/>
      <c r="VQW65" s="627"/>
      <c r="VQY65" s="627"/>
      <c r="VRA65" s="627"/>
      <c r="VRC65" s="627"/>
      <c r="VRE65" s="627"/>
      <c r="VRG65" s="627"/>
      <c r="VRI65" s="627"/>
      <c r="VRK65" s="627"/>
      <c r="VRM65" s="627"/>
      <c r="VRO65" s="627"/>
      <c r="VRQ65" s="627"/>
      <c r="VRS65" s="627"/>
      <c r="VRU65" s="627"/>
      <c r="VRW65" s="627"/>
      <c r="VRY65" s="627"/>
      <c r="VSA65" s="627"/>
      <c r="VSC65" s="627"/>
      <c r="VSE65" s="627"/>
      <c r="VSG65" s="627"/>
      <c r="VSI65" s="627"/>
      <c r="VSK65" s="627"/>
      <c r="VSM65" s="627"/>
      <c r="VSO65" s="627"/>
      <c r="VSQ65" s="627"/>
      <c r="VSS65" s="627"/>
      <c r="VSU65" s="627"/>
      <c r="VSW65" s="627"/>
      <c r="VSY65" s="627"/>
      <c r="VTA65" s="627"/>
      <c r="VTC65" s="627"/>
      <c r="VTE65" s="627"/>
      <c r="VTG65" s="627"/>
      <c r="VTI65" s="627"/>
      <c r="VTK65" s="627"/>
      <c r="VTM65" s="627"/>
      <c r="VTO65" s="627"/>
      <c r="VTQ65" s="627"/>
      <c r="VTS65" s="627"/>
      <c r="VTU65" s="627"/>
      <c r="VTW65" s="627"/>
      <c r="VTY65" s="627"/>
      <c r="VUA65" s="627"/>
      <c r="VUC65" s="627"/>
      <c r="VUE65" s="627"/>
      <c r="VUG65" s="627"/>
      <c r="VUI65" s="627"/>
      <c r="VUK65" s="627"/>
      <c r="VUM65" s="627"/>
      <c r="VUO65" s="627"/>
      <c r="VUQ65" s="627"/>
      <c r="VUS65" s="627"/>
      <c r="VUU65" s="627"/>
      <c r="VUW65" s="627"/>
      <c r="VUY65" s="627"/>
      <c r="VVA65" s="627"/>
      <c r="VVC65" s="627"/>
      <c r="VVE65" s="627"/>
      <c r="VVG65" s="627"/>
      <c r="VVI65" s="627"/>
      <c r="VVK65" s="627"/>
      <c r="VVM65" s="627"/>
      <c r="VVO65" s="627"/>
      <c r="VVQ65" s="627"/>
      <c r="VVS65" s="627"/>
      <c r="VVU65" s="627"/>
      <c r="VVW65" s="627"/>
      <c r="VVY65" s="627"/>
      <c r="VWA65" s="627"/>
      <c r="VWC65" s="627"/>
      <c r="VWE65" s="627"/>
      <c r="VWG65" s="627"/>
      <c r="VWI65" s="627"/>
      <c r="VWK65" s="627"/>
      <c r="VWM65" s="627"/>
      <c r="VWO65" s="627"/>
      <c r="VWQ65" s="627"/>
      <c r="VWS65" s="627"/>
      <c r="VWU65" s="627"/>
      <c r="VWW65" s="627"/>
      <c r="VWY65" s="627"/>
      <c r="VXA65" s="627"/>
      <c r="VXC65" s="627"/>
      <c r="VXE65" s="627"/>
      <c r="VXG65" s="627"/>
      <c r="VXI65" s="627"/>
      <c r="VXK65" s="627"/>
      <c r="VXM65" s="627"/>
      <c r="VXO65" s="627"/>
      <c r="VXQ65" s="627"/>
      <c r="VXS65" s="627"/>
      <c r="VXU65" s="627"/>
      <c r="VXW65" s="627"/>
      <c r="VXY65" s="627"/>
      <c r="VYA65" s="627"/>
      <c r="VYC65" s="627"/>
      <c r="VYE65" s="627"/>
      <c r="VYG65" s="627"/>
      <c r="VYI65" s="627"/>
      <c r="VYK65" s="627"/>
      <c r="VYM65" s="627"/>
      <c r="VYO65" s="627"/>
      <c r="VYQ65" s="627"/>
      <c r="VYS65" s="627"/>
      <c r="VYU65" s="627"/>
      <c r="VYW65" s="627"/>
      <c r="VYY65" s="627"/>
      <c r="VZA65" s="627"/>
      <c r="VZC65" s="627"/>
      <c r="VZE65" s="627"/>
      <c r="VZG65" s="627"/>
      <c r="VZI65" s="627"/>
      <c r="VZK65" s="627"/>
      <c r="VZM65" s="627"/>
      <c r="VZO65" s="627"/>
      <c r="VZQ65" s="627"/>
      <c r="VZS65" s="627"/>
      <c r="VZU65" s="627"/>
      <c r="VZW65" s="627"/>
      <c r="VZY65" s="627"/>
      <c r="WAA65" s="627"/>
      <c r="WAC65" s="627"/>
      <c r="WAE65" s="627"/>
      <c r="WAG65" s="627"/>
      <c r="WAI65" s="627"/>
      <c r="WAK65" s="627"/>
      <c r="WAM65" s="627"/>
      <c r="WAO65" s="627"/>
      <c r="WAQ65" s="627"/>
      <c r="WAS65" s="627"/>
      <c r="WAU65" s="627"/>
      <c r="WAW65" s="627"/>
      <c r="WAY65" s="627"/>
      <c r="WBA65" s="627"/>
      <c r="WBC65" s="627"/>
      <c r="WBE65" s="627"/>
      <c r="WBG65" s="627"/>
      <c r="WBI65" s="627"/>
      <c r="WBK65" s="627"/>
      <c r="WBM65" s="627"/>
      <c r="WBO65" s="627"/>
      <c r="WBQ65" s="627"/>
      <c r="WBS65" s="627"/>
      <c r="WBU65" s="627"/>
      <c r="WBW65" s="627"/>
      <c r="WBY65" s="627"/>
      <c r="WCA65" s="627"/>
      <c r="WCC65" s="627"/>
      <c r="WCE65" s="627"/>
      <c r="WCG65" s="627"/>
      <c r="WCI65" s="627"/>
      <c r="WCK65" s="627"/>
      <c r="WCM65" s="627"/>
      <c r="WCO65" s="627"/>
      <c r="WCQ65" s="627"/>
      <c r="WCS65" s="627"/>
      <c r="WCU65" s="627"/>
      <c r="WCW65" s="627"/>
      <c r="WCY65" s="627"/>
      <c r="WDA65" s="627"/>
      <c r="WDC65" s="627"/>
      <c r="WDE65" s="627"/>
      <c r="WDG65" s="627"/>
      <c r="WDI65" s="627"/>
      <c r="WDK65" s="627"/>
      <c r="WDM65" s="627"/>
      <c r="WDO65" s="627"/>
      <c r="WDQ65" s="627"/>
      <c r="WDS65" s="627"/>
      <c r="WDU65" s="627"/>
      <c r="WDW65" s="627"/>
      <c r="WDY65" s="627"/>
      <c r="WEA65" s="627"/>
      <c r="WEC65" s="627"/>
      <c r="WEE65" s="627"/>
      <c r="WEG65" s="627"/>
      <c r="WEI65" s="627"/>
      <c r="WEK65" s="627"/>
      <c r="WEM65" s="627"/>
      <c r="WEO65" s="627"/>
      <c r="WEQ65" s="627"/>
      <c r="WES65" s="627"/>
      <c r="WEU65" s="627"/>
      <c r="WEW65" s="627"/>
      <c r="WEY65" s="627"/>
      <c r="WFA65" s="627"/>
      <c r="WFC65" s="627"/>
      <c r="WFE65" s="627"/>
      <c r="WFG65" s="627"/>
      <c r="WFI65" s="627"/>
      <c r="WFK65" s="627"/>
      <c r="WFM65" s="627"/>
      <c r="WFO65" s="627"/>
      <c r="WFQ65" s="627"/>
      <c r="WFS65" s="627"/>
      <c r="WFU65" s="627"/>
      <c r="WFW65" s="627"/>
      <c r="WFY65" s="627"/>
      <c r="WGA65" s="627"/>
      <c r="WGC65" s="627"/>
      <c r="WGE65" s="627"/>
      <c r="WGG65" s="627"/>
      <c r="WGI65" s="627"/>
      <c r="WGK65" s="627"/>
      <c r="WGM65" s="627"/>
      <c r="WGO65" s="627"/>
      <c r="WGQ65" s="627"/>
      <c r="WGS65" s="627"/>
      <c r="WGU65" s="627"/>
      <c r="WGW65" s="627"/>
      <c r="WGY65" s="627"/>
      <c r="WHA65" s="627"/>
      <c r="WHC65" s="627"/>
      <c r="WHE65" s="627"/>
      <c r="WHG65" s="627"/>
      <c r="WHI65" s="627"/>
      <c r="WHK65" s="627"/>
      <c r="WHM65" s="627"/>
      <c r="WHO65" s="627"/>
      <c r="WHQ65" s="627"/>
      <c r="WHS65" s="627"/>
      <c r="WHU65" s="627"/>
      <c r="WHW65" s="627"/>
      <c r="WHY65" s="627"/>
      <c r="WIA65" s="627"/>
      <c r="WIC65" s="627"/>
      <c r="WIE65" s="627"/>
      <c r="WIG65" s="627"/>
      <c r="WII65" s="627"/>
      <c r="WIK65" s="627"/>
      <c r="WIM65" s="627"/>
      <c r="WIO65" s="627"/>
      <c r="WIQ65" s="627"/>
      <c r="WIS65" s="627"/>
      <c r="WIU65" s="627"/>
      <c r="WIW65" s="627"/>
      <c r="WIY65" s="627"/>
      <c r="WJA65" s="627"/>
      <c r="WJC65" s="627"/>
      <c r="WJE65" s="627"/>
      <c r="WJG65" s="627"/>
      <c r="WJI65" s="627"/>
      <c r="WJK65" s="627"/>
      <c r="WJM65" s="627"/>
      <c r="WJO65" s="627"/>
      <c r="WJQ65" s="627"/>
      <c r="WJS65" s="627"/>
      <c r="WJU65" s="627"/>
      <c r="WJW65" s="627"/>
      <c r="WJY65" s="627"/>
      <c r="WKA65" s="627"/>
      <c r="WKC65" s="627"/>
      <c r="WKE65" s="627"/>
      <c r="WKG65" s="627"/>
      <c r="WKI65" s="627"/>
      <c r="WKK65" s="627"/>
      <c r="WKM65" s="627"/>
      <c r="WKO65" s="627"/>
      <c r="WKQ65" s="627"/>
      <c r="WKS65" s="627"/>
      <c r="WKU65" s="627"/>
      <c r="WKW65" s="627"/>
      <c r="WKY65" s="627"/>
      <c r="WLA65" s="627"/>
      <c r="WLC65" s="627"/>
      <c r="WLE65" s="627"/>
      <c r="WLG65" s="627"/>
      <c r="WLI65" s="627"/>
      <c r="WLK65" s="627"/>
      <c r="WLM65" s="627"/>
      <c r="WLO65" s="627"/>
      <c r="WLQ65" s="627"/>
      <c r="WLS65" s="627"/>
      <c r="WLU65" s="627"/>
      <c r="WLW65" s="627"/>
      <c r="WLY65" s="627"/>
      <c r="WMA65" s="627"/>
      <c r="WMC65" s="627"/>
      <c r="WME65" s="627"/>
      <c r="WMG65" s="627"/>
      <c r="WMI65" s="627"/>
      <c r="WMK65" s="627"/>
      <c r="WMM65" s="627"/>
      <c r="WMO65" s="627"/>
      <c r="WMQ65" s="627"/>
      <c r="WMS65" s="627"/>
      <c r="WMU65" s="627"/>
      <c r="WMW65" s="627"/>
      <c r="WMY65" s="627"/>
      <c r="WNA65" s="627"/>
      <c r="WNC65" s="627"/>
      <c r="WNE65" s="627"/>
      <c r="WNG65" s="627"/>
      <c r="WNI65" s="627"/>
      <c r="WNK65" s="627"/>
      <c r="WNM65" s="627"/>
      <c r="WNO65" s="627"/>
      <c r="WNQ65" s="627"/>
      <c r="WNS65" s="627"/>
      <c r="WNU65" s="627"/>
      <c r="WNW65" s="627"/>
      <c r="WNY65" s="627"/>
      <c r="WOA65" s="627"/>
      <c r="WOC65" s="627"/>
      <c r="WOE65" s="627"/>
      <c r="WOG65" s="627"/>
      <c r="WOI65" s="627"/>
      <c r="WOK65" s="627"/>
      <c r="WOM65" s="627"/>
      <c r="WOO65" s="627"/>
      <c r="WOQ65" s="627"/>
      <c r="WOS65" s="627"/>
      <c r="WOU65" s="627"/>
      <c r="WOW65" s="627"/>
      <c r="WOY65" s="627"/>
      <c r="WPA65" s="627"/>
      <c r="WPC65" s="627"/>
      <c r="WPE65" s="627"/>
      <c r="WPG65" s="627"/>
      <c r="WPI65" s="627"/>
      <c r="WPK65" s="627"/>
      <c r="WPM65" s="627"/>
      <c r="WPO65" s="627"/>
      <c r="WPQ65" s="627"/>
      <c r="WPS65" s="627"/>
      <c r="WPU65" s="627"/>
      <c r="WPW65" s="627"/>
      <c r="WPY65" s="627"/>
      <c r="WQA65" s="627"/>
      <c r="WQC65" s="627"/>
      <c r="WQE65" s="627"/>
      <c r="WQG65" s="627"/>
      <c r="WQI65" s="627"/>
      <c r="WQK65" s="627"/>
      <c r="WQM65" s="627"/>
      <c r="WQO65" s="627"/>
      <c r="WQQ65" s="627"/>
      <c r="WQS65" s="627"/>
      <c r="WQU65" s="627"/>
      <c r="WQW65" s="627"/>
      <c r="WQY65" s="627"/>
      <c r="WRA65" s="627"/>
      <c r="WRC65" s="627"/>
      <c r="WRE65" s="627"/>
      <c r="WRG65" s="627"/>
      <c r="WRI65" s="627"/>
      <c r="WRK65" s="627"/>
      <c r="WRM65" s="627"/>
      <c r="WRO65" s="627"/>
      <c r="WRQ65" s="627"/>
      <c r="WRS65" s="627"/>
      <c r="WRU65" s="627"/>
      <c r="WRW65" s="627"/>
      <c r="WRY65" s="627"/>
      <c r="WSA65" s="627"/>
      <c r="WSC65" s="627"/>
      <c r="WSE65" s="627"/>
      <c r="WSG65" s="627"/>
      <c r="WSI65" s="627"/>
      <c r="WSK65" s="627"/>
      <c r="WSM65" s="627"/>
      <c r="WSO65" s="627"/>
      <c r="WSQ65" s="627"/>
      <c r="WSS65" s="627"/>
      <c r="WSU65" s="627"/>
      <c r="WSW65" s="627"/>
      <c r="WSY65" s="627"/>
      <c r="WTA65" s="627"/>
      <c r="WTC65" s="627"/>
      <c r="WTE65" s="627"/>
      <c r="WTG65" s="627"/>
      <c r="WTI65" s="627"/>
      <c r="WTK65" s="627"/>
      <c r="WTM65" s="627"/>
      <c r="WTO65" s="627"/>
      <c r="WTQ65" s="627"/>
      <c r="WTS65" s="627"/>
      <c r="WTU65" s="627"/>
      <c r="WTW65" s="627"/>
      <c r="WTY65" s="627"/>
      <c r="WUA65" s="627"/>
      <c r="WUC65" s="627"/>
      <c r="WUE65" s="627"/>
      <c r="WUG65" s="627"/>
      <c r="WUI65" s="627"/>
      <c r="WUK65" s="627"/>
      <c r="WUM65" s="627"/>
      <c r="WUO65" s="627"/>
      <c r="WUQ65" s="627"/>
      <c r="WUS65" s="627"/>
      <c r="WUU65" s="627"/>
      <c r="WUW65" s="627"/>
      <c r="WUY65" s="627"/>
      <c r="WVA65" s="627"/>
      <c r="WVC65" s="627"/>
      <c r="WVE65" s="627"/>
      <c r="WVG65" s="627"/>
      <c r="WVI65" s="627"/>
      <c r="WVK65" s="627"/>
      <c r="WVM65" s="627"/>
      <c r="WVO65" s="627"/>
      <c r="WVQ65" s="627"/>
      <c r="WVS65" s="627"/>
      <c r="WVU65" s="627"/>
      <c r="WVW65" s="627"/>
      <c r="WVY65" s="627"/>
      <c r="WWA65" s="627"/>
      <c r="WWC65" s="627"/>
      <c r="WWE65" s="627"/>
      <c r="WWG65" s="627"/>
      <c r="WWI65" s="627"/>
      <c r="WWK65" s="627"/>
      <c r="WWM65" s="627"/>
      <c r="WWO65" s="627"/>
      <c r="WWQ65" s="627"/>
      <c r="WWS65" s="627"/>
      <c r="WWU65" s="627"/>
      <c r="WWW65" s="627"/>
      <c r="WWY65" s="627"/>
      <c r="WXA65" s="627"/>
      <c r="WXC65" s="627"/>
      <c r="WXE65" s="627"/>
      <c r="WXG65" s="627"/>
      <c r="WXI65" s="627"/>
      <c r="WXK65" s="627"/>
      <c r="WXM65" s="627"/>
      <c r="WXO65" s="627"/>
      <c r="WXQ65" s="627"/>
      <c r="WXS65" s="627"/>
      <c r="WXU65" s="627"/>
      <c r="WXW65" s="627"/>
      <c r="WXY65" s="627"/>
      <c r="WYA65" s="627"/>
      <c r="WYC65" s="627"/>
      <c r="WYE65" s="627"/>
      <c r="WYG65" s="627"/>
      <c r="WYI65" s="627"/>
      <c r="WYK65" s="627"/>
      <c r="WYM65" s="627"/>
      <c r="WYO65" s="627"/>
      <c r="WYQ65" s="627"/>
      <c r="WYS65" s="627"/>
      <c r="WYU65" s="627"/>
      <c r="WYW65" s="627"/>
      <c r="WYY65" s="627"/>
      <c r="WZA65" s="627"/>
      <c r="WZC65" s="627"/>
      <c r="WZE65" s="627"/>
      <c r="WZG65" s="627"/>
      <c r="WZI65" s="627"/>
      <c r="WZK65" s="627"/>
      <c r="WZM65" s="627"/>
      <c r="WZO65" s="627"/>
      <c r="WZQ65" s="627"/>
      <c r="WZS65" s="627"/>
      <c r="WZU65" s="627"/>
      <c r="WZW65" s="627"/>
      <c r="WZY65" s="627"/>
      <c r="XAA65" s="627"/>
      <c r="XAC65" s="627"/>
      <c r="XAE65" s="627"/>
      <c r="XAG65" s="627"/>
      <c r="XAI65" s="627"/>
      <c r="XAK65" s="627"/>
      <c r="XAM65" s="627"/>
      <c r="XAO65" s="627"/>
      <c r="XAQ65" s="627"/>
      <c r="XAS65" s="627"/>
      <c r="XAU65" s="627"/>
      <c r="XAW65" s="627"/>
      <c r="XAY65" s="627"/>
      <c r="XBA65" s="627"/>
      <c r="XBC65" s="627"/>
      <c r="XBE65" s="627"/>
      <c r="XBG65" s="627"/>
      <c r="XBI65" s="627"/>
      <c r="XBK65" s="627"/>
      <c r="XBM65" s="627"/>
      <c r="XBO65" s="627"/>
      <c r="XBQ65" s="627"/>
      <c r="XBS65" s="627"/>
      <c r="XBU65" s="627"/>
      <c r="XBW65" s="627"/>
      <c r="XBY65" s="627"/>
      <c r="XCA65" s="627"/>
      <c r="XCC65" s="627"/>
      <c r="XCE65" s="627"/>
      <c r="XCG65" s="627"/>
      <c r="XCI65" s="627"/>
      <c r="XCK65" s="627"/>
      <c r="XCM65" s="627"/>
      <c r="XCO65" s="627"/>
      <c r="XCQ65" s="627"/>
      <c r="XCS65" s="627"/>
      <c r="XCU65" s="627"/>
      <c r="XCW65" s="627"/>
      <c r="XCY65" s="627"/>
      <c r="XDA65" s="627"/>
      <c r="XDC65" s="627"/>
      <c r="XDE65" s="627"/>
      <c r="XDG65" s="627"/>
      <c r="XDI65" s="627"/>
      <c r="XDK65" s="627"/>
      <c r="XDM65" s="627"/>
      <c r="XDO65" s="627"/>
      <c r="XDQ65" s="627"/>
      <c r="XDS65" s="627"/>
      <c r="XDU65" s="627"/>
      <c r="XDW65" s="627"/>
      <c r="XDY65" s="627"/>
      <c r="XEA65" s="627"/>
      <c r="XEC65" s="627"/>
      <c r="XEE65" s="627"/>
      <c r="XEG65" s="627"/>
      <c r="XEI65" s="627"/>
      <c r="XEK65" s="627"/>
      <c r="XEM65" s="627"/>
      <c r="XEO65" s="627"/>
      <c r="XEQ65" s="627"/>
      <c r="XES65" s="627"/>
      <c r="XEU65" s="627"/>
      <c r="XEW65" s="627"/>
      <c r="XEY65" s="627"/>
      <c r="XFA65" s="627"/>
      <c r="XFC65" s="627"/>
    </row>
    <row r="66" spans="1:1023 1025:2047 2049:3071 3073:4095 4097:5119 5121:6143 6145:7167 7169:8191 8193:9215 9217:10239 10241:11263 11265:12287 12289:13311 13313:14335 14337:15359 15361:16383" s="1409" customFormat="1" ht="13">
      <c r="A66" s="1549" t="s">
        <v>2464</v>
      </c>
      <c r="B66" s="628"/>
      <c r="C66" s="1547">
        <v>4.19E-2</v>
      </c>
      <c r="D66" s="607"/>
      <c r="E66" s="627">
        <f>E$59*$C$66</f>
        <v>3.9888799999980487</v>
      </c>
      <c r="G66" s="627">
        <f t="shared" ref="G66:AG66" si="17">G$59*$C$66</f>
        <v>122.87887300000023</v>
      </c>
      <c r="I66" s="627">
        <f t="shared" si="17"/>
        <v>239.22994178499656</v>
      </c>
      <c r="K66" s="627">
        <f t="shared" si="17"/>
        <v>352.7855964582223</v>
      </c>
      <c r="M66" s="627">
        <f t="shared" si="17"/>
        <v>463.27617677378038</v>
      </c>
      <c r="O66" s="627">
        <f t="shared" si="17"/>
        <v>570.41828629408189</v>
      </c>
      <c r="Q66" s="627">
        <f t="shared" si="17"/>
        <v>673.91420411980914</v>
      </c>
      <c r="S66" s="627">
        <f t="shared" si="17"/>
        <v>773.45127334172116</v>
      </c>
      <c r="U66" s="627">
        <f t="shared" si="17"/>
        <v>868.70126533254108</v>
      </c>
      <c r="W66" s="627">
        <f t="shared" si="17"/>
        <v>959.3197189642184</v>
      </c>
      <c r="Y66" s="627">
        <f t="shared" si="17"/>
        <v>1044.9452538024061</v>
      </c>
      <c r="AA66" s="627">
        <f t="shared" si="17"/>
        <v>1125.1988562950048</v>
      </c>
      <c r="AC66" s="627">
        <f t="shared" si="17"/>
        <v>1199.6831379351565</v>
      </c>
      <c r="AE66" s="627">
        <f t="shared" si="17"/>
        <v>1267.9815643419313</v>
      </c>
      <c r="AG66" s="627">
        <f t="shared" si="17"/>
        <v>1329.6576541627376</v>
      </c>
      <c r="AI66" s="627"/>
      <c r="AK66" s="627"/>
      <c r="AM66" s="627"/>
      <c r="AO66" s="627"/>
      <c r="AQ66" s="627"/>
      <c r="AS66" s="627"/>
      <c r="AU66" s="627"/>
      <c r="AW66" s="627"/>
      <c r="AY66" s="627"/>
      <c r="BA66" s="627"/>
      <c r="BC66" s="627"/>
      <c r="BE66" s="627"/>
      <c r="BG66" s="627"/>
      <c r="BI66" s="627"/>
      <c r="BK66" s="627"/>
      <c r="BM66" s="627"/>
      <c r="BO66" s="627"/>
      <c r="BQ66" s="627"/>
      <c r="BS66" s="627"/>
      <c r="BU66" s="627"/>
      <c r="BW66" s="627"/>
      <c r="BY66" s="627"/>
      <c r="CA66" s="627"/>
      <c r="CC66" s="627"/>
      <c r="CE66" s="627"/>
      <c r="CG66" s="627"/>
      <c r="CI66" s="627"/>
      <c r="CK66" s="627"/>
      <c r="CM66" s="627"/>
      <c r="CO66" s="627"/>
      <c r="CQ66" s="627"/>
      <c r="CS66" s="627"/>
      <c r="CU66" s="627"/>
      <c r="CW66" s="627"/>
      <c r="CY66" s="627"/>
      <c r="DA66" s="627"/>
      <c r="DC66" s="627"/>
      <c r="DE66" s="627"/>
      <c r="DG66" s="627"/>
      <c r="DI66" s="627"/>
      <c r="DK66" s="627"/>
      <c r="DM66" s="627"/>
      <c r="DO66" s="627"/>
      <c r="DQ66" s="627"/>
      <c r="DS66" s="627"/>
      <c r="DU66" s="627"/>
      <c r="DW66" s="627"/>
      <c r="DY66" s="627"/>
      <c r="EA66" s="627"/>
      <c r="EC66" s="627"/>
      <c r="EE66" s="627"/>
      <c r="EG66" s="627"/>
      <c r="EI66" s="627"/>
      <c r="EK66" s="627"/>
      <c r="EM66" s="627"/>
      <c r="EO66" s="627"/>
      <c r="EQ66" s="627"/>
      <c r="ES66" s="627"/>
      <c r="EU66" s="627"/>
      <c r="EW66" s="627"/>
      <c r="EY66" s="627"/>
      <c r="FA66" s="627"/>
      <c r="FC66" s="627"/>
      <c r="FE66" s="627"/>
      <c r="FG66" s="627"/>
      <c r="FI66" s="627"/>
      <c r="FK66" s="627"/>
      <c r="FM66" s="627"/>
      <c r="FO66" s="627"/>
      <c r="FQ66" s="627"/>
      <c r="FS66" s="627"/>
      <c r="FU66" s="627"/>
      <c r="FW66" s="627"/>
      <c r="FY66" s="627"/>
      <c r="GA66" s="627"/>
      <c r="GC66" s="627"/>
      <c r="GE66" s="627"/>
      <c r="GG66" s="627"/>
      <c r="GI66" s="627"/>
      <c r="GK66" s="627"/>
      <c r="GM66" s="627"/>
      <c r="GO66" s="627"/>
      <c r="GQ66" s="627"/>
      <c r="GS66" s="627"/>
      <c r="GU66" s="627"/>
      <c r="GW66" s="627"/>
      <c r="GY66" s="627"/>
      <c r="HA66" s="627"/>
      <c r="HC66" s="627"/>
      <c r="HE66" s="627"/>
      <c r="HG66" s="627"/>
      <c r="HI66" s="627"/>
      <c r="HK66" s="627"/>
      <c r="HM66" s="627"/>
      <c r="HO66" s="627"/>
      <c r="HQ66" s="627"/>
      <c r="HS66" s="627"/>
      <c r="HU66" s="627"/>
      <c r="HW66" s="627"/>
      <c r="HY66" s="627"/>
      <c r="IA66" s="627"/>
      <c r="IC66" s="627"/>
      <c r="IE66" s="627"/>
      <c r="IG66" s="627"/>
      <c r="II66" s="627"/>
      <c r="IK66" s="627"/>
      <c r="IM66" s="627"/>
      <c r="IO66" s="627"/>
      <c r="IQ66" s="627"/>
      <c r="IS66" s="627"/>
      <c r="IU66" s="627"/>
      <c r="IW66" s="627"/>
      <c r="IY66" s="627"/>
      <c r="JA66" s="627"/>
      <c r="JC66" s="627"/>
      <c r="JE66" s="627"/>
      <c r="JG66" s="627"/>
      <c r="JI66" s="627"/>
      <c r="JK66" s="627"/>
      <c r="JM66" s="627"/>
      <c r="JO66" s="627"/>
      <c r="JQ66" s="627"/>
      <c r="JS66" s="627"/>
      <c r="JU66" s="627"/>
      <c r="JW66" s="627"/>
      <c r="JY66" s="627"/>
      <c r="KA66" s="627"/>
      <c r="KC66" s="627"/>
      <c r="KE66" s="627"/>
      <c r="KG66" s="627"/>
      <c r="KI66" s="627"/>
      <c r="KK66" s="627"/>
      <c r="KM66" s="627"/>
      <c r="KO66" s="627"/>
      <c r="KQ66" s="627"/>
      <c r="KS66" s="627"/>
      <c r="KU66" s="627"/>
      <c r="KW66" s="627"/>
      <c r="KY66" s="627"/>
      <c r="LA66" s="627"/>
      <c r="LC66" s="627"/>
      <c r="LE66" s="627"/>
      <c r="LG66" s="627"/>
      <c r="LI66" s="627"/>
      <c r="LK66" s="627"/>
      <c r="LM66" s="627"/>
      <c r="LO66" s="627"/>
      <c r="LQ66" s="627"/>
      <c r="LS66" s="627"/>
      <c r="LU66" s="627"/>
      <c r="LW66" s="627"/>
      <c r="LY66" s="627"/>
      <c r="MA66" s="627"/>
      <c r="MC66" s="627"/>
      <c r="ME66" s="627"/>
      <c r="MG66" s="627"/>
      <c r="MI66" s="627"/>
      <c r="MK66" s="627"/>
      <c r="MM66" s="627"/>
      <c r="MO66" s="627"/>
      <c r="MQ66" s="627"/>
      <c r="MS66" s="627"/>
      <c r="MU66" s="627"/>
      <c r="MW66" s="627"/>
      <c r="MY66" s="627"/>
      <c r="NA66" s="627"/>
      <c r="NC66" s="627"/>
      <c r="NE66" s="627"/>
      <c r="NG66" s="627"/>
      <c r="NI66" s="627"/>
      <c r="NK66" s="627"/>
      <c r="NM66" s="627"/>
      <c r="NO66" s="627"/>
      <c r="NQ66" s="627"/>
      <c r="NS66" s="627"/>
      <c r="NU66" s="627"/>
      <c r="NW66" s="627"/>
      <c r="NY66" s="627"/>
      <c r="OA66" s="627"/>
      <c r="OC66" s="627"/>
      <c r="OE66" s="627"/>
      <c r="OG66" s="627"/>
      <c r="OI66" s="627"/>
      <c r="OK66" s="627"/>
      <c r="OM66" s="627"/>
      <c r="OO66" s="627"/>
      <c r="OQ66" s="627"/>
      <c r="OS66" s="627"/>
      <c r="OU66" s="627"/>
      <c r="OW66" s="627"/>
      <c r="OY66" s="627"/>
      <c r="PA66" s="627"/>
      <c r="PC66" s="627"/>
      <c r="PE66" s="627"/>
      <c r="PG66" s="627"/>
      <c r="PI66" s="627"/>
      <c r="PK66" s="627"/>
      <c r="PM66" s="627"/>
      <c r="PO66" s="627"/>
      <c r="PQ66" s="627"/>
      <c r="PS66" s="627"/>
      <c r="PU66" s="627"/>
      <c r="PW66" s="627"/>
      <c r="PY66" s="627"/>
      <c r="QA66" s="627"/>
      <c r="QC66" s="627"/>
      <c r="QE66" s="627"/>
      <c r="QG66" s="627"/>
      <c r="QI66" s="627"/>
      <c r="QK66" s="627"/>
      <c r="QM66" s="627"/>
      <c r="QO66" s="627"/>
      <c r="QQ66" s="627"/>
      <c r="QS66" s="627"/>
      <c r="QU66" s="627"/>
      <c r="QW66" s="627"/>
      <c r="QY66" s="627"/>
      <c r="RA66" s="627"/>
      <c r="RC66" s="627"/>
      <c r="RE66" s="627"/>
      <c r="RG66" s="627"/>
      <c r="RI66" s="627"/>
      <c r="RK66" s="627"/>
      <c r="RM66" s="627"/>
      <c r="RO66" s="627"/>
      <c r="RQ66" s="627"/>
      <c r="RS66" s="627"/>
      <c r="RU66" s="627"/>
      <c r="RW66" s="627"/>
      <c r="RY66" s="627"/>
      <c r="SA66" s="627"/>
      <c r="SC66" s="627"/>
      <c r="SE66" s="627"/>
      <c r="SG66" s="627"/>
      <c r="SI66" s="627"/>
      <c r="SK66" s="627"/>
      <c r="SM66" s="627"/>
      <c r="SO66" s="627"/>
      <c r="SQ66" s="627"/>
      <c r="SS66" s="627"/>
      <c r="SU66" s="627"/>
      <c r="SW66" s="627"/>
      <c r="SY66" s="627"/>
      <c r="TA66" s="627"/>
      <c r="TC66" s="627"/>
      <c r="TE66" s="627"/>
      <c r="TG66" s="627"/>
      <c r="TI66" s="627"/>
      <c r="TK66" s="627"/>
      <c r="TM66" s="627"/>
      <c r="TO66" s="627"/>
      <c r="TQ66" s="627"/>
      <c r="TS66" s="627"/>
      <c r="TU66" s="627"/>
      <c r="TW66" s="627"/>
      <c r="TY66" s="627"/>
      <c r="UA66" s="627"/>
      <c r="UC66" s="627"/>
      <c r="UE66" s="627"/>
      <c r="UG66" s="627"/>
      <c r="UI66" s="627"/>
      <c r="UK66" s="627"/>
      <c r="UM66" s="627"/>
      <c r="UO66" s="627"/>
      <c r="UQ66" s="627"/>
      <c r="US66" s="627"/>
      <c r="UU66" s="627"/>
      <c r="UW66" s="627"/>
      <c r="UY66" s="627"/>
      <c r="VA66" s="627"/>
      <c r="VC66" s="627"/>
      <c r="VE66" s="627"/>
      <c r="VG66" s="627"/>
      <c r="VI66" s="627"/>
      <c r="VK66" s="627"/>
      <c r="VM66" s="627"/>
      <c r="VO66" s="627"/>
      <c r="VQ66" s="627"/>
      <c r="VS66" s="627"/>
      <c r="VU66" s="627"/>
      <c r="VW66" s="627"/>
      <c r="VY66" s="627"/>
      <c r="WA66" s="627"/>
      <c r="WC66" s="627"/>
      <c r="WE66" s="627"/>
      <c r="WG66" s="627"/>
      <c r="WI66" s="627"/>
      <c r="WK66" s="627"/>
      <c r="WM66" s="627"/>
      <c r="WO66" s="627"/>
      <c r="WQ66" s="627"/>
      <c r="WS66" s="627"/>
      <c r="WU66" s="627"/>
      <c r="WW66" s="627"/>
      <c r="WY66" s="627"/>
      <c r="XA66" s="627"/>
      <c r="XC66" s="627"/>
      <c r="XE66" s="627"/>
      <c r="XG66" s="627"/>
      <c r="XI66" s="627"/>
      <c r="XK66" s="627"/>
      <c r="XM66" s="627"/>
      <c r="XO66" s="627"/>
      <c r="XQ66" s="627"/>
      <c r="XS66" s="627"/>
      <c r="XU66" s="627"/>
      <c r="XW66" s="627"/>
      <c r="XY66" s="627"/>
      <c r="YA66" s="627"/>
      <c r="YC66" s="627"/>
      <c r="YE66" s="627"/>
      <c r="YG66" s="627"/>
      <c r="YI66" s="627"/>
      <c r="YK66" s="627"/>
      <c r="YM66" s="627"/>
      <c r="YO66" s="627"/>
      <c r="YQ66" s="627"/>
      <c r="YS66" s="627"/>
      <c r="YU66" s="627"/>
      <c r="YW66" s="627"/>
      <c r="YY66" s="627"/>
      <c r="ZA66" s="627"/>
      <c r="ZC66" s="627"/>
      <c r="ZE66" s="627"/>
      <c r="ZG66" s="627"/>
      <c r="ZI66" s="627"/>
      <c r="ZK66" s="627"/>
      <c r="ZM66" s="627"/>
      <c r="ZO66" s="627"/>
      <c r="ZQ66" s="627"/>
      <c r="ZS66" s="627"/>
      <c r="ZU66" s="627"/>
      <c r="ZW66" s="627"/>
      <c r="ZY66" s="627"/>
      <c r="AAA66" s="627"/>
      <c r="AAC66" s="627"/>
      <c r="AAE66" s="627"/>
      <c r="AAG66" s="627"/>
      <c r="AAI66" s="627"/>
      <c r="AAK66" s="627"/>
      <c r="AAM66" s="627"/>
      <c r="AAO66" s="627"/>
      <c r="AAQ66" s="627"/>
      <c r="AAS66" s="627"/>
      <c r="AAU66" s="627"/>
      <c r="AAW66" s="627"/>
      <c r="AAY66" s="627"/>
      <c r="ABA66" s="627"/>
      <c r="ABC66" s="627"/>
      <c r="ABE66" s="627"/>
      <c r="ABG66" s="627"/>
      <c r="ABI66" s="627"/>
      <c r="ABK66" s="627"/>
      <c r="ABM66" s="627"/>
      <c r="ABO66" s="627"/>
      <c r="ABQ66" s="627"/>
      <c r="ABS66" s="627"/>
      <c r="ABU66" s="627"/>
      <c r="ABW66" s="627"/>
      <c r="ABY66" s="627"/>
      <c r="ACA66" s="627"/>
      <c r="ACC66" s="627"/>
      <c r="ACE66" s="627"/>
      <c r="ACG66" s="627"/>
      <c r="ACI66" s="627"/>
      <c r="ACK66" s="627"/>
      <c r="ACM66" s="627"/>
      <c r="ACO66" s="627"/>
      <c r="ACQ66" s="627"/>
      <c r="ACS66" s="627"/>
      <c r="ACU66" s="627"/>
      <c r="ACW66" s="627"/>
      <c r="ACY66" s="627"/>
      <c r="ADA66" s="627"/>
      <c r="ADC66" s="627"/>
      <c r="ADE66" s="627"/>
      <c r="ADG66" s="627"/>
      <c r="ADI66" s="627"/>
      <c r="ADK66" s="627"/>
      <c r="ADM66" s="627"/>
      <c r="ADO66" s="627"/>
      <c r="ADQ66" s="627"/>
      <c r="ADS66" s="627"/>
      <c r="ADU66" s="627"/>
      <c r="ADW66" s="627"/>
      <c r="ADY66" s="627"/>
      <c r="AEA66" s="627"/>
      <c r="AEC66" s="627"/>
      <c r="AEE66" s="627"/>
      <c r="AEG66" s="627"/>
      <c r="AEI66" s="627"/>
      <c r="AEK66" s="627"/>
      <c r="AEM66" s="627"/>
      <c r="AEO66" s="627"/>
      <c r="AEQ66" s="627"/>
      <c r="AES66" s="627"/>
      <c r="AEU66" s="627"/>
      <c r="AEW66" s="627"/>
      <c r="AEY66" s="627"/>
      <c r="AFA66" s="627"/>
      <c r="AFC66" s="627"/>
      <c r="AFE66" s="627"/>
      <c r="AFG66" s="627"/>
      <c r="AFI66" s="627"/>
      <c r="AFK66" s="627"/>
      <c r="AFM66" s="627"/>
      <c r="AFO66" s="627"/>
      <c r="AFQ66" s="627"/>
      <c r="AFS66" s="627"/>
      <c r="AFU66" s="627"/>
      <c r="AFW66" s="627"/>
      <c r="AFY66" s="627"/>
      <c r="AGA66" s="627"/>
      <c r="AGC66" s="627"/>
      <c r="AGE66" s="627"/>
      <c r="AGG66" s="627"/>
      <c r="AGI66" s="627"/>
      <c r="AGK66" s="627"/>
      <c r="AGM66" s="627"/>
      <c r="AGO66" s="627"/>
      <c r="AGQ66" s="627"/>
      <c r="AGS66" s="627"/>
      <c r="AGU66" s="627"/>
      <c r="AGW66" s="627"/>
      <c r="AGY66" s="627"/>
      <c r="AHA66" s="627"/>
      <c r="AHC66" s="627"/>
      <c r="AHE66" s="627"/>
      <c r="AHG66" s="627"/>
      <c r="AHI66" s="627"/>
      <c r="AHK66" s="627"/>
      <c r="AHM66" s="627"/>
      <c r="AHO66" s="627"/>
      <c r="AHQ66" s="627"/>
      <c r="AHS66" s="627"/>
      <c r="AHU66" s="627"/>
      <c r="AHW66" s="627"/>
      <c r="AHY66" s="627"/>
      <c r="AIA66" s="627"/>
      <c r="AIC66" s="627"/>
      <c r="AIE66" s="627"/>
      <c r="AIG66" s="627"/>
      <c r="AII66" s="627"/>
      <c r="AIK66" s="627"/>
      <c r="AIM66" s="627"/>
      <c r="AIO66" s="627"/>
      <c r="AIQ66" s="627"/>
      <c r="AIS66" s="627"/>
      <c r="AIU66" s="627"/>
      <c r="AIW66" s="627"/>
      <c r="AIY66" s="627"/>
      <c r="AJA66" s="627"/>
      <c r="AJC66" s="627"/>
      <c r="AJE66" s="627"/>
      <c r="AJG66" s="627"/>
      <c r="AJI66" s="627"/>
      <c r="AJK66" s="627"/>
      <c r="AJM66" s="627"/>
      <c r="AJO66" s="627"/>
      <c r="AJQ66" s="627"/>
      <c r="AJS66" s="627"/>
      <c r="AJU66" s="627"/>
      <c r="AJW66" s="627"/>
      <c r="AJY66" s="627"/>
      <c r="AKA66" s="627"/>
      <c r="AKC66" s="627"/>
      <c r="AKE66" s="627"/>
      <c r="AKG66" s="627"/>
      <c r="AKI66" s="627"/>
      <c r="AKK66" s="627"/>
      <c r="AKM66" s="627"/>
      <c r="AKO66" s="627"/>
      <c r="AKQ66" s="627"/>
      <c r="AKS66" s="627"/>
      <c r="AKU66" s="627"/>
      <c r="AKW66" s="627"/>
      <c r="AKY66" s="627"/>
      <c r="ALA66" s="627"/>
      <c r="ALC66" s="627"/>
      <c r="ALE66" s="627"/>
      <c r="ALG66" s="627"/>
      <c r="ALI66" s="627"/>
      <c r="ALK66" s="627"/>
      <c r="ALM66" s="627"/>
      <c r="ALO66" s="627"/>
      <c r="ALQ66" s="627"/>
      <c r="ALS66" s="627"/>
      <c r="ALU66" s="627"/>
      <c r="ALW66" s="627"/>
      <c r="ALY66" s="627"/>
      <c r="AMA66" s="627"/>
      <c r="AMC66" s="627"/>
      <c r="AME66" s="627"/>
      <c r="AMG66" s="627"/>
      <c r="AMI66" s="627"/>
      <c r="AMK66" s="627"/>
      <c r="AMM66" s="627"/>
      <c r="AMO66" s="627"/>
      <c r="AMQ66" s="627"/>
      <c r="AMS66" s="627"/>
      <c r="AMU66" s="627"/>
      <c r="AMW66" s="627"/>
      <c r="AMY66" s="627"/>
      <c r="ANA66" s="627"/>
      <c r="ANC66" s="627"/>
      <c r="ANE66" s="627"/>
      <c r="ANG66" s="627"/>
      <c r="ANI66" s="627"/>
      <c r="ANK66" s="627"/>
      <c r="ANM66" s="627"/>
      <c r="ANO66" s="627"/>
      <c r="ANQ66" s="627"/>
      <c r="ANS66" s="627"/>
      <c r="ANU66" s="627"/>
      <c r="ANW66" s="627"/>
      <c r="ANY66" s="627"/>
      <c r="AOA66" s="627"/>
      <c r="AOC66" s="627"/>
      <c r="AOE66" s="627"/>
      <c r="AOG66" s="627"/>
      <c r="AOI66" s="627"/>
      <c r="AOK66" s="627"/>
      <c r="AOM66" s="627"/>
      <c r="AOO66" s="627"/>
      <c r="AOQ66" s="627"/>
      <c r="AOS66" s="627"/>
      <c r="AOU66" s="627"/>
      <c r="AOW66" s="627"/>
      <c r="AOY66" s="627"/>
      <c r="APA66" s="627"/>
      <c r="APC66" s="627"/>
      <c r="APE66" s="627"/>
      <c r="APG66" s="627"/>
      <c r="API66" s="627"/>
      <c r="APK66" s="627"/>
      <c r="APM66" s="627"/>
      <c r="APO66" s="627"/>
      <c r="APQ66" s="627"/>
      <c r="APS66" s="627"/>
      <c r="APU66" s="627"/>
      <c r="APW66" s="627"/>
      <c r="APY66" s="627"/>
      <c r="AQA66" s="627"/>
      <c r="AQC66" s="627"/>
      <c r="AQE66" s="627"/>
      <c r="AQG66" s="627"/>
      <c r="AQI66" s="627"/>
      <c r="AQK66" s="627"/>
      <c r="AQM66" s="627"/>
      <c r="AQO66" s="627"/>
      <c r="AQQ66" s="627"/>
      <c r="AQS66" s="627"/>
      <c r="AQU66" s="627"/>
      <c r="AQW66" s="627"/>
      <c r="AQY66" s="627"/>
      <c r="ARA66" s="627"/>
      <c r="ARC66" s="627"/>
      <c r="ARE66" s="627"/>
      <c r="ARG66" s="627"/>
      <c r="ARI66" s="627"/>
      <c r="ARK66" s="627"/>
      <c r="ARM66" s="627"/>
      <c r="ARO66" s="627"/>
      <c r="ARQ66" s="627"/>
      <c r="ARS66" s="627"/>
      <c r="ARU66" s="627"/>
      <c r="ARW66" s="627"/>
      <c r="ARY66" s="627"/>
      <c r="ASA66" s="627"/>
      <c r="ASC66" s="627"/>
      <c r="ASE66" s="627"/>
      <c r="ASG66" s="627"/>
      <c r="ASI66" s="627"/>
      <c r="ASK66" s="627"/>
      <c r="ASM66" s="627"/>
      <c r="ASO66" s="627"/>
      <c r="ASQ66" s="627"/>
      <c r="ASS66" s="627"/>
      <c r="ASU66" s="627"/>
      <c r="ASW66" s="627"/>
      <c r="ASY66" s="627"/>
      <c r="ATA66" s="627"/>
      <c r="ATC66" s="627"/>
      <c r="ATE66" s="627"/>
      <c r="ATG66" s="627"/>
      <c r="ATI66" s="627"/>
      <c r="ATK66" s="627"/>
      <c r="ATM66" s="627"/>
      <c r="ATO66" s="627"/>
      <c r="ATQ66" s="627"/>
      <c r="ATS66" s="627"/>
      <c r="ATU66" s="627"/>
      <c r="ATW66" s="627"/>
      <c r="ATY66" s="627"/>
      <c r="AUA66" s="627"/>
      <c r="AUC66" s="627"/>
      <c r="AUE66" s="627"/>
      <c r="AUG66" s="627"/>
      <c r="AUI66" s="627"/>
      <c r="AUK66" s="627"/>
      <c r="AUM66" s="627"/>
      <c r="AUO66" s="627"/>
      <c r="AUQ66" s="627"/>
      <c r="AUS66" s="627"/>
      <c r="AUU66" s="627"/>
      <c r="AUW66" s="627"/>
      <c r="AUY66" s="627"/>
      <c r="AVA66" s="627"/>
      <c r="AVC66" s="627"/>
      <c r="AVE66" s="627"/>
      <c r="AVG66" s="627"/>
      <c r="AVI66" s="627"/>
      <c r="AVK66" s="627"/>
      <c r="AVM66" s="627"/>
      <c r="AVO66" s="627"/>
      <c r="AVQ66" s="627"/>
      <c r="AVS66" s="627"/>
      <c r="AVU66" s="627"/>
      <c r="AVW66" s="627"/>
      <c r="AVY66" s="627"/>
      <c r="AWA66" s="627"/>
      <c r="AWC66" s="627"/>
      <c r="AWE66" s="627"/>
      <c r="AWG66" s="627"/>
      <c r="AWI66" s="627"/>
      <c r="AWK66" s="627"/>
      <c r="AWM66" s="627"/>
      <c r="AWO66" s="627"/>
      <c r="AWQ66" s="627"/>
      <c r="AWS66" s="627"/>
      <c r="AWU66" s="627"/>
      <c r="AWW66" s="627"/>
      <c r="AWY66" s="627"/>
      <c r="AXA66" s="627"/>
      <c r="AXC66" s="627"/>
      <c r="AXE66" s="627"/>
      <c r="AXG66" s="627"/>
      <c r="AXI66" s="627"/>
      <c r="AXK66" s="627"/>
      <c r="AXM66" s="627"/>
      <c r="AXO66" s="627"/>
      <c r="AXQ66" s="627"/>
      <c r="AXS66" s="627"/>
      <c r="AXU66" s="627"/>
      <c r="AXW66" s="627"/>
      <c r="AXY66" s="627"/>
      <c r="AYA66" s="627"/>
      <c r="AYC66" s="627"/>
      <c r="AYE66" s="627"/>
      <c r="AYG66" s="627"/>
      <c r="AYI66" s="627"/>
      <c r="AYK66" s="627"/>
      <c r="AYM66" s="627"/>
      <c r="AYO66" s="627"/>
      <c r="AYQ66" s="627"/>
      <c r="AYS66" s="627"/>
      <c r="AYU66" s="627"/>
      <c r="AYW66" s="627"/>
      <c r="AYY66" s="627"/>
      <c r="AZA66" s="627"/>
      <c r="AZC66" s="627"/>
      <c r="AZE66" s="627"/>
      <c r="AZG66" s="627"/>
      <c r="AZI66" s="627"/>
      <c r="AZK66" s="627"/>
      <c r="AZM66" s="627"/>
      <c r="AZO66" s="627"/>
      <c r="AZQ66" s="627"/>
      <c r="AZS66" s="627"/>
      <c r="AZU66" s="627"/>
      <c r="AZW66" s="627"/>
      <c r="AZY66" s="627"/>
      <c r="BAA66" s="627"/>
      <c r="BAC66" s="627"/>
      <c r="BAE66" s="627"/>
      <c r="BAG66" s="627"/>
      <c r="BAI66" s="627"/>
      <c r="BAK66" s="627"/>
      <c r="BAM66" s="627"/>
      <c r="BAO66" s="627"/>
      <c r="BAQ66" s="627"/>
      <c r="BAS66" s="627"/>
      <c r="BAU66" s="627"/>
      <c r="BAW66" s="627"/>
      <c r="BAY66" s="627"/>
      <c r="BBA66" s="627"/>
      <c r="BBC66" s="627"/>
      <c r="BBE66" s="627"/>
      <c r="BBG66" s="627"/>
      <c r="BBI66" s="627"/>
      <c r="BBK66" s="627"/>
      <c r="BBM66" s="627"/>
      <c r="BBO66" s="627"/>
      <c r="BBQ66" s="627"/>
      <c r="BBS66" s="627"/>
      <c r="BBU66" s="627"/>
      <c r="BBW66" s="627"/>
      <c r="BBY66" s="627"/>
      <c r="BCA66" s="627"/>
      <c r="BCC66" s="627"/>
      <c r="BCE66" s="627"/>
      <c r="BCG66" s="627"/>
      <c r="BCI66" s="627"/>
      <c r="BCK66" s="627"/>
      <c r="BCM66" s="627"/>
      <c r="BCO66" s="627"/>
      <c r="BCQ66" s="627"/>
      <c r="BCS66" s="627"/>
      <c r="BCU66" s="627"/>
      <c r="BCW66" s="627"/>
      <c r="BCY66" s="627"/>
      <c r="BDA66" s="627"/>
      <c r="BDC66" s="627"/>
      <c r="BDE66" s="627"/>
      <c r="BDG66" s="627"/>
      <c r="BDI66" s="627"/>
      <c r="BDK66" s="627"/>
      <c r="BDM66" s="627"/>
      <c r="BDO66" s="627"/>
      <c r="BDQ66" s="627"/>
      <c r="BDS66" s="627"/>
      <c r="BDU66" s="627"/>
      <c r="BDW66" s="627"/>
      <c r="BDY66" s="627"/>
      <c r="BEA66" s="627"/>
      <c r="BEC66" s="627"/>
      <c r="BEE66" s="627"/>
      <c r="BEG66" s="627"/>
      <c r="BEI66" s="627"/>
      <c r="BEK66" s="627"/>
      <c r="BEM66" s="627"/>
      <c r="BEO66" s="627"/>
      <c r="BEQ66" s="627"/>
      <c r="BES66" s="627"/>
      <c r="BEU66" s="627"/>
      <c r="BEW66" s="627"/>
      <c r="BEY66" s="627"/>
      <c r="BFA66" s="627"/>
      <c r="BFC66" s="627"/>
      <c r="BFE66" s="627"/>
      <c r="BFG66" s="627"/>
      <c r="BFI66" s="627"/>
      <c r="BFK66" s="627"/>
      <c r="BFM66" s="627"/>
      <c r="BFO66" s="627"/>
      <c r="BFQ66" s="627"/>
      <c r="BFS66" s="627"/>
      <c r="BFU66" s="627"/>
      <c r="BFW66" s="627"/>
      <c r="BFY66" s="627"/>
      <c r="BGA66" s="627"/>
      <c r="BGC66" s="627"/>
      <c r="BGE66" s="627"/>
      <c r="BGG66" s="627"/>
      <c r="BGI66" s="627"/>
      <c r="BGK66" s="627"/>
      <c r="BGM66" s="627"/>
      <c r="BGO66" s="627"/>
      <c r="BGQ66" s="627"/>
      <c r="BGS66" s="627"/>
      <c r="BGU66" s="627"/>
      <c r="BGW66" s="627"/>
      <c r="BGY66" s="627"/>
      <c r="BHA66" s="627"/>
      <c r="BHC66" s="627"/>
      <c r="BHE66" s="627"/>
      <c r="BHG66" s="627"/>
      <c r="BHI66" s="627"/>
      <c r="BHK66" s="627"/>
      <c r="BHM66" s="627"/>
      <c r="BHO66" s="627"/>
      <c r="BHQ66" s="627"/>
      <c r="BHS66" s="627"/>
      <c r="BHU66" s="627"/>
      <c r="BHW66" s="627"/>
      <c r="BHY66" s="627"/>
      <c r="BIA66" s="627"/>
      <c r="BIC66" s="627"/>
      <c r="BIE66" s="627"/>
      <c r="BIG66" s="627"/>
      <c r="BII66" s="627"/>
      <c r="BIK66" s="627"/>
      <c r="BIM66" s="627"/>
      <c r="BIO66" s="627"/>
      <c r="BIQ66" s="627"/>
      <c r="BIS66" s="627"/>
      <c r="BIU66" s="627"/>
      <c r="BIW66" s="627"/>
      <c r="BIY66" s="627"/>
      <c r="BJA66" s="627"/>
      <c r="BJC66" s="627"/>
      <c r="BJE66" s="627"/>
      <c r="BJG66" s="627"/>
      <c r="BJI66" s="627"/>
      <c r="BJK66" s="627"/>
      <c r="BJM66" s="627"/>
      <c r="BJO66" s="627"/>
      <c r="BJQ66" s="627"/>
      <c r="BJS66" s="627"/>
      <c r="BJU66" s="627"/>
      <c r="BJW66" s="627"/>
      <c r="BJY66" s="627"/>
      <c r="BKA66" s="627"/>
      <c r="BKC66" s="627"/>
      <c r="BKE66" s="627"/>
      <c r="BKG66" s="627"/>
      <c r="BKI66" s="627"/>
      <c r="BKK66" s="627"/>
      <c r="BKM66" s="627"/>
      <c r="BKO66" s="627"/>
      <c r="BKQ66" s="627"/>
      <c r="BKS66" s="627"/>
      <c r="BKU66" s="627"/>
      <c r="BKW66" s="627"/>
      <c r="BKY66" s="627"/>
      <c r="BLA66" s="627"/>
      <c r="BLC66" s="627"/>
      <c r="BLE66" s="627"/>
      <c r="BLG66" s="627"/>
      <c r="BLI66" s="627"/>
      <c r="BLK66" s="627"/>
      <c r="BLM66" s="627"/>
      <c r="BLO66" s="627"/>
      <c r="BLQ66" s="627"/>
      <c r="BLS66" s="627"/>
      <c r="BLU66" s="627"/>
      <c r="BLW66" s="627"/>
      <c r="BLY66" s="627"/>
      <c r="BMA66" s="627"/>
      <c r="BMC66" s="627"/>
      <c r="BME66" s="627"/>
      <c r="BMG66" s="627"/>
      <c r="BMI66" s="627"/>
      <c r="BMK66" s="627"/>
      <c r="BMM66" s="627"/>
      <c r="BMO66" s="627"/>
      <c r="BMQ66" s="627"/>
      <c r="BMS66" s="627"/>
      <c r="BMU66" s="627"/>
      <c r="BMW66" s="627"/>
      <c r="BMY66" s="627"/>
      <c r="BNA66" s="627"/>
      <c r="BNC66" s="627"/>
      <c r="BNE66" s="627"/>
      <c r="BNG66" s="627"/>
      <c r="BNI66" s="627"/>
      <c r="BNK66" s="627"/>
      <c r="BNM66" s="627"/>
      <c r="BNO66" s="627"/>
      <c r="BNQ66" s="627"/>
      <c r="BNS66" s="627"/>
      <c r="BNU66" s="627"/>
      <c r="BNW66" s="627"/>
      <c r="BNY66" s="627"/>
      <c r="BOA66" s="627"/>
      <c r="BOC66" s="627"/>
      <c r="BOE66" s="627"/>
      <c r="BOG66" s="627"/>
      <c r="BOI66" s="627"/>
      <c r="BOK66" s="627"/>
      <c r="BOM66" s="627"/>
      <c r="BOO66" s="627"/>
      <c r="BOQ66" s="627"/>
      <c r="BOS66" s="627"/>
      <c r="BOU66" s="627"/>
      <c r="BOW66" s="627"/>
      <c r="BOY66" s="627"/>
      <c r="BPA66" s="627"/>
      <c r="BPC66" s="627"/>
      <c r="BPE66" s="627"/>
      <c r="BPG66" s="627"/>
      <c r="BPI66" s="627"/>
      <c r="BPK66" s="627"/>
      <c r="BPM66" s="627"/>
      <c r="BPO66" s="627"/>
      <c r="BPQ66" s="627"/>
      <c r="BPS66" s="627"/>
      <c r="BPU66" s="627"/>
      <c r="BPW66" s="627"/>
      <c r="BPY66" s="627"/>
      <c r="BQA66" s="627"/>
      <c r="BQC66" s="627"/>
      <c r="BQE66" s="627"/>
      <c r="BQG66" s="627"/>
      <c r="BQI66" s="627"/>
      <c r="BQK66" s="627"/>
      <c r="BQM66" s="627"/>
      <c r="BQO66" s="627"/>
      <c r="BQQ66" s="627"/>
      <c r="BQS66" s="627"/>
      <c r="BQU66" s="627"/>
      <c r="BQW66" s="627"/>
      <c r="BQY66" s="627"/>
      <c r="BRA66" s="627"/>
      <c r="BRC66" s="627"/>
      <c r="BRE66" s="627"/>
      <c r="BRG66" s="627"/>
      <c r="BRI66" s="627"/>
      <c r="BRK66" s="627"/>
      <c r="BRM66" s="627"/>
      <c r="BRO66" s="627"/>
      <c r="BRQ66" s="627"/>
      <c r="BRS66" s="627"/>
      <c r="BRU66" s="627"/>
      <c r="BRW66" s="627"/>
      <c r="BRY66" s="627"/>
      <c r="BSA66" s="627"/>
      <c r="BSC66" s="627"/>
      <c r="BSE66" s="627"/>
      <c r="BSG66" s="627"/>
      <c r="BSI66" s="627"/>
      <c r="BSK66" s="627"/>
      <c r="BSM66" s="627"/>
      <c r="BSO66" s="627"/>
      <c r="BSQ66" s="627"/>
      <c r="BSS66" s="627"/>
      <c r="BSU66" s="627"/>
      <c r="BSW66" s="627"/>
      <c r="BSY66" s="627"/>
      <c r="BTA66" s="627"/>
      <c r="BTC66" s="627"/>
      <c r="BTE66" s="627"/>
      <c r="BTG66" s="627"/>
      <c r="BTI66" s="627"/>
      <c r="BTK66" s="627"/>
      <c r="BTM66" s="627"/>
      <c r="BTO66" s="627"/>
      <c r="BTQ66" s="627"/>
      <c r="BTS66" s="627"/>
      <c r="BTU66" s="627"/>
      <c r="BTW66" s="627"/>
      <c r="BTY66" s="627"/>
      <c r="BUA66" s="627"/>
      <c r="BUC66" s="627"/>
      <c r="BUE66" s="627"/>
      <c r="BUG66" s="627"/>
      <c r="BUI66" s="627"/>
      <c r="BUK66" s="627"/>
      <c r="BUM66" s="627"/>
      <c r="BUO66" s="627"/>
      <c r="BUQ66" s="627"/>
      <c r="BUS66" s="627"/>
      <c r="BUU66" s="627"/>
      <c r="BUW66" s="627"/>
      <c r="BUY66" s="627"/>
      <c r="BVA66" s="627"/>
      <c r="BVC66" s="627"/>
      <c r="BVE66" s="627"/>
      <c r="BVG66" s="627"/>
      <c r="BVI66" s="627"/>
      <c r="BVK66" s="627"/>
      <c r="BVM66" s="627"/>
      <c r="BVO66" s="627"/>
      <c r="BVQ66" s="627"/>
      <c r="BVS66" s="627"/>
      <c r="BVU66" s="627"/>
      <c r="BVW66" s="627"/>
      <c r="BVY66" s="627"/>
      <c r="BWA66" s="627"/>
      <c r="BWC66" s="627"/>
      <c r="BWE66" s="627"/>
      <c r="BWG66" s="627"/>
      <c r="BWI66" s="627"/>
      <c r="BWK66" s="627"/>
      <c r="BWM66" s="627"/>
      <c r="BWO66" s="627"/>
      <c r="BWQ66" s="627"/>
      <c r="BWS66" s="627"/>
      <c r="BWU66" s="627"/>
      <c r="BWW66" s="627"/>
      <c r="BWY66" s="627"/>
      <c r="BXA66" s="627"/>
      <c r="BXC66" s="627"/>
      <c r="BXE66" s="627"/>
      <c r="BXG66" s="627"/>
      <c r="BXI66" s="627"/>
      <c r="BXK66" s="627"/>
      <c r="BXM66" s="627"/>
      <c r="BXO66" s="627"/>
      <c r="BXQ66" s="627"/>
      <c r="BXS66" s="627"/>
      <c r="BXU66" s="627"/>
      <c r="BXW66" s="627"/>
      <c r="BXY66" s="627"/>
      <c r="BYA66" s="627"/>
      <c r="BYC66" s="627"/>
      <c r="BYE66" s="627"/>
      <c r="BYG66" s="627"/>
      <c r="BYI66" s="627"/>
      <c r="BYK66" s="627"/>
      <c r="BYM66" s="627"/>
      <c r="BYO66" s="627"/>
      <c r="BYQ66" s="627"/>
      <c r="BYS66" s="627"/>
      <c r="BYU66" s="627"/>
      <c r="BYW66" s="627"/>
      <c r="BYY66" s="627"/>
      <c r="BZA66" s="627"/>
      <c r="BZC66" s="627"/>
      <c r="BZE66" s="627"/>
      <c r="BZG66" s="627"/>
      <c r="BZI66" s="627"/>
      <c r="BZK66" s="627"/>
      <c r="BZM66" s="627"/>
      <c r="BZO66" s="627"/>
      <c r="BZQ66" s="627"/>
      <c r="BZS66" s="627"/>
      <c r="BZU66" s="627"/>
      <c r="BZW66" s="627"/>
      <c r="BZY66" s="627"/>
      <c r="CAA66" s="627"/>
      <c r="CAC66" s="627"/>
      <c r="CAE66" s="627"/>
      <c r="CAG66" s="627"/>
      <c r="CAI66" s="627"/>
      <c r="CAK66" s="627"/>
      <c r="CAM66" s="627"/>
      <c r="CAO66" s="627"/>
      <c r="CAQ66" s="627"/>
      <c r="CAS66" s="627"/>
      <c r="CAU66" s="627"/>
      <c r="CAW66" s="627"/>
      <c r="CAY66" s="627"/>
      <c r="CBA66" s="627"/>
      <c r="CBC66" s="627"/>
      <c r="CBE66" s="627"/>
      <c r="CBG66" s="627"/>
      <c r="CBI66" s="627"/>
      <c r="CBK66" s="627"/>
      <c r="CBM66" s="627"/>
      <c r="CBO66" s="627"/>
      <c r="CBQ66" s="627"/>
      <c r="CBS66" s="627"/>
      <c r="CBU66" s="627"/>
      <c r="CBW66" s="627"/>
      <c r="CBY66" s="627"/>
      <c r="CCA66" s="627"/>
      <c r="CCC66" s="627"/>
      <c r="CCE66" s="627"/>
      <c r="CCG66" s="627"/>
      <c r="CCI66" s="627"/>
      <c r="CCK66" s="627"/>
      <c r="CCM66" s="627"/>
      <c r="CCO66" s="627"/>
      <c r="CCQ66" s="627"/>
      <c r="CCS66" s="627"/>
      <c r="CCU66" s="627"/>
      <c r="CCW66" s="627"/>
      <c r="CCY66" s="627"/>
      <c r="CDA66" s="627"/>
      <c r="CDC66" s="627"/>
      <c r="CDE66" s="627"/>
      <c r="CDG66" s="627"/>
      <c r="CDI66" s="627"/>
      <c r="CDK66" s="627"/>
      <c r="CDM66" s="627"/>
      <c r="CDO66" s="627"/>
      <c r="CDQ66" s="627"/>
      <c r="CDS66" s="627"/>
      <c r="CDU66" s="627"/>
      <c r="CDW66" s="627"/>
      <c r="CDY66" s="627"/>
      <c r="CEA66" s="627"/>
      <c r="CEC66" s="627"/>
      <c r="CEE66" s="627"/>
      <c r="CEG66" s="627"/>
      <c r="CEI66" s="627"/>
      <c r="CEK66" s="627"/>
      <c r="CEM66" s="627"/>
      <c r="CEO66" s="627"/>
      <c r="CEQ66" s="627"/>
      <c r="CES66" s="627"/>
      <c r="CEU66" s="627"/>
      <c r="CEW66" s="627"/>
      <c r="CEY66" s="627"/>
      <c r="CFA66" s="627"/>
      <c r="CFC66" s="627"/>
      <c r="CFE66" s="627"/>
      <c r="CFG66" s="627"/>
      <c r="CFI66" s="627"/>
      <c r="CFK66" s="627"/>
      <c r="CFM66" s="627"/>
      <c r="CFO66" s="627"/>
      <c r="CFQ66" s="627"/>
      <c r="CFS66" s="627"/>
      <c r="CFU66" s="627"/>
      <c r="CFW66" s="627"/>
      <c r="CFY66" s="627"/>
      <c r="CGA66" s="627"/>
      <c r="CGC66" s="627"/>
      <c r="CGE66" s="627"/>
      <c r="CGG66" s="627"/>
      <c r="CGI66" s="627"/>
      <c r="CGK66" s="627"/>
      <c r="CGM66" s="627"/>
      <c r="CGO66" s="627"/>
      <c r="CGQ66" s="627"/>
      <c r="CGS66" s="627"/>
      <c r="CGU66" s="627"/>
      <c r="CGW66" s="627"/>
      <c r="CGY66" s="627"/>
      <c r="CHA66" s="627"/>
      <c r="CHC66" s="627"/>
      <c r="CHE66" s="627"/>
      <c r="CHG66" s="627"/>
      <c r="CHI66" s="627"/>
      <c r="CHK66" s="627"/>
      <c r="CHM66" s="627"/>
      <c r="CHO66" s="627"/>
      <c r="CHQ66" s="627"/>
      <c r="CHS66" s="627"/>
      <c r="CHU66" s="627"/>
      <c r="CHW66" s="627"/>
      <c r="CHY66" s="627"/>
      <c r="CIA66" s="627"/>
      <c r="CIC66" s="627"/>
      <c r="CIE66" s="627"/>
      <c r="CIG66" s="627"/>
      <c r="CII66" s="627"/>
      <c r="CIK66" s="627"/>
      <c r="CIM66" s="627"/>
      <c r="CIO66" s="627"/>
      <c r="CIQ66" s="627"/>
      <c r="CIS66" s="627"/>
      <c r="CIU66" s="627"/>
      <c r="CIW66" s="627"/>
      <c r="CIY66" s="627"/>
      <c r="CJA66" s="627"/>
      <c r="CJC66" s="627"/>
      <c r="CJE66" s="627"/>
      <c r="CJG66" s="627"/>
      <c r="CJI66" s="627"/>
      <c r="CJK66" s="627"/>
      <c r="CJM66" s="627"/>
      <c r="CJO66" s="627"/>
      <c r="CJQ66" s="627"/>
      <c r="CJS66" s="627"/>
      <c r="CJU66" s="627"/>
      <c r="CJW66" s="627"/>
      <c r="CJY66" s="627"/>
      <c r="CKA66" s="627"/>
      <c r="CKC66" s="627"/>
      <c r="CKE66" s="627"/>
      <c r="CKG66" s="627"/>
      <c r="CKI66" s="627"/>
      <c r="CKK66" s="627"/>
      <c r="CKM66" s="627"/>
      <c r="CKO66" s="627"/>
      <c r="CKQ66" s="627"/>
      <c r="CKS66" s="627"/>
      <c r="CKU66" s="627"/>
      <c r="CKW66" s="627"/>
      <c r="CKY66" s="627"/>
      <c r="CLA66" s="627"/>
      <c r="CLC66" s="627"/>
      <c r="CLE66" s="627"/>
      <c r="CLG66" s="627"/>
      <c r="CLI66" s="627"/>
      <c r="CLK66" s="627"/>
      <c r="CLM66" s="627"/>
      <c r="CLO66" s="627"/>
      <c r="CLQ66" s="627"/>
      <c r="CLS66" s="627"/>
      <c r="CLU66" s="627"/>
      <c r="CLW66" s="627"/>
      <c r="CLY66" s="627"/>
      <c r="CMA66" s="627"/>
      <c r="CMC66" s="627"/>
      <c r="CME66" s="627"/>
      <c r="CMG66" s="627"/>
      <c r="CMI66" s="627"/>
      <c r="CMK66" s="627"/>
      <c r="CMM66" s="627"/>
      <c r="CMO66" s="627"/>
      <c r="CMQ66" s="627"/>
      <c r="CMS66" s="627"/>
      <c r="CMU66" s="627"/>
      <c r="CMW66" s="627"/>
      <c r="CMY66" s="627"/>
      <c r="CNA66" s="627"/>
      <c r="CNC66" s="627"/>
      <c r="CNE66" s="627"/>
      <c r="CNG66" s="627"/>
      <c r="CNI66" s="627"/>
      <c r="CNK66" s="627"/>
      <c r="CNM66" s="627"/>
      <c r="CNO66" s="627"/>
      <c r="CNQ66" s="627"/>
      <c r="CNS66" s="627"/>
      <c r="CNU66" s="627"/>
      <c r="CNW66" s="627"/>
      <c r="CNY66" s="627"/>
      <c r="COA66" s="627"/>
      <c r="COC66" s="627"/>
      <c r="COE66" s="627"/>
      <c r="COG66" s="627"/>
      <c r="COI66" s="627"/>
      <c r="COK66" s="627"/>
      <c r="COM66" s="627"/>
      <c r="COO66" s="627"/>
      <c r="COQ66" s="627"/>
      <c r="COS66" s="627"/>
      <c r="COU66" s="627"/>
      <c r="COW66" s="627"/>
      <c r="COY66" s="627"/>
      <c r="CPA66" s="627"/>
      <c r="CPC66" s="627"/>
      <c r="CPE66" s="627"/>
      <c r="CPG66" s="627"/>
      <c r="CPI66" s="627"/>
      <c r="CPK66" s="627"/>
      <c r="CPM66" s="627"/>
      <c r="CPO66" s="627"/>
      <c r="CPQ66" s="627"/>
      <c r="CPS66" s="627"/>
      <c r="CPU66" s="627"/>
      <c r="CPW66" s="627"/>
      <c r="CPY66" s="627"/>
      <c r="CQA66" s="627"/>
      <c r="CQC66" s="627"/>
      <c r="CQE66" s="627"/>
      <c r="CQG66" s="627"/>
      <c r="CQI66" s="627"/>
      <c r="CQK66" s="627"/>
      <c r="CQM66" s="627"/>
      <c r="CQO66" s="627"/>
      <c r="CQQ66" s="627"/>
      <c r="CQS66" s="627"/>
      <c r="CQU66" s="627"/>
      <c r="CQW66" s="627"/>
      <c r="CQY66" s="627"/>
      <c r="CRA66" s="627"/>
      <c r="CRC66" s="627"/>
      <c r="CRE66" s="627"/>
      <c r="CRG66" s="627"/>
      <c r="CRI66" s="627"/>
      <c r="CRK66" s="627"/>
      <c r="CRM66" s="627"/>
      <c r="CRO66" s="627"/>
      <c r="CRQ66" s="627"/>
      <c r="CRS66" s="627"/>
      <c r="CRU66" s="627"/>
      <c r="CRW66" s="627"/>
      <c r="CRY66" s="627"/>
      <c r="CSA66" s="627"/>
      <c r="CSC66" s="627"/>
      <c r="CSE66" s="627"/>
      <c r="CSG66" s="627"/>
      <c r="CSI66" s="627"/>
      <c r="CSK66" s="627"/>
      <c r="CSM66" s="627"/>
      <c r="CSO66" s="627"/>
      <c r="CSQ66" s="627"/>
      <c r="CSS66" s="627"/>
      <c r="CSU66" s="627"/>
      <c r="CSW66" s="627"/>
      <c r="CSY66" s="627"/>
      <c r="CTA66" s="627"/>
      <c r="CTC66" s="627"/>
      <c r="CTE66" s="627"/>
      <c r="CTG66" s="627"/>
      <c r="CTI66" s="627"/>
      <c r="CTK66" s="627"/>
      <c r="CTM66" s="627"/>
      <c r="CTO66" s="627"/>
      <c r="CTQ66" s="627"/>
      <c r="CTS66" s="627"/>
      <c r="CTU66" s="627"/>
      <c r="CTW66" s="627"/>
      <c r="CTY66" s="627"/>
      <c r="CUA66" s="627"/>
      <c r="CUC66" s="627"/>
      <c r="CUE66" s="627"/>
      <c r="CUG66" s="627"/>
      <c r="CUI66" s="627"/>
      <c r="CUK66" s="627"/>
      <c r="CUM66" s="627"/>
      <c r="CUO66" s="627"/>
      <c r="CUQ66" s="627"/>
      <c r="CUS66" s="627"/>
      <c r="CUU66" s="627"/>
      <c r="CUW66" s="627"/>
      <c r="CUY66" s="627"/>
      <c r="CVA66" s="627"/>
      <c r="CVC66" s="627"/>
      <c r="CVE66" s="627"/>
      <c r="CVG66" s="627"/>
      <c r="CVI66" s="627"/>
      <c r="CVK66" s="627"/>
      <c r="CVM66" s="627"/>
      <c r="CVO66" s="627"/>
      <c r="CVQ66" s="627"/>
      <c r="CVS66" s="627"/>
      <c r="CVU66" s="627"/>
      <c r="CVW66" s="627"/>
      <c r="CVY66" s="627"/>
      <c r="CWA66" s="627"/>
      <c r="CWC66" s="627"/>
      <c r="CWE66" s="627"/>
      <c r="CWG66" s="627"/>
      <c r="CWI66" s="627"/>
      <c r="CWK66" s="627"/>
      <c r="CWM66" s="627"/>
      <c r="CWO66" s="627"/>
      <c r="CWQ66" s="627"/>
      <c r="CWS66" s="627"/>
      <c r="CWU66" s="627"/>
      <c r="CWW66" s="627"/>
      <c r="CWY66" s="627"/>
      <c r="CXA66" s="627"/>
      <c r="CXC66" s="627"/>
      <c r="CXE66" s="627"/>
      <c r="CXG66" s="627"/>
      <c r="CXI66" s="627"/>
      <c r="CXK66" s="627"/>
      <c r="CXM66" s="627"/>
      <c r="CXO66" s="627"/>
      <c r="CXQ66" s="627"/>
      <c r="CXS66" s="627"/>
      <c r="CXU66" s="627"/>
      <c r="CXW66" s="627"/>
      <c r="CXY66" s="627"/>
      <c r="CYA66" s="627"/>
      <c r="CYC66" s="627"/>
      <c r="CYE66" s="627"/>
      <c r="CYG66" s="627"/>
      <c r="CYI66" s="627"/>
      <c r="CYK66" s="627"/>
      <c r="CYM66" s="627"/>
      <c r="CYO66" s="627"/>
      <c r="CYQ66" s="627"/>
      <c r="CYS66" s="627"/>
      <c r="CYU66" s="627"/>
      <c r="CYW66" s="627"/>
      <c r="CYY66" s="627"/>
      <c r="CZA66" s="627"/>
      <c r="CZC66" s="627"/>
      <c r="CZE66" s="627"/>
      <c r="CZG66" s="627"/>
      <c r="CZI66" s="627"/>
      <c r="CZK66" s="627"/>
      <c r="CZM66" s="627"/>
      <c r="CZO66" s="627"/>
      <c r="CZQ66" s="627"/>
      <c r="CZS66" s="627"/>
      <c r="CZU66" s="627"/>
      <c r="CZW66" s="627"/>
      <c r="CZY66" s="627"/>
      <c r="DAA66" s="627"/>
      <c r="DAC66" s="627"/>
      <c r="DAE66" s="627"/>
      <c r="DAG66" s="627"/>
      <c r="DAI66" s="627"/>
      <c r="DAK66" s="627"/>
      <c r="DAM66" s="627"/>
      <c r="DAO66" s="627"/>
      <c r="DAQ66" s="627"/>
      <c r="DAS66" s="627"/>
      <c r="DAU66" s="627"/>
      <c r="DAW66" s="627"/>
      <c r="DAY66" s="627"/>
      <c r="DBA66" s="627"/>
      <c r="DBC66" s="627"/>
      <c r="DBE66" s="627"/>
      <c r="DBG66" s="627"/>
      <c r="DBI66" s="627"/>
      <c r="DBK66" s="627"/>
      <c r="DBM66" s="627"/>
      <c r="DBO66" s="627"/>
      <c r="DBQ66" s="627"/>
      <c r="DBS66" s="627"/>
      <c r="DBU66" s="627"/>
      <c r="DBW66" s="627"/>
      <c r="DBY66" s="627"/>
      <c r="DCA66" s="627"/>
      <c r="DCC66" s="627"/>
      <c r="DCE66" s="627"/>
      <c r="DCG66" s="627"/>
      <c r="DCI66" s="627"/>
      <c r="DCK66" s="627"/>
      <c r="DCM66" s="627"/>
      <c r="DCO66" s="627"/>
      <c r="DCQ66" s="627"/>
      <c r="DCS66" s="627"/>
      <c r="DCU66" s="627"/>
      <c r="DCW66" s="627"/>
      <c r="DCY66" s="627"/>
      <c r="DDA66" s="627"/>
      <c r="DDC66" s="627"/>
      <c r="DDE66" s="627"/>
      <c r="DDG66" s="627"/>
      <c r="DDI66" s="627"/>
      <c r="DDK66" s="627"/>
      <c r="DDM66" s="627"/>
      <c r="DDO66" s="627"/>
      <c r="DDQ66" s="627"/>
      <c r="DDS66" s="627"/>
      <c r="DDU66" s="627"/>
      <c r="DDW66" s="627"/>
      <c r="DDY66" s="627"/>
      <c r="DEA66" s="627"/>
      <c r="DEC66" s="627"/>
      <c r="DEE66" s="627"/>
      <c r="DEG66" s="627"/>
      <c r="DEI66" s="627"/>
      <c r="DEK66" s="627"/>
      <c r="DEM66" s="627"/>
      <c r="DEO66" s="627"/>
      <c r="DEQ66" s="627"/>
      <c r="DES66" s="627"/>
      <c r="DEU66" s="627"/>
      <c r="DEW66" s="627"/>
      <c r="DEY66" s="627"/>
      <c r="DFA66" s="627"/>
      <c r="DFC66" s="627"/>
      <c r="DFE66" s="627"/>
      <c r="DFG66" s="627"/>
      <c r="DFI66" s="627"/>
      <c r="DFK66" s="627"/>
      <c r="DFM66" s="627"/>
      <c r="DFO66" s="627"/>
      <c r="DFQ66" s="627"/>
      <c r="DFS66" s="627"/>
      <c r="DFU66" s="627"/>
      <c r="DFW66" s="627"/>
      <c r="DFY66" s="627"/>
      <c r="DGA66" s="627"/>
      <c r="DGC66" s="627"/>
      <c r="DGE66" s="627"/>
      <c r="DGG66" s="627"/>
      <c r="DGI66" s="627"/>
      <c r="DGK66" s="627"/>
      <c r="DGM66" s="627"/>
      <c r="DGO66" s="627"/>
      <c r="DGQ66" s="627"/>
      <c r="DGS66" s="627"/>
      <c r="DGU66" s="627"/>
      <c r="DGW66" s="627"/>
      <c r="DGY66" s="627"/>
      <c r="DHA66" s="627"/>
      <c r="DHC66" s="627"/>
      <c r="DHE66" s="627"/>
      <c r="DHG66" s="627"/>
      <c r="DHI66" s="627"/>
      <c r="DHK66" s="627"/>
      <c r="DHM66" s="627"/>
      <c r="DHO66" s="627"/>
      <c r="DHQ66" s="627"/>
      <c r="DHS66" s="627"/>
      <c r="DHU66" s="627"/>
      <c r="DHW66" s="627"/>
      <c r="DHY66" s="627"/>
      <c r="DIA66" s="627"/>
      <c r="DIC66" s="627"/>
      <c r="DIE66" s="627"/>
      <c r="DIG66" s="627"/>
      <c r="DII66" s="627"/>
      <c r="DIK66" s="627"/>
      <c r="DIM66" s="627"/>
      <c r="DIO66" s="627"/>
      <c r="DIQ66" s="627"/>
      <c r="DIS66" s="627"/>
      <c r="DIU66" s="627"/>
      <c r="DIW66" s="627"/>
      <c r="DIY66" s="627"/>
      <c r="DJA66" s="627"/>
      <c r="DJC66" s="627"/>
      <c r="DJE66" s="627"/>
      <c r="DJG66" s="627"/>
      <c r="DJI66" s="627"/>
      <c r="DJK66" s="627"/>
      <c r="DJM66" s="627"/>
      <c r="DJO66" s="627"/>
      <c r="DJQ66" s="627"/>
      <c r="DJS66" s="627"/>
      <c r="DJU66" s="627"/>
      <c r="DJW66" s="627"/>
      <c r="DJY66" s="627"/>
      <c r="DKA66" s="627"/>
      <c r="DKC66" s="627"/>
      <c r="DKE66" s="627"/>
      <c r="DKG66" s="627"/>
      <c r="DKI66" s="627"/>
      <c r="DKK66" s="627"/>
      <c r="DKM66" s="627"/>
      <c r="DKO66" s="627"/>
      <c r="DKQ66" s="627"/>
      <c r="DKS66" s="627"/>
      <c r="DKU66" s="627"/>
      <c r="DKW66" s="627"/>
      <c r="DKY66" s="627"/>
      <c r="DLA66" s="627"/>
      <c r="DLC66" s="627"/>
      <c r="DLE66" s="627"/>
      <c r="DLG66" s="627"/>
      <c r="DLI66" s="627"/>
      <c r="DLK66" s="627"/>
      <c r="DLM66" s="627"/>
      <c r="DLO66" s="627"/>
      <c r="DLQ66" s="627"/>
      <c r="DLS66" s="627"/>
      <c r="DLU66" s="627"/>
      <c r="DLW66" s="627"/>
      <c r="DLY66" s="627"/>
      <c r="DMA66" s="627"/>
      <c r="DMC66" s="627"/>
      <c r="DME66" s="627"/>
      <c r="DMG66" s="627"/>
      <c r="DMI66" s="627"/>
      <c r="DMK66" s="627"/>
      <c r="DMM66" s="627"/>
      <c r="DMO66" s="627"/>
      <c r="DMQ66" s="627"/>
      <c r="DMS66" s="627"/>
      <c r="DMU66" s="627"/>
      <c r="DMW66" s="627"/>
      <c r="DMY66" s="627"/>
      <c r="DNA66" s="627"/>
      <c r="DNC66" s="627"/>
      <c r="DNE66" s="627"/>
      <c r="DNG66" s="627"/>
      <c r="DNI66" s="627"/>
      <c r="DNK66" s="627"/>
      <c r="DNM66" s="627"/>
      <c r="DNO66" s="627"/>
      <c r="DNQ66" s="627"/>
      <c r="DNS66" s="627"/>
      <c r="DNU66" s="627"/>
      <c r="DNW66" s="627"/>
      <c r="DNY66" s="627"/>
      <c r="DOA66" s="627"/>
      <c r="DOC66" s="627"/>
      <c r="DOE66" s="627"/>
      <c r="DOG66" s="627"/>
      <c r="DOI66" s="627"/>
      <c r="DOK66" s="627"/>
      <c r="DOM66" s="627"/>
      <c r="DOO66" s="627"/>
      <c r="DOQ66" s="627"/>
      <c r="DOS66" s="627"/>
      <c r="DOU66" s="627"/>
      <c r="DOW66" s="627"/>
      <c r="DOY66" s="627"/>
      <c r="DPA66" s="627"/>
      <c r="DPC66" s="627"/>
      <c r="DPE66" s="627"/>
      <c r="DPG66" s="627"/>
      <c r="DPI66" s="627"/>
      <c r="DPK66" s="627"/>
      <c r="DPM66" s="627"/>
      <c r="DPO66" s="627"/>
      <c r="DPQ66" s="627"/>
      <c r="DPS66" s="627"/>
      <c r="DPU66" s="627"/>
      <c r="DPW66" s="627"/>
      <c r="DPY66" s="627"/>
      <c r="DQA66" s="627"/>
      <c r="DQC66" s="627"/>
      <c r="DQE66" s="627"/>
      <c r="DQG66" s="627"/>
      <c r="DQI66" s="627"/>
      <c r="DQK66" s="627"/>
      <c r="DQM66" s="627"/>
      <c r="DQO66" s="627"/>
      <c r="DQQ66" s="627"/>
      <c r="DQS66" s="627"/>
      <c r="DQU66" s="627"/>
      <c r="DQW66" s="627"/>
      <c r="DQY66" s="627"/>
      <c r="DRA66" s="627"/>
      <c r="DRC66" s="627"/>
      <c r="DRE66" s="627"/>
      <c r="DRG66" s="627"/>
      <c r="DRI66" s="627"/>
      <c r="DRK66" s="627"/>
      <c r="DRM66" s="627"/>
      <c r="DRO66" s="627"/>
      <c r="DRQ66" s="627"/>
      <c r="DRS66" s="627"/>
      <c r="DRU66" s="627"/>
      <c r="DRW66" s="627"/>
      <c r="DRY66" s="627"/>
      <c r="DSA66" s="627"/>
      <c r="DSC66" s="627"/>
      <c r="DSE66" s="627"/>
      <c r="DSG66" s="627"/>
      <c r="DSI66" s="627"/>
      <c r="DSK66" s="627"/>
      <c r="DSM66" s="627"/>
      <c r="DSO66" s="627"/>
      <c r="DSQ66" s="627"/>
      <c r="DSS66" s="627"/>
      <c r="DSU66" s="627"/>
      <c r="DSW66" s="627"/>
      <c r="DSY66" s="627"/>
      <c r="DTA66" s="627"/>
      <c r="DTC66" s="627"/>
      <c r="DTE66" s="627"/>
      <c r="DTG66" s="627"/>
      <c r="DTI66" s="627"/>
      <c r="DTK66" s="627"/>
      <c r="DTM66" s="627"/>
      <c r="DTO66" s="627"/>
      <c r="DTQ66" s="627"/>
      <c r="DTS66" s="627"/>
      <c r="DTU66" s="627"/>
      <c r="DTW66" s="627"/>
      <c r="DTY66" s="627"/>
      <c r="DUA66" s="627"/>
      <c r="DUC66" s="627"/>
      <c r="DUE66" s="627"/>
      <c r="DUG66" s="627"/>
      <c r="DUI66" s="627"/>
      <c r="DUK66" s="627"/>
      <c r="DUM66" s="627"/>
      <c r="DUO66" s="627"/>
      <c r="DUQ66" s="627"/>
      <c r="DUS66" s="627"/>
      <c r="DUU66" s="627"/>
      <c r="DUW66" s="627"/>
      <c r="DUY66" s="627"/>
      <c r="DVA66" s="627"/>
      <c r="DVC66" s="627"/>
      <c r="DVE66" s="627"/>
      <c r="DVG66" s="627"/>
      <c r="DVI66" s="627"/>
      <c r="DVK66" s="627"/>
      <c r="DVM66" s="627"/>
      <c r="DVO66" s="627"/>
      <c r="DVQ66" s="627"/>
      <c r="DVS66" s="627"/>
      <c r="DVU66" s="627"/>
      <c r="DVW66" s="627"/>
      <c r="DVY66" s="627"/>
      <c r="DWA66" s="627"/>
      <c r="DWC66" s="627"/>
      <c r="DWE66" s="627"/>
      <c r="DWG66" s="627"/>
      <c r="DWI66" s="627"/>
      <c r="DWK66" s="627"/>
      <c r="DWM66" s="627"/>
      <c r="DWO66" s="627"/>
      <c r="DWQ66" s="627"/>
      <c r="DWS66" s="627"/>
      <c r="DWU66" s="627"/>
      <c r="DWW66" s="627"/>
      <c r="DWY66" s="627"/>
      <c r="DXA66" s="627"/>
      <c r="DXC66" s="627"/>
      <c r="DXE66" s="627"/>
      <c r="DXG66" s="627"/>
      <c r="DXI66" s="627"/>
      <c r="DXK66" s="627"/>
      <c r="DXM66" s="627"/>
      <c r="DXO66" s="627"/>
      <c r="DXQ66" s="627"/>
      <c r="DXS66" s="627"/>
      <c r="DXU66" s="627"/>
      <c r="DXW66" s="627"/>
      <c r="DXY66" s="627"/>
      <c r="DYA66" s="627"/>
      <c r="DYC66" s="627"/>
      <c r="DYE66" s="627"/>
      <c r="DYG66" s="627"/>
      <c r="DYI66" s="627"/>
      <c r="DYK66" s="627"/>
      <c r="DYM66" s="627"/>
      <c r="DYO66" s="627"/>
      <c r="DYQ66" s="627"/>
      <c r="DYS66" s="627"/>
      <c r="DYU66" s="627"/>
      <c r="DYW66" s="627"/>
      <c r="DYY66" s="627"/>
      <c r="DZA66" s="627"/>
      <c r="DZC66" s="627"/>
      <c r="DZE66" s="627"/>
      <c r="DZG66" s="627"/>
      <c r="DZI66" s="627"/>
      <c r="DZK66" s="627"/>
      <c r="DZM66" s="627"/>
      <c r="DZO66" s="627"/>
      <c r="DZQ66" s="627"/>
      <c r="DZS66" s="627"/>
      <c r="DZU66" s="627"/>
      <c r="DZW66" s="627"/>
      <c r="DZY66" s="627"/>
      <c r="EAA66" s="627"/>
      <c r="EAC66" s="627"/>
      <c r="EAE66" s="627"/>
      <c r="EAG66" s="627"/>
      <c r="EAI66" s="627"/>
      <c r="EAK66" s="627"/>
      <c r="EAM66" s="627"/>
      <c r="EAO66" s="627"/>
      <c r="EAQ66" s="627"/>
      <c r="EAS66" s="627"/>
      <c r="EAU66" s="627"/>
      <c r="EAW66" s="627"/>
      <c r="EAY66" s="627"/>
      <c r="EBA66" s="627"/>
      <c r="EBC66" s="627"/>
      <c r="EBE66" s="627"/>
      <c r="EBG66" s="627"/>
      <c r="EBI66" s="627"/>
      <c r="EBK66" s="627"/>
      <c r="EBM66" s="627"/>
      <c r="EBO66" s="627"/>
      <c r="EBQ66" s="627"/>
      <c r="EBS66" s="627"/>
      <c r="EBU66" s="627"/>
      <c r="EBW66" s="627"/>
      <c r="EBY66" s="627"/>
      <c r="ECA66" s="627"/>
      <c r="ECC66" s="627"/>
      <c r="ECE66" s="627"/>
      <c r="ECG66" s="627"/>
      <c r="ECI66" s="627"/>
      <c r="ECK66" s="627"/>
      <c r="ECM66" s="627"/>
      <c r="ECO66" s="627"/>
      <c r="ECQ66" s="627"/>
      <c r="ECS66" s="627"/>
      <c r="ECU66" s="627"/>
      <c r="ECW66" s="627"/>
      <c r="ECY66" s="627"/>
      <c r="EDA66" s="627"/>
      <c r="EDC66" s="627"/>
      <c r="EDE66" s="627"/>
      <c r="EDG66" s="627"/>
      <c r="EDI66" s="627"/>
      <c r="EDK66" s="627"/>
      <c r="EDM66" s="627"/>
      <c r="EDO66" s="627"/>
      <c r="EDQ66" s="627"/>
      <c r="EDS66" s="627"/>
      <c r="EDU66" s="627"/>
      <c r="EDW66" s="627"/>
      <c r="EDY66" s="627"/>
      <c r="EEA66" s="627"/>
      <c r="EEC66" s="627"/>
      <c r="EEE66" s="627"/>
      <c r="EEG66" s="627"/>
      <c r="EEI66" s="627"/>
      <c r="EEK66" s="627"/>
      <c r="EEM66" s="627"/>
      <c r="EEO66" s="627"/>
      <c r="EEQ66" s="627"/>
      <c r="EES66" s="627"/>
      <c r="EEU66" s="627"/>
      <c r="EEW66" s="627"/>
      <c r="EEY66" s="627"/>
      <c r="EFA66" s="627"/>
      <c r="EFC66" s="627"/>
      <c r="EFE66" s="627"/>
      <c r="EFG66" s="627"/>
      <c r="EFI66" s="627"/>
      <c r="EFK66" s="627"/>
      <c r="EFM66" s="627"/>
      <c r="EFO66" s="627"/>
      <c r="EFQ66" s="627"/>
      <c r="EFS66" s="627"/>
      <c r="EFU66" s="627"/>
      <c r="EFW66" s="627"/>
      <c r="EFY66" s="627"/>
      <c r="EGA66" s="627"/>
      <c r="EGC66" s="627"/>
      <c r="EGE66" s="627"/>
      <c r="EGG66" s="627"/>
      <c r="EGI66" s="627"/>
      <c r="EGK66" s="627"/>
      <c r="EGM66" s="627"/>
      <c r="EGO66" s="627"/>
      <c r="EGQ66" s="627"/>
      <c r="EGS66" s="627"/>
      <c r="EGU66" s="627"/>
      <c r="EGW66" s="627"/>
      <c r="EGY66" s="627"/>
      <c r="EHA66" s="627"/>
      <c r="EHC66" s="627"/>
      <c r="EHE66" s="627"/>
      <c r="EHG66" s="627"/>
      <c r="EHI66" s="627"/>
      <c r="EHK66" s="627"/>
      <c r="EHM66" s="627"/>
      <c r="EHO66" s="627"/>
      <c r="EHQ66" s="627"/>
      <c r="EHS66" s="627"/>
      <c r="EHU66" s="627"/>
      <c r="EHW66" s="627"/>
      <c r="EHY66" s="627"/>
      <c r="EIA66" s="627"/>
      <c r="EIC66" s="627"/>
      <c r="EIE66" s="627"/>
      <c r="EIG66" s="627"/>
      <c r="EII66" s="627"/>
      <c r="EIK66" s="627"/>
      <c r="EIM66" s="627"/>
      <c r="EIO66" s="627"/>
      <c r="EIQ66" s="627"/>
      <c r="EIS66" s="627"/>
      <c r="EIU66" s="627"/>
      <c r="EIW66" s="627"/>
      <c r="EIY66" s="627"/>
      <c r="EJA66" s="627"/>
      <c r="EJC66" s="627"/>
      <c r="EJE66" s="627"/>
      <c r="EJG66" s="627"/>
      <c r="EJI66" s="627"/>
      <c r="EJK66" s="627"/>
      <c r="EJM66" s="627"/>
      <c r="EJO66" s="627"/>
      <c r="EJQ66" s="627"/>
      <c r="EJS66" s="627"/>
      <c r="EJU66" s="627"/>
      <c r="EJW66" s="627"/>
      <c r="EJY66" s="627"/>
      <c r="EKA66" s="627"/>
      <c r="EKC66" s="627"/>
      <c r="EKE66" s="627"/>
      <c r="EKG66" s="627"/>
      <c r="EKI66" s="627"/>
      <c r="EKK66" s="627"/>
      <c r="EKM66" s="627"/>
      <c r="EKO66" s="627"/>
      <c r="EKQ66" s="627"/>
      <c r="EKS66" s="627"/>
      <c r="EKU66" s="627"/>
      <c r="EKW66" s="627"/>
      <c r="EKY66" s="627"/>
      <c r="ELA66" s="627"/>
      <c r="ELC66" s="627"/>
      <c r="ELE66" s="627"/>
      <c r="ELG66" s="627"/>
      <c r="ELI66" s="627"/>
      <c r="ELK66" s="627"/>
      <c r="ELM66" s="627"/>
      <c r="ELO66" s="627"/>
      <c r="ELQ66" s="627"/>
      <c r="ELS66" s="627"/>
      <c r="ELU66" s="627"/>
      <c r="ELW66" s="627"/>
      <c r="ELY66" s="627"/>
      <c r="EMA66" s="627"/>
      <c r="EMC66" s="627"/>
      <c r="EME66" s="627"/>
      <c r="EMG66" s="627"/>
      <c r="EMI66" s="627"/>
      <c r="EMK66" s="627"/>
      <c r="EMM66" s="627"/>
      <c r="EMO66" s="627"/>
      <c r="EMQ66" s="627"/>
      <c r="EMS66" s="627"/>
      <c r="EMU66" s="627"/>
      <c r="EMW66" s="627"/>
      <c r="EMY66" s="627"/>
      <c r="ENA66" s="627"/>
      <c r="ENC66" s="627"/>
      <c r="ENE66" s="627"/>
      <c r="ENG66" s="627"/>
      <c r="ENI66" s="627"/>
      <c r="ENK66" s="627"/>
      <c r="ENM66" s="627"/>
      <c r="ENO66" s="627"/>
      <c r="ENQ66" s="627"/>
      <c r="ENS66" s="627"/>
      <c r="ENU66" s="627"/>
      <c r="ENW66" s="627"/>
      <c r="ENY66" s="627"/>
      <c r="EOA66" s="627"/>
      <c r="EOC66" s="627"/>
      <c r="EOE66" s="627"/>
      <c r="EOG66" s="627"/>
      <c r="EOI66" s="627"/>
      <c r="EOK66" s="627"/>
      <c r="EOM66" s="627"/>
      <c r="EOO66" s="627"/>
      <c r="EOQ66" s="627"/>
      <c r="EOS66" s="627"/>
      <c r="EOU66" s="627"/>
      <c r="EOW66" s="627"/>
      <c r="EOY66" s="627"/>
      <c r="EPA66" s="627"/>
      <c r="EPC66" s="627"/>
      <c r="EPE66" s="627"/>
      <c r="EPG66" s="627"/>
      <c r="EPI66" s="627"/>
      <c r="EPK66" s="627"/>
      <c r="EPM66" s="627"/>
      <c r="EPO66" s="627"/>
      <c r="EPQ66" s="627"/>
      <c r="EPS66" s="627"/>
      <c r="EPU66" s="627"/>
      <c r="EPW66" s="627"/>
      <c r="EPY66" s="627"/>
      <c r="EQA66" s="627"/>
      <c r="EQC66" s="627"/>
      <c r="EQE66" s="627"/>
      <c r="EQG66" s="627"/>
      <c r="EQI66" s="627"/>
      <c r="EQK66" s="627"/>
      <c r="EQM66" s="627"/>
      <c r="EQO66" s="627"/>
      <c r="EQQ66" s="627"/>
      <c r="EQS66" s="627"/>
      <c r="EQU66" s="627"/>
      <c r="EQW66" s="627"/>
      <c r="EQY66" s="627"/>
      <c r="ERA66" s="627"/>
      <c r="ERC66" s="627"/>
      <c r="ERE66" s="627"/>
      <c r="ERG66" s="627"/>
      <c r="ERI66" s="627"/>
      <c r="ERK66" s="627"/>
      <c r="ERM66" s="627"/>
      <c r="ERO66" s="627"/>
      <c r="ERQ66" s="627"/>
      <c r="ERS66" s="627"/>
      <c r="ERU66" s="627"/>
      <c r="ERW66" s="627"/>
      <c r="ERY66" s="627"/>
      <c r="ESA66" s="627"/>
      <c r="ESC66" s="627"/>
      <c r="ESE66" s="627"/>
      <c r="ESG66" s="627"/>
      <c r="ESI66" s="627"/>
      <c r="ESK66" s="627"/>
      <c r="ESM66" s="627"/>
      <c r="ESO66" s="627"/>
      <c r="ESQ66" s="627"/>
      <c r="ESS66" s="627"/>
      <c r="ESU66" s="627"/>
      <c r="ESW66" s="627"/>
      <c r="ESY66" s="627"/>
      <c r="ETA66" s="627"/>
      <c r="ETC66" s="627"/>
      <c r="ETE66" s="627"/>
      <c r="ETG66" s="627"/>
      <c r="ETI66" s="627"/>
      <c r="ETK66" s="627"/>
      <c r="ETM66" s="627"/>
      <c r="ETO66" s="627"/>
      <c r="ETQ66" s="627"/>
      <c r="ETS66" s="627"/>
      <c r="ETU66" s="627"/>
      <c r="ETW66" s="627"/>
      <c r="ETY66" s="627"/>
      <c r="EUA66" s="627"/>
      <c r="EUC66" s="627"/>
      <c r="EUE66" s="627"/>
      <c r="EUG66" s="627"/>
      <c r="EUI66" s="627"/>
      <c r="EUK66" s="627"/>
      <c r="EUM66" s="627"/>
      <c r="EUO66" s="627"/>
      <c r="EUQ66" s="627"/>
      <c r="EUS66" s="627"/>
      <c r="EUU66" s="627"/>
      <c r="EUW66" s="627"/>
      <c r="EUY66" s="627"/>
      <c r="EVA66" s="627"/>
      <c r="EVC66" s="627"/>
      <c r="EVE66" s="627"/>
      <c r="EVG66" s="627"/>
      <c r="EVI66" s="627"/>
      <c r="EVK66" s="627"/>
      <c r="EVM66" s="627"/>
      <c r="EVO66" s="627"/>
      <c r="EVQ66" s="627"/>
      <c r="EVS66" s="627"/>
      <c r="EVU66" s="627"/>
      <c r="EVW66" s="627"/>
      <c r="EVY66" s="627"/>
      <c r="EWA66" s="627"/>
      <c r="EWC66" s="627"/>
      <c r="EWE66" s="627"/>
      <c r="EWG66" s="627"/>
      <c r="EWI66" s="627"/>
      <c r="EWK66" s="627"/>
      <c r="EWM66" s="627"/>
      <c r="EWO66" s="627"/>
      <c r="EWQ66" s="627"/>
      <c r="EWS66" s="627"/>
      <c r="EWU66" s="627"/>
      <c r="EWW66" s="627"/>
      <c r="EWY66" s="627"/>
      <c r="EXA66" s="627"/>
      <c r="EXC66" s="627"/>
      <c r="EXE66" s="627"/>
      <c r="EXG66" s="627"/>
      <c r="EXI66" s="627"/>
      <c r="EXK66" s="627"/>
      <c r="EXM66" s="627"/>
      <c r="EXO66" s="627"/>
      <c r="EXQ66" s="627"/>
      <c r="EXS66" s="627"/>
      <c r="EXU66" s="627"/>
      <c r="EXW66" s="627"/>
      <c r="EXY66" s="627"/>
      <c r="EYA66" s="627"/>
      <c r="EYC66" s="627"/>
      <c r="EYE66" s="627"/>
      <c r="EYG66" s="627"/>
      <c r="EYI66" s="627"/>
      <c r="EYK66" s="627"/>
      <c r="EYM66" s="627"/>
      <c r="EYO66" s="627"/>
      <c r="EYQ66" s="627"/>
      <c r="EYS66" s="627"/>
      <c r="EYU66" s="627"/>
      <c r="EYW66" s="627"/>
      <c r="EYY66" s="627"/>
      <c r="EZA66" s="627"/>
      <c r="EZC66" s="627"/>
      <c r="EZE66" s="627"/>
      <c r="EZG66" s="627"/>
      <c r="EZI66" s="627"/>
      <c r="EZK66" s="627"/>
      <c r="EZM66" s="627"/>
      <c r="EZO66" s="627"/>
      <c r="EZQ66" s="627"/>
      <c r="EZS66" s="627"/>
      <c r="EZU66" s="627"/>
      <c r="EZW66" s="627"/>
      <c r="EZY66" s="627"/>
      <c r="FAA66" s="627"/>
      <c r="FAC66" s="627"/>
      <c r="FAE66" s="627"/>
      <c r="FAG66" s="627"/>
      <c r="FAI66" s="627"/>
      <c r="FAK66" s="627"/>
      <c r="FAM66" s="627"/>
      <c r="FAO66" s="627"/>
      <c r="FAQ66" s="627"/>
      <c r="FAS66" s="627"/>
      <c r="FAU66" s="627"/>
      <c r="FAW66" s="627"/>
      <c r="FAY66" s="627"/>
      <c r="FBA66" s="627"/>
      <c r="FBC66" s="627"/>
      <c r="FBE66" s="627"/>
      <c r="FBG66" s="627"/>
      <c r="FBI66" s="627"/>
      <c r="FBK66" s="627"/>
      <c r="FBM66" s="627"/>
      <c r="FBO66" s="627"/>
      <c r="FBQ66" s="627"/>
      <c r="FBS66" s="627"/>
      <c r="FBU66" s="627"/>
      <c r="FBW66" s="627"/>
      <c r="FBY66" s="627"/>
      <c r="FCA66" s="627"/>
      <c r="FCC66" s="627"/>
      <c r="FCE66" s="627"/>
      <c r="FCG66" s="627"/>
      <c r="FCI66" s="627"/>
      <c r="FCK66" s="627"/>
      <c r="FCM66" s="627"/>
      <c r="FCO66" s="627"/>
      <c r="FCQ66" s="627"/>
      <c r="FCS66" s="627"/>
      <c r="FCU66" s="627"/>
      <c r="FCW66" s="627"/>
      <c r="FCY66" s="627"/>
      <c r="FDA66" s="627"/>
      <c r="FDC66" s="627"/>
      <c r="FDE66" s="627"/>
      <c r="FDG66" s="627"/>
      <c r="FDI66" s="627"/>
      <c r="FDK66" s="627"/>
      <c r="FDM66" s="627"/>
      <c r="FDO66" s="627"/>
      <c r="FDQ66" s="627"/>
      <c r="FDS66" s="627"/>
      <c r="FDU66" s="627"/>
      <c r="FDW66" s="627"/>
      <c r="FDY66" s="627"/>
      <c r="FEA66" s="627"/>
      <c r="FEC66" s="627"/>
      <c r="FEE66" s="627"/>
      <c r="FEG66" s="627"/>
      <c r="FEI66" s="627"/>
      <c r="FEK66" s="627"/>
      <c r="FEM66" s="627"/>
      <c r="FEO66" s="627"/>
      <c r="FEQ66" s="627"/>
      <c r="FES66" s="627"/>
      <c r="FEU66" s="627"/>
      <c r="FEW66" s="627"/>
      <c r="FEY66" s="627"/>
      <c r="FFA66" s="627"/>
      <c r="FFC66" s="627"/>
      <c r="FFE66" s="627"/>
      <c r="FFG66" s="627"/>
      <c r="FFI66" s="627"/>
      <c r="FFK66" s="627"/>
      <c r="FFM66" s="627"/>
      <c r="FFO66" s="627"/>
      <c r="FFQ66" s="627"/>
      <c r="FFS66" s="627"/>
      <c r="FFU66" s="627"/>
      <c r="FFW66" s="627"/>
      <c r="FFY66" s="627"/>
      <c r="FGA66" s="627"/>
      <c r="FGC66" s="627"/>
      <c r="FGE66" s="627"/>
      <c r="FGG66" s="627"/>
      <c r="FGI66" s="627"/>
      <c r="FGK66" s="627"/>
      <c r="FGM66" s="627"/>
      <c r="FGO66" s="627"/>
      <c r="FGQ66" s="627"/>
      <c r="FGS66" s="627"/>
      <c r="FGU66" s="627"/>
      <c r="FGW66" s="627"/>
      <c r="FGY66" s="627"/>
      <c r="FHA66" s="627"/>
      <c r="FHC66" s="627"/>
      <c r="FHE66" s="627"/>
      <c r="FHG66" s="627"/>
      <c r="FHI66" s="627"/>
      <c r="FHK66" s="627"/>
      <c r="FHM66" s="627"/>
      <c r="FHO66" s="627"/>
      <c r="FHQ66" s="627"/>
      <c r="FHS66" s="627"/>
      <c r="FHU66" s="627"/>
      <c r="FHW66" s="627"/>
      <c r="FHY66" s="627"/>
      <c r="FIA66" s="627"/>
      <c r="FIC66" s="627"/>
      <c r="FIE66" s="627"/>
      <c r="FIG66" s="627"/>
      <c r="FII66" s="627"/>
      <c r="FIK66" s="627"/>
      <c r="FIM66" s="627"/>
      <c r="FIO66" s="627"/>
      <c r="FIQ66" s="627"/>
      <c r="FIS66" s="627"/>
      <c r="FIU66" s="627"/>
      <c r="FIW66" s="627"/>
      <c r="FIY66" s="627"/>
      <c r="FJA66" s="627"/>
      <c r="FJC66" s="627"/>
      <c r="FJE66" s="627"/>
      <c r="FJG66" s="627"/>
      <c r="FJI66" s="627"/>
      <c r="FJK66" s="627"/>
      <c r="FJM66" s="627"/>
      <c r="FJO66" s="627"/>
      <c r="FJQ66" s="627"/>
      <c r="FJS66" s="627"/>
      <c r="FJU66" s="627"/>
      <c r="FJW66" s="627"/>
      <c r="FJY66" s="627"/>
      <c r="FKA66" s="627"/>
      <c r="FKC66" s="627"/>
      <c r="FKE66" s="627"/>
      <c r="FKG66" s="627"/>
      <c r="FKI66" s="627"/>
      <c r="FKK66" s="627"/>
      <c r="FKM66" s="627"/>
      <c r="FKO66" s="627"/>
      <c r="FKQ66" s="627"/>
      <c r="FKS66" s="627"/>
      <c r="FKU66" s="627"/>
      <c r="FKW66" s="627"/>
      <c r="FKY66" s="627"/>
      <c r="FLA66" s="627"/>
      <c r="FLC66" s="627"/>
      <c r="FLE66" s="627"/>
      <c r="FLG66" s="627"/>
      <c r="FLI66" s="627"/>
      <c r="FLK66" s="627"/>
      <c r="FLM66" s="627"/>
      <c r="FLO66" s="627"/>
      <c r="FLQ66" s="627"/>
      <c r="FLS66" s="627"/>
      <c r="FLU66" s="627"/>
      <c r="FLW66" s="627"/>
      <c r="FLY66" s="627"/>
      <c r="FMA66" s="627"/>
      <c r="FMC66" s="627"/>
      <c r="FME66" s="627"/>
      <c r="FMG66" s="627"/>
      <c r="FMI66" s="627"/>
      <c r="FMK66" s="627"/>
      <c r="FMM66" s="627"/>
      <c r="FMO66" s="627"/>
      <c r="FMQ66" s="627"/>
      <c r="FMS66" s="627"/>
      <c r="FMU66" s="627"/>
      <c r="FMW66" s="627"/>
      <c r="FMY66" s="627"/>
      <c r="FNA66" s="627"/>
      <c r="FNC66" s="627"/>
      <c r="FNE66" s="627"/>
      <c r="FNG66" s="627"/>
      <c r="FNI66" s="627"/>
      <c r="FNK66" s="627"/>
      <c r="FNM66" s="627"/>
      <c r="FNO66" s="627"/>
      <c r="FNQ66" s="627"/>
      <c r="FNS66" s="627"/>
      <c r="FNU66" s="627"/>
      <c r="FNW66" s="627"/>
      <c r="FNY66" s="627"/>
      <c r="FOA66" s="627"/>
      <c r="FOC66" s="627"/>
      <c r="FOE66" s="627"/>
      <c r="FOG66" s="627"/>
      <c r="FOI66" s="627"/>
      <c r="FOK66" s="627"/>
      <c r="FOM66" s="627"/>
      <c r="FOO66" s="627"/>
      <c r="FOQ66" s="627"/>
      <c r="FOS66" s="627"/>
      <c r="FOU66" s="627"/>
      <c r="FOW66" s="627"/>
      <c r="FOY66" s="627"/>
      <c r="FPA66" s="627"/>
      <c r="FPC66" s="627"/>
      <c r="FPE66" s="627"/>
      <c r="FPG66" s="627"/>
      <c r="FPI66" s="627"/>
      <c r="FPK66" s="627"/>
      <c r="FPM66" s="627"/>
      <c r="FPO66" s="627"/>
      <c r="FPQ66" s="627"/>
      <c r="FPS66" s="627"/>
      <c r="FPU66" s="627"/>
      <c r="FPW66" s="627"/>
      <c r="FPY66" s="627"/>
      <c r="FQA66" s="627"/>
      <c r="FQC66" s="627"/>
      <c r="FQE66" s="627"/>
      <c r="FQG66" s="627"/>
      <c r="FQI66" s="627"/>
      <c r="FQK66" s="627"/>
      <c r="FQM66" s="627"/>
      <c r="FQO66" s="627"/>
      <c r="FQQ66" s="627"/>
      <c r="FQS66" s="627"/>
      <c r="FQU66" s="627"/>
      <c r="FQW66" s="627"/>
      <c r="FQY66" s="627"/>
      <c r="FRA66" s="627"/>
      <c r="FRC66" s="627"/>
      <c r="FRE66" s="627"/>
      <c r="FRG66" s="627"/>
      <c r="FRI66" s="627"/>
      <c r="FRK66" s="627"/>
      <c r="FRM66" s="627"/>
      <c r="FRO66" s="627"/>
      <c r="FRQ66" s="627"/>
      <c r="FRS66" s="627"/>
      <c r="FRU66" s="627"/>
      <c r="FRW66" s="627"/>
      <c r="FRY66" s="627"/>
      <c r="FSA66" s="627"/>
      <c r="FSC66" s="627"/>
      <c r="FSE66" s="627"/>
      <c r="FSG66" s="627"/>
      <c r="FSI66" s="627"/>
      <c r="FSK66" s="627"/>
      <c r="FSM66" s="627"/>
      <c r="FSO66" s="627"/>
      <c r="FSQ66" s="627"/>
      <c r="FSS66" s="627"/>
      <c r="FSU66" s="627"/>
      <c r="FSW66" s="627"/>
      <c r="FSY66" s="627"/>
      <c r="FTA66" s="627"/>
      <c r="FTC66" s="627"/>
      <c r="FTE66" s="627"/>
      <c r="FTG66" s="627"/>
      <c r="FTI66" s="627"/>
      <c r="FTK66" s="627"/>
      <c r="FTM66" s="627"/>
      <c r="FTO66" s="627"/>
      <c r="FTQ66" s="627"/>
      <c r="FTS66" s="627"/>
      <c r="FTU66" s="627"/>
      <c r="FTW66" s="627"/>
      <c r="FTY66" s="627"/>
      <c r="FUA66" s="627"/>
      <c r="FUC66" s="627"/>
      <c r="FUE66" s="627"/>
      <c r="FUG66" s="627"/>
      <c r="FUI66" s="627"/>
      <c r="FUK66" s="627"/>
      <c r="FUM66" s="627"/>
      <c r="FUO66" s="627"/>
      <c r="FUQ66" s="627"/>
      <c r="FUS66" s="627"/>
      <c r="FUU66" s="627"/>
      <c r="FUW66" s="627"/>
      <c r="FUY66" s="627"/>
      <c r="FVA66" s="627"/>
      <c r="FVC66" s="627"/>
      <c r="FVE66" s="627"/>
      <c r="FVG66" s="627"/>
      <c r="FVI66" s="627"/>
      <c r="FVK66" s="627"/>
      <c r="FVM66" s="627"/>
      <c r="FVO66" s="627"/>
      <c r="FVQ66" s="627"/>
      <c r="FVS66" s="627"/>
      <c r="FVU66" s="627"/>
      <c r="FVW66" s="627"/>
      <c r="FVY66" s="627"/>
      <c r="FWA66" s="627"/>
      <c r="FWC66" s="627"/>
      <c r="FWE66" s="627"/>
      <c r="FWG66" s="627"/>
      <c r="FWI66" s="627"/>
      <c r="FWK66" s="627"/>
      <c r="FWM66" s="627"/>
      <c r="FWO66" s="627"/>
      <c r="FWQ66" s="627"/>
      <c r="FWS66" s="627"/>
      <c r="FWU66" s="627"/>
      <c r="FWW66" s="627"/>
      <c r="FWY66" s="627"/>
      <c r="FXA66" s="627"/>
      <c r="FXC66" s="627"/>
      <c r="FXE66" s="627"/>
      <c r="FXG66" s="627"/>
      <c r="FXI66" s="627"/>
      <c r="FXK66" s="627"/>
      <c r="FXM66" s="627"/>
      <c r="FXO66" s="627"/>
      <c r="FXQ66" s="627"/>
      <c r="FXS66" s="627"/>
      <c r="FXU66" s="627"/>
      <c r="FXW66" s="627"/>
      <c r="FXY66" s="627"/>
      <c r="FYA66" s="627"/>
      <c r="FYC66" s="627"/>
      <c r="FYE66" s="627"/>
      <c r="FYG66" s="627"/>
      <c r="FYI66" s="627"/>
      <c r="FYK66" s="627"/>
      <c r="FYM66" s="627"/>
      <c r="FYO66" s="627"/>
      <c r="FYQ66" s="627"/>
      <c r="FYS66" s="627"/>
      <c r="FYU66" s="627"/>
      <c r="FYW66" s="627"/>
      <c r="FYY66" s="627"/>
      <c r="FZA66" s="627"/>
      <c r="FZC66" s="627"/>
      <c r="FZE66" s="627"/>
      <c r="FZG66" s="627"/>
      <c r="FZI66" s="627"/>
      <c r="FZK66" s="627"/>
      <c r="FZM66" s="627"/>
      <c r="FZO66" s="627"/>
      <c r="FZQ66" s="627"/>
      <c r="FZS66" s="627"/>
      <c r="FZU66" s="627"/>
      <c r="FZW66" s="627"/>
      <c r="FZY66" s="627"/>
      <c r="GAA66" s="627"/>
      <c r="GAC66" s="627"/>
      <c r="GAE66" s="627"/>
      <c r="GAG66" s="627"/>
      <c r="GAI66" s="627"/>
      <c r="GAK66" s="627"/>
      <c r="GAM66" s="627"/>
      <c r="GAO66" s="627"/>
      <c r="GAQ66" s="627"/>
      <c r="GAS66" s="627"/>
      <c r="GAU66" s="627"/>
      <c r="GAW66" s="627"/>
      <c r="GAY66" s="627"/>
      <c r="GBA66" s="627"/>
      <c r="GBC66" s="627"/>
      <c r="GBE66" s="627"/>
      <c r="GBG66" s="627"/>
      <c r="GBI66" s="627"/>
      <c r="GBK66" s="627"/>
      <c r="GBM66" s="627"/>
      <c r="GBO66" s="627"/>
      <c r="GBQ66" s="627"/>
      <c r="GBS66" s="627"/>
      <c r="GBU66" s="627"/>
      <c r="GBW66" s="627"/>
      <c r="GBY66" s="627"/>
      <c r="GCA66" s="627"/>
      <c r="GCC66" s="627"/>
      <c r="GCE66" s="627"/>
      <c r="GCG66" s="627"/>
      <c r="GCI66" s="627"/>
      <c r="GCK66" s="627"/>
      <c r="GCM66" s="627"/>
      <c r="GCO66" s="627"/>
      <c r="GCQ66" s="627"/>
      <c r="GCS66" s="627"/>
      <c r="GCU66" s="627"/>
      <c r="GCW66" s="627"/>
      <c r="GCY66" s="627"/>
      <c r="GDA66" s="627"/>
      <c r="GDC66" s="627"/>
      <c r="GDE66" s="627"/>
      <c r="GDG66" s="627"/>
      <c r="GDI66" s="627"/>
      <c r="GDK66" s="627"/>
      <c r="GDM66" s="627"/>
      <c r="GDO66" s="627"/>
      <c r="GDQ66" s="627"/>
      <c r="GDS66" s="627"/>
      <c r="GDU66" s="627"/>
      <c r="GDW66" s="627"/>
      <c r="GDY66" s="627"/>
      <c r="GEA66" s="627"/>
      <c r="GEC66" s="627"/>
      <c r="GEE66" s="627"/>
      <c r="GEG66" s="627"/>
      <c r="GEI66" s="627"/>
      <c r="GEK66" s="627"/>
      <c r="GEM66" s="627"/>
      <c r="GEO66" s="627"/>
      <c r="GEQ66" s="627"/>
      <c r="GES66" s="627"/>
      <c r="GEU66" s="627"/>
      <c r="GEW66" s="627"/>
      <c r="GEY66" s="627"/>
      <c r="GFA66" s="627"/>
      <c r="GFC66" s="627"/>
      <c r="GFE66" s="627"/>
      <c r="GFG66" s="627"/>
      <c r="GFI66" s="627"/>
      <c r="GFK66" s="627"/>
      <c r="GFM66" s="627"/>
      <c r="GFO66" s="627"/>
      <c r="GFQ66" s="627"/>
      <c r="GFS66" s="627"/>
      <c r="GFU66" s="627"/>
      <c r="GFW66" s="627"/>
      <c r="GFY66" s="627"/>
      <c r="GGA66" s="627"/>
      <c r="GGC66" s="627"/>
      <c r="GGE66" s="627"/>
      <c r="GGG66" s="627"/>
      <c r="GGI66" s="627"/>
      <c r="GGK66" s="627"/>
      <c r="GGM66" s="627"/>
      <c r="GGO66" s="627"/>
      <c r="GGQ66" s="627"/>
      <c r="GGS66" s="627"/>
      <c r="GGU66" s="627"/>
      <c r="GGW66" s="627"/>
      <c r="GGY66" s="627"/>
      <c r="GHA66" s="627"/>
      <c r="GHC66" s="627"/>
      <c r="GHE66" s="627"/>
      <c r="GHG66" s="627"/>
      <c r="GHI66" s="627"/>
      <c r="GHK66" s="627"/>
      <c r="GHM66" s="627"/>
      <c r="GHO66" s="627"/>
      <c r="GHQ66" s="627"/>
      <c r="GHS66" s="627"/>
      <c r="GHU66" s="627"/>
      <c r="GHW66" s="627"/>
      <c r="GHY66" s="627"/>
      <c r="GIA66" s="627"/>
      <c r="GIC66" s="627"/>
      <c r="GIE66" s="627"/>
      <c r="GIG66" s="627"/>
      <c r="GII66" s="627"/>
      <c r="GIK66" s="627"/>
      <c r="GIM66" s="627"/>
      <c r="GIO66" s="627"/>
      <c r="GIQ66" s="627"/>
      <c r="GIS66" s="627"/>
      <c r="GIU66" s="627"/>
      <c r="GIW66" s="627"/>
      <c r="GIY66" s="627"/>
      <c r="GJA66" s="627"/>
      <c r="GJC66" s="627"/>
      <c r="GJE66" s="627"/>
      <c r="GJG66" s="627"/>
      <c r="GJI66" s="627"/>
      <c r="GJK66" s="627"/>
      <c r="GJM66" s="627"/>
      <c r="GJO66" s="627"/>
      <c r="GJQ66" s="627"/>
      <c r="GJS66" s="627"/>
      <c r="GJU66" s="627"/>
      <c r="GJW66" s="627"/>
      <c r="GJY66" s="627"/>
      <c r="GKA66" s="627"/>
      <c r="GKC66" s="627"/>
      <c r="GKE66" s="627"/>
      <c r="GKG66" s="627"/>
      <c r="GKI66" s="627"/>
      <c r="GKK66" s="627"/>
      <c r="GKM66" s="627"/>
      <c r="GKO66" s="627"/>
      <c r="GKQ66" s="627"/>
      <c r="GKS66" s="627"/>
      <c r="GKU66" s="627"/>
      <c r="GKW66" s="627"/>
      <c r="GKY66" s="627"/>
      <c r="GLA66" s="627"/>
      <c r="GLC66" s="627"/>
      <c r="GLE66" s="627"/>
      <c r="GLG66" s="627"/>
      <c r="GLI66" s="627"/>
      <c r="GLK66" s="627"/>
      <c r="GLM66" s="627"/>
      <c r="GLO66" s="627"/>
      <c r="GLQ66" s="627"/>
      <c r="GLS66" s="627"/>
      <c r="GLU66" s="627"/>
      <c r="GLW66" s="627"/>
      <c r="GLY66" s="627"/>
      <c r="GMA66" s="627"/>
      <c r="GMC66" s="627"/>
      <c r="GME66" s="627"/>
      <c r="GMG66" s="627"/>
      <c r="GMI66" s="627"/>
      <c r="GMK66" s="627"/>
      <c r="GMM66" s="627"/>
      <c r="GMO66" s="627"/>
      <c r="GMQ66" s="627"/>
      <c r="GMS66" s="627"/>
      <c r="GMU66" s="627"/>
      <c r="GMW66" s="627"/>
      <c r="GMY66" s="627"/>
      <c r="GNA66" s="627"/>
      <c r="GNC66" s="627"/>
      <c r="GNE66" s="627"/>
      <c r="GNG66" s="627"/>
      <c r="GNI66" s="627"/>
      <c r="GNK66" s="627"/>
      <c r="GNM66" s="627"/>
      <c r="GNO66" s="627"/>
      <c r="GNQ66" s="627"/>
      <c r="GNS66" s="627"/>
      <c r="GNU66" s="627"/>
      <c r="GNW66" s="627"/>
      <c r="GNY66" s="627"/>
      <c r="GOA66" s="627"/>
      <c r="GOC66" s="627"/>
      <c r="GOE66" s="627"/>
      <c r="GOG66" s="627"/>
      <c r="GOI66" s="627"/>
      <c r="GOK66" s="627"/>
      <c r="GOM66" s="627"/>
      <c r="GOO66" s="627"/>
      <c r="GOQ66" s="627"/>
      <c r="GOS66" s="627"/>
      <c r="GOU66" s="627"/>
      <c r="GOW66" s="627"/>
      <c r="GOY66" s="627"/>
      <c r="GPA66" s="627"/>
      <c r="GPC66" s="627"/>
      <c r="GPE66" s="627"/>
      <c r="GPG66" s="627"/>
      <c r="GPI66" s="627"/>
      <c r="GPK66" s="627"/>
      <c r="GPM66" s="627"/>
      <c r="GPO66" s="627"/>
      <c r="GPQ66" s="627"/>
      <c r="GPS66" s="627"/>
      <c r="GPU66" s="627"/>
      <c r="GPW66" s="627"/>
      <c r="GPY66" s="627"/>
      <c r="GQA66" s="627"/>
      <c r="GQC66" s="627"/>
      <c r="GQE66" s="627"/>
      <c r="GQG66" s="627"/>
      <c r="GQI66" s="627"/>
      <c r="GQK66" s="627"/>
      <c r="GQM66" s="627"/>
      <c r="GQO66" s="627"/>
      <c r="GQQ66" s="627"/>
      <c r="GQS66" s="627"/>
      <c r="GQU66" s="627"/>
      <c r="GQW66" s="627"/>
      <c r="GQY66" s="627"/>
      <c r="GRA66" s="627"/>
      <c r="GRC66" s="627"/>
      <c r="GRE66" s="627"/>
      <c r="GRG66" s="627"/>
      <c r="GRI66" s="627"/>
      <c r="GRK66" s="627"/>
      <c r="GRM66" s="627"/>
      <c r="GRO66" s="627"/>
      <c r="GRQ66" s="627"/>
      <c r="GRS66" s="627"/>
      <c r="GRU66" s="627"/>
      <c r="GRW66" s="627"/>
      <c r="GRY66" s="627"/>
      <c r="GSA66" s="627"/>
      <c r="GSC66" s="627"/>
      <c r="GSE66" s="627"/>
      <c r="GSG66" s="627"/>
      <c r="GSI66" s="627"/>
      <c r="GSK66" s="627"/>
      <c r="GSM66" s="627"/>
      <c r="GSO66" s="627"/>
      <c r="GSQ66" s="627"/>
      <c r="GSS66" s="627"/>
      <c r="GSU66" s="627"/>
      <c r="GSW66" s="627"/>
      <c r="GSY66" s="627"/>
      <c r="GTA66" s="627"/>
      <c r="GTC66" s="627"/>
      <c r="GTE66" s="627"/>
      <c r="GTG66" s="627"/>
      <c r="GTI66" s="627"/>
      <c r="GTK66" s="627"/>
      <c r="GTM66" s="627"/>
      <c r="GTO66" s="627"/>
      <c r="GTQ66" s="627"/>
      <c r="GTS66" s="627"/>
      <c r="GTU66" s="627"/>
      <c r="GTW66" s="627"/>
      <c r="GTY66" s="627"/>
      <c r="GUA66" s="627"/>
      <c r="GUC66" s="627"/>
      <c r="GUE66" s="627"/>
      <c r="GUG66" s="627"/>
      <c r="GUI66" s="627"/>
      <c r="GUK66" s="627"/>
      <c r="GUM66" s="627"/>
      <c r="GUO66" s="627"/>
      <c r="GUQ66" s="627"/>
      <c r="GUS66" s="627"/>
      <c r="GUU66" s="627"/>
      <c r="GUW66" s="627"/>
      <c r="GUY66" s="627"/>
      <c r="GVA66" s="627"/>
      <c r="GVC66" s="627"/>
      <c r="GVE66" s="627"/>
      <c r="GVG66" s="627"/>
      <c r="GVI66" s="627"/>
      <c r="GVK66" s="627"/>
      <c r="GVM66" s="627"/>
      <c r="GVO66" s="627"/>
      <c r="GVQ66" s="627"/>
      <c r="GVS66" s="627"/>
      <c r="GVU66" s="627"/>
      <c r="GVW66" s="627"/>
      <c r="GVY66" s="627"/>
      <c r="GWA66" s="627"/>
      <c r="GWC66" s="627"/>
      <c r="GWE66" s="627"/>
      <c r="GWG66" s="627"/>
      <c r="GWI66" s="627"/>
      <c r="GWK66" s="627"/>
      <c r="GWM66" s="627"/>
      <c r="GWO66" s="627"/>
      <c r="GWQ66" s="627"/>
      <c r="GWS66" s="627"/>
      <c r="GWU66" s="627"/>
      <c r="GWW66" s="627"/>
      <c r="GWY66" s="627"/>
      <c r="GXA66" s="627"/>
      <c r="GXC66" s="627"/>
      <c r="GXE66" s="627"/>
      <c r="GXG66" s="627"/>
      <c r="GXI66" s="627"/>
      <c r="GXK66" s="627"/>
      <c r="GXM66" s="627"/>
      <c r="GXO66" s="627"/>
      <c r="GXQ66" s="627"/>
      <c r="GXS66" s="627"/>
      <c r="GXU66" s="627"/>
      <c r="GXW66" s="627"/>
      <c r="GXY66" s="627"/>
      <c r="GYA66" s="627"/>
      <c r="GYC66" s="627"/>
      <c r="GYE66" s="627"/>
      <c r="GYG66" s="627"/>
      <c r="GYI66" s="627"/>
      <c r="GYK66" s="627"/>
      <c r="GYM66" s="627"/>
      <c r="GYO66" s="627"/>
      <c r="GYQ66" s="627"/>
      <c r="GYS66" s="627"/>
      <c r="GYU66" s="627"/>
      <c r="GYW66" s="627"/>
      <c r="GYY66" s="627"/>
      <c r="GZA66" s="627"/>
      <c r="GZC66" s="627"/>
      <c r="GZE66" s="627"/>
      <c r="GZG66" s="627"/>
      <c r="GZI66" s="627"/>
      <c r="GZK66" s="627"/>
      <c r="GZM66" s="627"/>
      <c r="GZO66" s="627"/>
      <c r="GZQ66" s="627"/>
      <c r="GZS66" s="627"/>
      <c r="GZU66" s="627"/>
      <c r="GZW66" s="627"/>
      <c r="GZY66" s="627"/>
      <c r="HAA66" s="627"/>
      <c r="HAC66" s="627"/>
      <c r="HAE66" s="627"/>
      <c r="HAG66" s="627"/>
      <c r="HAI66" s="627"/>
      <c r="HAK66" s="627"/>
      <c r="HAM66" s="627"/>
      <c r="HAO66" s="627"/>
      <c r="HAQ66" s="627"/>
      <c r="HAS66" s="627"/>
      <c r="HAU66" s="627"/>
      <c r="HAW66" s="627"/>
      <c r="HAY66" s="627"/>
      <c r="HBA66" s="627"/>
      <c r="HBC66" s="627"/>
      <c r="HBE66" s="627"/>
      <c r="HBG66" s="627"/>
      <c r="HBI66" s="627"/>
      <c r="HBK66" s="627"/>
      <c r="HBM66" s="627"/>
      <c r="HBO66" s="627"/>
      <c r="HBQ66" s="627"/>
      <c r="HBS66" s="627"/>
      <c r="HBU66" s="627"/>
      <c r="HBW66" s="627"/>
      <c r="HBY66" s="627"/>
      <c r="HCA66" s="627"/>
      <c r="HCC66" s="627"/>
      <c r="HCE66" s="627"/>
      <c r="HCG66" s="627"/>
      <c r="HCI66" s="627"/>
      <c r="HCK66" s="627"/>
      <c r="HCM66" s="627"/>
      <c r="HCO66" s="627"/>
      <c r="HCQ66" s="627"/>
      <c r="HCS66" s="627"/>
      <c r="HCU66" s="627"/>
      <c r="HCW66" s="627"/>
      <c r="HCY66" s="627"/>
      <c r="HDA66" s="627"/>
      <c r="HDC66" s="627"/>
      <c r="HDE66" s="627"/>
      <c r="HDG66" s="627"/>
      <c r="HDI66" s="627"/>
      <c r="HDK66" s="627"/>
      <c r="HDM66" s="627"/>
      <c r="HDO66" s="627"/>
      <c r="HDQ66" s="627"/>
      <c r="HDS66" s="627"/>
      <c r="HDU66" s="627"/>
      <c r="HDW66" s="627"/>
      <c r="HDY66" s="627"/>
      <c r="HEA66" s="627"/>
      <c r="HEC66" s="627"/>
      <c r="HEE66" s="627"/>
      <c r="HEG66" s="627"/>
      <c r="HEI66" s="627"/>
      <c r="HEK66" s="627"/>
      <c r="HEM66" s="627"/>
      <c r="HEO66" s="627"/>
      <c r="HEQ66" s="627"/>
      <c r="HES66" s="627"/>
      <c r="HEU66" s="627"/>
      <c r="HEW66" s="627"/>
      <c r="HEY66" s="627"/>
      <c r="HFA66" s="627"/>
      <c r="HFC66" s="627"/>
      <c r="HFE66" s="627"/>
      <c r="HFG66" s="627"/>
      <c r="HFI66" s="627"/>
      <c r="HFK66" s="627"/>
      <c r="HFM66" s="627"/>
      <c r="HFO66" s="627"/>
      <c r="HFQ66" s="627"/>
      <c r="HFS66" s="627"/>
      <c r="HFU66" s="627"/>
      <c r="HFW66" s="627"/>
      <c r="HFY66" s="627"/>
      <c r="HGA66" s="627"/>
      <c r="HGC66" s="627"/>
      <c r="HGE66" s="627"/>
      <c r="HGG66" s="627"/>
      <c r="HGI66" s="627"/>
      <c r="HGK66" s="627"/>
      <c r="HGM66" s="627"/>
      <c r="HGO66" s="627"/>
      <c r="HGQ66" s="627"/>
      <c r="HGS66" s="627"/>
      <c r="HGU66" s="627"/>
      <c r="HGW66" s="627"/>
      <c r="HGY66" s="627"/>
      <c r="HHA66" s="627"/>
      <c r="HHC66" s="627"/>
      <c r="HHE66" s="627"/>
      <c r="HHG66" s="627"/>
      <c r="HHI66" s="627"/>
      <c r="HHK66" s="627"/>
      <c r="HHM66" s="627"/>
      <c r="HHO66" s="627"/>
      <c r="HHQ66" s="627"/>
      <c r="HHS66" s="627"/>
      <c r="HHU66" s="627"/>
      <c r="HHW66" s="627"/>
      <c r="HHY66" s="627"/>
      <c r="HIA66" s="627"/>
      <c r="HIC66" s="627"/>
      <c r="HIE66" s="627"/>
      <c r="HIG66" s="627"/>
      <c r="HII66" s="627"/>
      <c r="HIK66" s="627"/>
      <c r="HIM66" s="627"/>
      <c r="HIO66" s="627"/>
      <c r="HIQ66" s="627"/>
      <c r="HIS66" s="627"/>
      <c r="HIU66" s="627"/>
      <c r="HIW66" s="627"/>
      <c r="HIY66" s="627"/>
      <c r="HJA66" s="627"/>
      <c r="HJC66" s="627"/>
      <c r="HJE66" s="627"/>
      <c r="HJG66" s="627"/>
      <c r="HJI66" s="627"/>
      <c r="HJK66" s="627"/>
      <c r="HJM66" s="627"/>
      <c r="HJO66" s="627"/>
      <c r="HJQ66" s="627"/>
      <c r="HJS66" s="627"/>
      <c r="HJU66" s="627"/>
      <c r="HJW66" s="627"/>
      <c r="HJY66" s="627"/>
      <c r="HKA66" s="627"/>
      <c r="HKC66" s="627"/>
      <c r="HKE66" s="627"/>
      <c r="HKG66" s="627"/>
      <c r="HKI66" s="627"/>
      <c r="HKK66" s="627"/>
      <c r="HKM66" s="627"/>
      <c r="HKO66" s="627"/>
      <c r="HKQ66" s="627"/>
      <c r="HKS66" s="627"/>
      <c r="HKU66" s="627"/>
      <c r="HKW66" s="627"/>
      <c r="HKY66" s="627"/>
      <c r="HLA66" s="627"/>
      <c r="HLC66" s="627"/>
      <c r="HLE66" s="627"/>
      <c r="HLG66" s="627"/>
      <c r="HLI66" s="627"/>
      <c r="HLK66" s="627"/>
      <c r="HLM66" s="627"/>
      <c r="HLO66" s="627"/>
      <c r="HLQ66" s="627"/>
      <c r="HLS66" s="627"/>
      <c r="HLU66" s="627"/>
      <c r="HLW66" s="627"/>
      <c r="HLY66" s="627"/>
      <c r="HMA66" s="627"/>
      <c r="HMC66" s="627"/>
      <c r="HME66" s="627"/>
      <c r="HMG66" s="627"/>
      <c r="HMI66" s="627"/>
      <c r="HMK66" s="627"/>
      <c r="HMM66" s="627"/>
      <c r="HMO66" s="627"/>
      <c r="HMQ66" s="627"/>
      <c r="HMS66" s="627"/>
      <c r="HMU66" s="627"/>
      <c r="HMW66" s="627"/>
      <c r="HMY66" s="627"/>
      <c r="HNA66" s="627"/>
      <c r="HNC66" s="627"/>
      <c r="HNE66" s="627"/>
      <c r="HNG66" s="627"/>
      <c r="HNI66" s="627"/>
      <c r="HNK66" s="627"/>
      <c r="HNM66" s="627"/>
      <c r="HNO66" s="627"/>
      <c r="HNQ66" s="627"/>
      <c r="HNS66" s="627"/>
      <c r="HNU66" s="627"/>
      <c r="HNW66" s="627"/>
      <c r="HNY66" s="627"/>
      <c r="HOA66" s="627"/>
      <c r="HOC66" s="627"/>
      <c r="HOE66" s="627"/>
      <c r="HOG66" s="627"/>
      <c r="HOI66" s="627"/>
      <c r="HOK66" s="627"/>
      <c r="HOM66" s="627"/>
      <c r="HOO66" s="627"/>
      <c r="HOQ66" s="627"/>
      <c r="HOS66" s="627"/>
      <c r="HOU66" s="627"/>
      <c r="HOW66" s="627"/>
      <c r="HOY66" s="627"/>
      <c r="HPA66" s="627"/>
      <c r="HPC66" s="627"/>
      <c r="HPE66" s="627"/>
      <c r="HPG66" s="627"/>
      <c r="HPI66" s="627"/>
      <c r="HPK66" s="627"/>
      <c r="HPM66" s="627"/>
      <c r="HPO66" s="627"/>
      <c r="HPQ66" s="627"/>
      <c r="HPS66" s="627"/>
      <c r="HPU66" s="627"/>
      <c r="HPW66" s="627"/>
      <c r="HPY66" s="627"/>
      <c r="HQA66" s="627"/>
      <c r="HQC66" s="627"/>
      <c r="HQE66" s="627"/>
      <c r="HQG66" s="627"/>
      <c r="HQI66" s="627"/>
      <c r="HQK66" s="627"/>
      <c r="HQM66" s="627"/>
      <c r="HQO66" s="627"/>
      <c r="HQQ66" s="627"/>
      <c r="HQS66" s="627"/>
      <c r="HQU66" s="627"/>
      <c r="HQW66" s="627"/>
      <c r="HQY66" s="627"/>
      <c r="HRA66" s="627"/>
      <c r="HRC66" s="627"/>
      <c r="HRE66" s="627"/>
      <c r="HRG66" s="627"/>
      <c r="HRI66" s="627"/>
      <c r="HRK66" s="627"/>
      <c r="HRM66" s="627"/>
      <c r="HRO66" s="627"/>
      <c r="HRQ66" s="627"/>
      <c r="HRS66" s="627"/>
      <c r="HRU66" s="627"/>
      <c r="HRW66" s="627"/>
      <c r="HRY66" s="627"/>
      <c r="HSA66" s="627"/>
      <c r="HSC66" s="627"/>
      <c r="HSE66" s="627"/>
      <c r="HSG66" s="627"/>
      <c r="HSI66" s="627"/>
      <c r="HSK66" s="627"/>
      <c r="HSM66" s="627"/>
      <c r="HSO66" s="627"/>
      <c r="HSQ66" s="627"/>
      <c r="HSS66" s="627"/>
      <c r="HSU66" s="627"/>
      <c r="HSW66" s="627"/>
      <c r="HSY66" s="627"/>
      <c r="HTA66" s="627"/>
      <c r="HTC66" s="627"/>
      <c r="HTE66" s="627"/>
      <c r="HTG66" s="627"/>
      <c r="HTI66" s="627"/>
      <c r="HTK66" s="627"/>
      <c r="HTM66" s="627"/>
      <c r="HTO66" s="627"/>
      <c r="HTQ66" s="627"/>
      <c r="HTS66" s="627"/>
      <c r="HTU66" s="627"/>
      <c r="HTW66" s="627"/>
      <c r="HTY66" s="627"/>
      <c r="HUA66" s="627"/>
      <c r="HUC66" s="627"/>
      <c r="HUE66" s="627"/>
      <c r="HUG66" s="627"/>
      <c r="HUI66" s="627"/>
      <c r="HUK66" s="627"/>
      <c r="HUM66" s="627"/>
      <c r="HUO66" s="627"/>
      <c r="HUQ66" s="627"/>
      <c r="HUS66" s="627"/>
      <c r="HUU66" s="627"/>
      <c r="HUW66" s="627"/>
      <c r="HUY66" s="627"/>
      <c r="HVA66" s="627"/>
      <c r="HVC66" s="627"/>
      <c r="HVE66" s="627"/>
      <c r="HVG66" s="627"/>
      <c r="HVI66" s="627"/>
      <c r="HVK66" s="627"/>
      <c r="HVM66" s="627"/>
      <c r="HVO66" s="627"/>
      <c r="HVQ66" s="627"/>
      <c r="HVS66" s="627"/>
      <c r="HVU66" s="627"/>
      <c r="HVW66" s="627"/>
      <c r="HVY66" s="627"/>
      <c r="HWA66" s="627"/>
      <c r="HWC66" s="627"/>
      <c r="HWE66" s="627"/>
      <c r="HWG66" s="627"/>
      <c r="HWI66" s="627"/>
      <c r="HWK66" s="627"/>
      <c r="HWM66" s="627"/>
      <c r="HWO66" s="627"/>
      <c r="HWQ66" s="627"/>
      <c r="HWS66" s="627"/>
      <c r="HWU66" s="627"/>
      <c r="HWW66" s="627"/>
      <c r="HWY66" s="627"/>
      <c r="HXA66" s="627"/>
      <c r="HXC66" s="627"/>
      <c r="HXE66" s="627"/>
      <c r="HXG66" s="627"/>
      <c r="HXI66" s="627"/>
      <c r="HXK66" s="627"/>
      <c r="HXM66" s="627"/>
      <c r="HXO66" s="627"/>
      <c r="HXQ66" s="627"/>
      <c r="HXS66" s="627"/>
      <c r="HXU66" s="627"/>
      <c r="HXW66" s="627"/>
      <c r="HXY66" s="627"/>
      <c r="HYA66" s="627"/>
      <c r="HYC66" s="627"/>
      <c r="HYE66" s="627"/>
      <c r="HYG66" s="627"/>
      <c r="HYI66" s="627"/>
      <c r="HYK66" s="627"/>
      <c r="HYM66" s="627"/>
      <c r="HYO66" s="627"/>
      <c r="HYQ66" s="627"/>
      <c r="HYS66" s="627"/>
      <c r="HYU66" s="627"/>
      <c r="HYW66" s="627"/>
      <c r="HYY66" s="627"/>
      <c r="HZA66" s="627"/>
      <c r="HZC66" s="627"/>
      <c r="HZE66" s="627"/>
      <c r="HZG66" s="627"/>
      <c r="HZI66" s="627"/>
      <c r="HZK66" s="627"/>
      <c r="HZM66" s="627"/>
      <c r="HZO66" s="627"/>
      <c r="HZQ66" s="627"/>
      <c r="HZS66" s="627"/>
      <c r="HZU66" s="627"/>
      <c r="HZW66" s="627"/>
      <c r="HZY66" s="627"/>
      <c r="IAA66" s="627"/>
      <c r="IAC66" s="627"/>
      <c r="IAE66" s="627"/>
      <c r="IAG66" s="627"/>
      <c r="IAI66" s="627"/>
      <c r="IAK66" s="627"/>
      <c r="IAM66" s="627"/>
      <c r="IAO66" s="627"/>
      <c r="IAQ66" s="627"/>
      <c r="IAS66" s="627"/>
      <c r="IAU66" s="627"/>
      <c r="IAW66" s="627"/>
      <c r="IAY66" s="627"/>
      <c r="IBA66" s="627"/>
      <c r="IBC66" s="627"/>
      <c r="IBE66" s="627"/>
      <c r="IBG66" s="627"/>
      <c r="IBI66" s="627"/>
      <c r="IBK66" s="627"/>
      <c r="IBM66" s="627"/>
      <c r="IBO66" s="627"/>
      <c r="IBQ66" s="627"/>
      <c r="IBS66" s="627"/>
      <c r="IBU66" s="627"/>
      <c r="IBW66" s="627"/>
      <c r="IBY66" s="627"/>
      <c r="ICA66" s="627"/>
      <c r="ICC66" s="627"/>
      <c r="ICE66" s="627"/>
      <c r="ICG66" s="627"/>
      <c r="ICI66" s="627"/>
      <c r="ICK66" s="627"/>
      <c r="ICM66" s="627"/>
      <c r="ICO66" s="627"/>
      <c r="ICQ66" s="627"/>
      <c r="ICS66" s="627"/>
      <c r="ICU66" s="627"/>
      <c r="ICW66" s="627"/>
      <c r="ICY66" s="627"/>
      <c r="IDA66" s="627"/>
      <c r="IDC66" s="627"/>
      <c r="IDE66" s="627"/>
      <c r="IDG66" s="627"/>
      <c r="IDI66" s="627"/>
      <c r="IDK66" s="627"/>
      <c r="IDM66" s="627"/>
      <c r="IDO66" s="627"/>
      <c r="IDQ66" s="627"/>
      <c r="IDS66" s="627"/>
      <c r="IDU66" s="627"/>
      <c r="IDW66" s="627"/>
      <c r="IDY66" s="627"/>
      <c r="IEA66" s="627"/>
      <c r="IEC66" s="627"/>
      <c r="IEE66" s="627"/>
      <c r="IEG66" s="627"/>
      <c r="IEI66" s="627"/>
      <c r="IEK66" s="627"/>
      <c r="IEM66" s="627"/>
      <c r="IEO66" s="627"/>
      <c r="IEQ66" s="627"/>
      <c r="IES66" s="627"/>
      <c r="IEU66" s="627"/>
      <c r="IEW66" s="627"/>
      <c r="IEY66" s="627"/>
      <c r="IFA66" s="627"/>
      <c r="IFC66" s="627"/>
      <c r="IFE66" s="627"/>
      <c r="IFG66" s="627"/>
      <c r="IFI66" s="627"/>
      <c r="IFK66" s="627"/>
      <c r="IFM66" s="627"/>
      <c r="IFO66" s="627"/>
      <c r="IFQ66" s="627"/>
      <c r="IFS66" s="627"/>
      <c r="IFU66" s="627"/>
      <c r="IFW66" s="627"/>
      <c r="IFY66" s="627"/>
      <c r="IGA66" s="627"/>
      <c r="IGC66" s="627"/>
      <c r="IGE66" s="627"/>
      <c r="IGG66" s="627"/>
      <c r="IGI66" s="627"/>
      <c r="IGK66" s="627"/>
      <c r="IGM66" s="627"/>
      <c r="IGO66" s="627"/>
      <c r="IGQ66" s="627"/>
      <c r="IGS66" s="627"/>
      <c r="IGU66" s="627"/>
      <c r="IGW66" s="627"/>
      <c r="IGY66" s="627"/>
      <c r="IHA66" s="627"/>
      <c r="IHC66" s="627"/>
      <c r="IHE66" s="627"/>
      <c r="IHG66" s="627"/>
      <c r="IHI66" s="627"/>
      <c r="IHK66" s="627"/>
      <c r="IHM66" s="627"/>
      <c r="IHO66" s="627"/>
      <c r="IHQ66" s="627"/>
      <c r="IHS66" s="627"/>
      <c r="IHU66" s="627"/>
      <c r="IHW66" s="627"/>
      <c r="IHY66" s="627"/>
      <c r="IIA66" s="627"/>
      <c r="IIC66" s="627"/>
      <c r="IIE66" s="627"/>
      <c r="IIG66" s="627"/>
      <c r="III66" s="627"/>
      <c r="IIK66" s="627"/>
      <c r="IIM66" s="627"/>
      <c r="IIO66" s="627"/>
      <c r="IIQ66" s="627"/>
      <c r="IIS66" s="627"/>
      <c r="IIU66" s="627"/>
      <c r="IIW66" s="627"/>
      <c r="IIY66" s="627"/>
      <c r="IJA66" s="627"/>
      <c r="IJC66" s="627"/>
      <c r="IJE66" s="627"/>
      <c r="IJG66" s="627"/>
      <c r="IJI66" s="627"/>
      <c r="IJK66" s="627"/>
      <c r="IJM66" s="627"/>
      <c r="IJO66" s="627"/>
      <c r="IJQ66" s="627"/>
      <c r="IJS66" s="627"/>
      <c r="IJU66" s="627"/>
      <c r="IJW66" s="627"/>
      <c r="IJY66" s="627"/>
      <c r="IKA66" s="627"/>
      <c r="IKC66" s="627"/>
      <c r="IKE66" s="627"/>
      <c r="IKG66" s="627"/>
      <c r="IKI66" s="627"/>
      <c r="IKK66" s="627"/>
      <c r="IKM66" s="627"/>
      <c r="IKO66" s="627"/>
      <c r="IKQ66" s="627"/>
      <c r="IKS66" s="627"/>
      <c r="IKU66" s="627"/>
      <c r="IKW66" s="627"/>
      <c r="IKY66" s="627"/>
      <c r="ILA66" s="627"/>
      <c r="ILC66" s="627"/>
      <c r="ILE66" s="627"/>
      <c r="ILG66" s="627"/>
      <c r="ILI66" s="627"/>
      <c r="ILK66" s="627"/>
      <c r="ILM66" s="627"/>
      <c r="ILO66" s="627"/>
      <c r="ILQ66" s="627"/>
      <c r="ILS66" s="627"/>
      <c r="ILU66" s="627"/>
      <c r="ILW66" s="627"/>
      <c r="ILY66" s="627"/>
      <c r="IMA66" s="627"/>
      <c r="IMC66" s="627"/>
      <c r="IME66" s="627"/>
      <c r="IMG66" s="627"/>
      <c r="IMI66" s="627"/>
      <c r="IMK66" s="627"/>
      <c r="IMM66" s="627"/>
      <c r="IMO66" s="627"/>
      <c r="IMQ66" s="627"/>
      <c r="IMS66" s="627"/>
      <c r="IMU66" s="627"/>
      <c r="IMW66" s="627"/>
      <c r="IMY66" s="627"/>
      <c r="INA66" s="627"/>
      <c r="INC66" s="627"/>
      <c r="INE66" s="627"/>
      <c r="ING66" s="627"/>
      <c r="INI66" s="627"/>
      <c r="INK66" s="627"/>
      <c r="INM66" s="627"/>
      <c r="INO66" s="627"/>
      <c r="INQ66" s="627"/>
      <c r="INS66" s="627"/>
      <c r="INU66" s="627"/>
      <c r="INW66" s="627"/>
      <c r="INY66" s="627"/>
      <c r="IOA66" s="627"/>
      <c r="IOC66" s="627"/>
      <c r="IOE66" s="627"/>
      <c r="IOG66" s="627"/>
      <c r="IOI66" s="627"/>
      <c r="IOK66" s="627"/>
      <c r="IOM66" s="627"/>
      <c r="IOO66" s="627"/>
      <c r="IOQ66" s="627"/>
      <c r="IOS66" s="627"/>
      <c r="IOU66" s="627"/>
      <c r="IOW66" s="627"/>
      <c r="IOY66" s="627"/>
      <c r="IPA66" s="627"/>
      <c r="IPC66" s="627"/>
      <c r="IPE66" s="627"/>
      <c r="IPG66" s="627"/>
      <c r="IPI66" s="627"/>
      <c r="IPK66" s="627"/>
      <c r="IPM66" s="627"/>
      <c r="IPO66" s="627"/>
      <c r="IPQ66" s="627"/>
      <c r="IPS66" s="627"/>
      <c r="IPU66" s="627"/>
      <c r="IPW66" s="627"/>
      <c r="IPY66" s="627"/>
      <c r="IQA66" s="627"/>
      <c r="IQC66" s="627"/>
      <c r="IQE66" s="627"/>
      <c r="IQG66" s="627"/>
      <c r="IQI66" s="627"/>
      <c r="IQK66" s="627"/>
      <c r="IQM66" s="627"/>
      <c r="IQO66" s="627"/>
      <c r="IQQ66" s="627"/>
      <c r="IQS66" s="627"/>
      <c r="IQU66" s="627"/>
      <c r="IQW66" s="627"/>
      <c r="IQY66" s="627"/>
      <c r="IRA66" s="627"/>
      <c r="IRC66" s="627"/>
      <c r="IRE66" s="627"/>
      <c r="IRG66" s="627"/>
      <c r="IRI66" s="627"/>
      <c r="IRK66" s="627"/>
      <c r="IRM66" s="627"/>
      <c r="IRO66" s="627"/>
      <c r="IRQ66" s="627"/>
      <c r="IRS66" s="627"/>
      <c r="IRU66" s="627"/>
      <c r="IRW66" s="627"/>
      <c r="IRY66" s="627"/>
      <c r="ISA66" s="627"/>
      <c r="ISC66" s="627"/>
      <c r="ISE66" s="627"/>
      <c r="ISG66" s="627"/>
      <c r="ISI66" s="627"/>
      <c r="ISK66" s="627"/>
      <c r="ISM66" s="627"/>
      <c r="ISO66" s="627"/>
      <c r="ISQ66" s="627"/>
      <c r="ISS66" s="627"/>
      <c r="ISU66" s="627"/>
      <c r="ISW66" s="627"/>
      <c r="ISY66" s="627"/>
      <c r="ITA66" s="627"/>
      <c r="ITC66" s="627"/>
      <c r="ITE66" s="627"/>
      <c r="ITG66" s="627"/>
      <c r="ITI66" s="627"/>
      <c r="ITK66" s="627"/>
      <c r="ITM66" s="627"/>
      <c r="ITO66" s="627"/>
      <c r="ITQ66" s="627"/>
      <c r="ITS66" s="627"/>
      <c r="ITU66" s="627"/>
      <c r="ITW66" s="627"/>
      <c r="ITY66" s="627"/>
      <c r="IUA66" s="627"/>
      <c r="IUC66" s="627"/>
      <c r="IUE66" s="627"/>
      <c r="IUG66" s="627"/>
      <c r="IUI66" s="627"/>
      <c r="IUK66" s="627"/>
      <c r="IUM66" s="627"/>
      <c r="IUO66" s="627"/>
      <c r="IUQ66" s="627"/>
      <c r="IUS66" s="627"/>
      <c r="IUU66" s="627"/>
      <c r="IUW66" s="627"/>
      <c r="IUY66" s="627"/>
      <c r="IVA66" s="627"/>
      <c r="IVC66" s="627"/>
      <c r="IVE66" s="627"/>
      <c r="IVG66" s="627"/>
      <c r="IVI66" s="627"/>
      <c r="IVK66" s="627"/>
      <c r="IVM66" s="627"/>
      <c r="IVO66" s="627"/>
      <c r="IVQ66" s="627"/>
      <c r="IVS66" s="627"/>
      <c r="IVU66" s="627"/>
      <c r="IVW66" s="627"/>
      <c r="IVY66" s="627"/>
      <c r="IWA66" s="627"/>
      <c r="IWC66" s="627"/>
      <c r="IWE66" s="627"/>
      <c r="IWG66" s="627"/>
      <c r="IWI66" s="627"/>
      <c r="IWK66" s="627"/>
      <c r="IWM66" s="627"/>
      <c r="IWO66" s="627"/>
      <c r="IWQ66" s="627"/>
      <c r="IWS66" s="627"/>
      <c r="IWU66" s="627"/>
      <c r="IWW66" s="627"/>
      <c r="IWY66" s="627"/>
      <c r="IXA66" s="627"/>
      <c r="IXC66" s="627"/>
      <c r="IXE66" s="627"/>
      <c r="IXG66" s="627"/>
      <c r="IXI66" s="627"/>
      <c r="IXK66" s="627"/>
      <c r="IXM66" s="627"/>
      <c r="IXO66" s="627"/>
      <c r="IXQ66" s="627"/>
      <c r="IXS66" s="627"/>
      <c r="IXU66" s="627"/>
      <c r="IXW66" s="627"/>
      <c r="IXY66" s="627"/>
      <c r="IYA66" s="627"/>
      <c r="IYC66" s="627"/>
      <c r="IYE66" s="627"/>
      <c r="IYG66" s="627"/>
      <c r="IYI66" s="627"/>
      <c r="IYK66" s="627"/>
      <c r="IYM66" s="627"/>
      <c r="IYO66" s="627"/>
      <c r="IYQ66" s="627"/>
      <c r="IYS66" s="627"/>
      <c r="IYU66" s="627"/>
      <c r="IYW66" s="627"/>
      <c r="IYY66" s="627"/>
      <c r="IZA66" s="627"/>
      <c r="IZC66" s="627"/>
      <c r="IZE66" s="627"/>
      <c r="IZG66" s="627"/>
      <c r="IZI66" s="627"/>
      <c r="IZK66" s="627"/>
      <c r="IZM66" s="627"/>
      <c r="IZO66" s="627"/>
      <c r="IZQ66" s="627"/>
      <c r="IZS66" s="627"/>
      <c r="IZU66" s="627"/>
      <c r="IZW66" s="627"/>
      <c r="IZY66" s="627"/>
      <c r="JAA66" s="627"/>
      <c r="JAC66" s="627"/>
      <c r="JAE66" s="627"/>
      <c r="JAG66" s="627"/>
      <c r="JAI66" s="627"/>
      <c r="JAK66" s="627"/>
      <c r="JAM66" s="627"/>
      <c r="JAO66" s="627"/>
      <c r="JAQ66" s="627"/>
      <c r="JAS66" s="627"/>
      <c r="JAU66" s="627"/>
      <c r="JAW66" s="627"/>
      <c r="JAY66" s="627"/>
      <c r="JBA66" s="627"/>
      <c r="JBC66" s="627"/>
      <c r="JBE66" s="627"/>
      <c r="JBG66" s="627"/>
      <c r="JBI66" s="627"/>
      <c r="JBK66" s="627"/>
      <c r="JBM66" s="627"/>
      <c r="JBO66" s="627"/>
      <c r="JBQ66" s="627"/>
      <c r="JBS66" s="627"/>
      <c r="JBU66" s="627"/>
      <c r="JBW66" s="627"/>
      <c r="JBY66" s="627"/>
      <c r="JCA66" s="627"/>
      <c r="JCC66" s="627"/>
      <c r="JCE66" s="627"/>
      <c r="JCG66" s="627"/>
      <c r="JCI66" s="627"/>
      <c r="JCK66" s="627"/>
      <c r="JCM66" s="627"/>
      <c r="JCO66" s="627"/>
      <c r="JCQ66" s="627"/>
      <c r="JCS66" s="627"/>
      <c r="JCU66" s="627"/>
      <c r="JCW66" s="627"/>
      <c r="JCY66" s="627"/>
      <c r="JDA66" s="627"/>
      <c r="JDC66" s="627"/>
      <c r="JDE66" s="627"/>
      <c r="JDG66" s="627"/>
      <c r="JDI66" s="627"/>
      <c r="JDK66" s="627"/>
      <c r="JDM66" s="627"/>
      <c r="JDO66" s="627"/>
      <c r="JDQ66" s="627"/>
      <c r="JDS66" s="627"/>
      <c r="JDU66" s="627"/>
      <c r="JDW66" s="627"/>
      <c r="JDY66" s="627"/>
      <c r="JEA66" s="627"/>
      <c r="JEC66" s="627"/>
      <c r="JEE66" s="627"/>
      <c r="JEG66" s="627"/>
      <c r="JEI66" s="627"/>
      <c r="JEK66" s="627"/>
      <c r="JEM66" s="627"/>
      <c r="JEO66" s="627"/>
      <c r="JEQ66" s="627"/>
      <c r="JES66" s="627"/>
      <c r="JEU66" s="627"/>
      <c r="JEW66" s="627"/>
      <c r="JEY66" s="627"/>
      <c r="JFA66" s="627"/>
      <c r="JFC66" s="627"/>
      <c r="JFE66" s="627"/>
      <c r="JFG66" s="627"/>
      <c r="JFI66" s="627"/>
      <c r="JFK66" s="627"/>
      <c r="JFM66" s="627"/>
      <c r="JFO66" s="627"/>
      <c r="JFQ66" s="627"/>
      <c r="JFS66" s="627"/>
      <c r="JFU66" s="627"/>
      <c r="JFW66" s="627"/>
      <c r="JFY66" s="627"/>
      <c r="JGA66" s="627"/>
      <c r="JGC66" s="627"/>
      <c r="JGE66" s="627"/>
      <c r="JGG66" s="627"/>
      <c r="JGI66" s="627"/>
      <c r="JGK66" s="627"/>
      <c r="JGM66" s="627"/>
      <c r="JGO66" s="627"/>
      <c r="JGQ66" s="627"/>
      <c r="JGS66" s="627"/>
      <c r="JGU66" s="627"/>
      <c r="JGW66" s="627"/>
      <c r="JGY66" s="627"/>
      <c r="JHA66" s="627"/>
      <c r="JHC66" s="627"/>
      <c r="JHE66" s="627"/>
      <c r="JHG66" s="627"/>
      <c r="JHI66" s="627"/>
      <c r="JHK66" s="627"/>
      <c r="JHM66" s="627"/>
      <c r="JHO66" s="627"/>
      <c r="JHQ66" s="627"/>
      <c r="JHS66" s="627"/>
      <c r="JHU66" s="627"/>
      <c r="JHW66" s="627"/>
      <c r="JHY66" s="627"/>
      <c r="JIA66" s="627"/>
      <c r="JIC66" s="627"/>
      <c r="JIE66" s="627"/>
      <c r="JIG66" s="627"/>
      <c r="JII66" s="627"/>
      <c r="JIK66" s="627"/>
      <c r="JIM66" s="627"/>
      <c r="JIO66" s="627"/>
      <c r="JIQ66" s="627"/>
      <c r="JIS66" s="627"/>
      <c r="JIU66" s="627"/>
      <c r="JIW66" s="627"/>
      <c r="JIY66" s="627"/>
      <c r="JJA66" s="627"/>
      <c r="JJC66" s="627"/>
      <c r="JJE66" s="627"/>
      <c r="JJG66" s="627"/>
      <c r="JJI66" s="627"/>
      <c r="JJK66" s="627"/>
      <c r="JJM66" s="627"/>
      <c r="JJO66" s="627"/>
      <c r="JJQ66" s="627"/>
      <c r="JJS66" s="627"/>
      <c r="JJU66" s="627"/>
      <c r="JJW66" s="627"/>
      <c r="JJY66" s="627"/>
      <c r="JKA66" s="627"/>
      <c r="JKC66" s="627"/>
      <c r="JKE66" s="627"/>
      <c r="JKG66" s="627"/>
      <c r="JKI66" s="627"/>
      <c r="JKK66" s="627"/>
      <c r="JKM66" s="627"/>
      <c r="JKO66" s="627"/>
      <c r="JKQ66" s="627"/>
      <c r="JKS66" s="627"/>
      <c r="JKU66" s="627"/>
      <c r="JKW66" s="627"/>
      <c r="JKY66" s="627"/>
      <c r="JLA66" s="627"/>
      <c r="JLC66" s="627"/>
      <c r="JLE66" s="627"/>
      <c r="JLG66" s="627"/>
      <c r="JLI66" s="627"/>
      <c r="JLK66" s="627"/>
      <c r="JLM66" s="627"/>
      <c r="JLO66" s="627"/>
      <c r="JLQ66" s="627"/>
      <c r="JLS66" s="627"/>
      <c r="JLU66" s="627"/>
      <c r="JLW66" s="627"/>
      <c r="JLY66" s="627"/>
      <c r="JMA66" s="627"/>
      <c r="JMC66" s="627"/>
      <c r="JME66" s="627"/>
      <c r="JMG66" s="627"/>
      <c r="JMI66" s="627"/>
      <c r="JMK66" s="627"/>
      <c r="JMM66" s="627"/>
      <c r="JMO66" s="627"/>
      <c r="JMQ66" s="627"/>
      <c r="JMS66" s="627"/>
      <c r="JMU66" s="627"/>
      <c r="JMW66" s="627"/>
      <c r="JMY66" s="627"/>
      <c r="JNA66" s="627"/>
      <c r="JNC66" s="627"/>
      <c r="JNE66" s="627"/>
      <c r="JNG66" s="627"/>
      <c r="JNI66" s="627"/>
      <c r="JNK66" s="627"/>
      <c r="JNM66" s="627"/>
      <c r="JNO66" s="627"/>
      <c r="JNQ66" s="627"/>
      <c r="JNS66" s="627"/>
      <c r="JNU66" s="627"/>
      <c r="JNW66" s="627"/>
      <c r="JNY66" s="627"/>
      <c r="JOA66" s="627"/>
      <c r="JOC66" s="627"/>
      <c r="JOE66" s="627"/>
      <c r="JOG66" s="627"/>
      <c r="JOI66" s="627"/>
      <c r="JOK66" s="627"/>
      <c r="JOM66" s="627"/>
      <c r="JOO66" s="627"/>
      <c r="JOQ66" s="627"/>
      <c r="JOS66" s="627"/>
      <c r="JOU66" s="627"/>
      <c r="JOW66" s="627"/>
      <c r="JOY66" s="627"/>
      <c r="JPA66" s="627"/>
      <c r="JPC66" s="627"/>
      <c r="JPE66" s="627"/>
      <c r="JPG66" s="627"/>
      <c r="JPI66" s="627"/>
      <c r="JPK66" s="627"/>
      <c r="JPM66" s="627"/>
      <c r="JPO66" s="627"/>
      <c r="JPQ66" s="627"/>
      <c r="JPS66" s="627"/>
      <c r="JPU66" s="627"/>
      <c r="JPW66" s="627"/>
      <c r="JPY66" s="627"/>
      <c r="JQA66" s="627"/>
      <c r="JQC66" s="627"/>
      <c r="JQE66" s="627"/>
      <c r="JQG66" s="627"/>
      <c r="JQI66" s="627"/>
      <c r="JQK66" s="627"/>
      <c r="JQM66" s="627"/>
      <c r="JQO66" s="627"/>
      <c r="JQQ66" s="627"/>
      <c r="JQS66" s="627"/>
      <c r="JQU66" s="627"/>
      <c r="JQW66" s="627"/>
      <c r="JQY66" s="627"/>
      <c r="JRA66" s="627"/>
      <c r="JRC66" s="627"/>
      <c r="JRE66" s="627"/>
      <c r="JRG66" s="627"/>
      <c r="JRI66" s="627"/>
      <c r="JRK66" s="627"/>
      <c r="JRM66" s="627"/>
      <c r="JRO66" s="627"/>
      <c r="JRQ66" s="627"/>
      <c r="JRS66" s="627"/>
      <c r="JRU66" s="627"/>
      <c r="JRW66" s="627"/>
      <c r="JRY66" s="627"/>
      <c r="JSA66" s="627"/>
      <c r="JSC66" s="627"/>
      <c r="JSE66" s="627"/>
      <c r="JSG66" s="627"/>
      <c r="JSI66" s="627"/>
      <c r="JSK66" s="627"/>
      <c r="JSM66" s="627"/>
      <c r="JSO66" s="627"/>
      <c r="JSQ66" s="627"/>
      <c r="JSS66" s="627"/>
      <c r="JSU66" s="627"/>
      <c r="JSW66" s="627"/>
      <c r="JSY66" s="627"/>
      <c r="JTA66" s="627"/>
      <c r="JTC66" s="627"/>
      <c r="JTE66" s="627"/>
      <c r="JTG66" s="627"/>
      <c r="JTI66" s="627"/>
      <c r="JTK66" s="627"/>
      <c r="JTM66" s="627"/>
      <c r="JTO66" s="627"/>
      <c r="JTQ66" s="627"/>
      <c r="JTS66" s="627"/>
      <c r="JTU66" s="627"/>
      <c r="JTW66" s="627"/>
      <c r="JTY66" s="627"/>
      <c r="JUA66" s="627"/>
      <c r="JUC66" s="627"/>
      <c r="JUE66" s="627"/>
      <c r="JUG66" s="627"/>
      <c r="JUI66" s="627"/>
      <c r="JUK66" s="627"/>
      <c r="JUM66" s="627"/>
      <c r="JUO66" s="627"/>
      <c r="JUQ66" s="627"/>
      <c r="JUS66" s="627"/>
      <c r="JUU66" s="627"/>
      <c r="JUW66" s="627"/>
      <c r="JUY66" s="627"/>
      <c r="JVA66" s="627"/>
      <c r="JVC66" s="627"/>
      <c r="JVE66" s="627"/>
      <c r="JVG66" s="627"/>
      <c r="JVI66" s="627"/>
      <c r="JVK66" s="627"/>
      <c r="JVM66" s="627"/>
      <c r="JVO66" s="627"/>
      <c r="JVQ66" s="627"/>
      <c r="JVS66" s="627"/>
      <c r="JVU66" s="627"/>
      <c r="JVW66" s="627"/>
      <c r="JVY66" s="627"/>
      <c r="JWA66" s="627"/>
      <c r="JWC66" s="627"/>
      <c r="JWE66" s="627"/>
      <c r="JWG66" s="627"/>
      <c r="JWI66" s="627"/>
      <c r="JWK66" s="627"/>
      <c r="JWM66" s="627"/>
      <c r="JWO66" s="627"/>
      <c r="JWQ66" s="627"/>
      <c r="JWS66" s="627"/>
      <c r="JWU66" s="627"/>
      <c r="JWW66" s="627"/>
      <c r="JWY66" s="627"/>
      <c r="JXA66" s="627"/>
      <c r="JXC66" s="627"/>
      <c r="JXE66" s="627"/>
      <c r="JXG66" s="627"/>
      <c r="JXI66" s="627"/>
      <c r="JXK66" s="627"/>
      <c r="JXM66" s="627"/>
      <c r="JXO66" s="627"/>
      <c r="JXQ66" s="627"/>
      <c r="JXS66" s="627"/>
      <c r="JXU66" s="627"/>
      <c r="JXW66" s="627"/>
      <c r="JXY66" s="627"/>
      <c r="JYA66" s="627"/>
      <c r="JYC66" s="627"/>
      <c r="JYE66" s="627"/>
      <c r="JYG66" s="627"/>
      <c r="JYI66" s="627"/>
      <c r="JYK66" s="627"/>
      <c r="JYM66" s="627"/>
      <c r="JYO66" s="627"/>
      <c r="JYQ66" s="627"/>
      <c r="JYS66" s="627"/>
      <c r="JYU66" s="627"/>
      <c r="JYW66" s="627"/>
      <c r="JYY66" s="627"/>
      <c r="JZA66" s="627"/>
      <c r="JZC66" s="627"/>
      <c r="JZE66" s="627"/>
      <c r="JZG66" s="627"/>
      <c r="JZI66" s="627"/>
      <c r="JZK66" s="627"/>
      <c r="JZM66" s="627"/>
      <c r="JZO66" s="627"/>
      <c r="JZQ66" s="627"/>
      <c r="JZS66" s="627"/>
      <c r="JZU66" s="627"/>
      <c r="JZW66" s="627"/>
      <c r="JZY66" s="627"/>
      <c r="KAA66" s="627"/>
      <c r="KAC66" s="627"/>
      <c r="KAE66" s="627"/>
      <c r="KAG66" s="627"/>
      <c r="KAI66" s="627"/>
      <c r="KAK66" s="627"/>
      <c r="KAM66" s="627"/>
      <c r="KAO66" s="627"/>
      <c r="KAQ66" s="627"/>
      <c r="KAS66" s="627"/>
      <c r="KAU66" s="627"/>
      <c r="KAW66" s="627"/>
      <c r="KAY66" s="627"/>
      <c r="KBA66" s="627"/>
      <c r="KBC66" s="627"/>
      <c r="KBE66" s="627"/>
      <c r="KBG66" s="627"/>
      <c r="KBI66" s="627"/>
      <c r="KBK66" s="627"/>
      <c r="KBM66" s="627"/>
      <c r="KBO66" s="627"/>
      <c r="KBQ66" s="627"/>
      <c r="KBS66" s="627"/>
      <c r="KBU66" s="627"/>
      <c r="KBW66" s="627"/>
      <c r="KBY66" s="627"/>
      <c r="KCA66" s="627"/>
      <c r="KCC66" s="627"/>
      <c r="KCE66" s="627"/>
      <c r="KCG66" s="627"/>
      <c r="KCI66" s="627"/>
      <c r="KCK66" s="627"/>
      <c r="KCM66" s="627"/>
      <c r="KCO66" s="627"/>
      <c r="KCQ66" s="627"/>
      <c r="KCS66" s="627"/>
      <c r="KCU66" s="627"/>
      <c r="KCW66" s="627"/>
      <c r="KCY66" s="627"/>
      <c r="KDA66" s="627"/>
      <c r="KDC66" s="627"/>
      <c r="KDE66" s="627"/>
      <c r="KDG66" s="627"/>
      <c r="KDI66" s="627"/>
      <c r="KDK66" s="627"/>
      <c r="KDM66" s="627"/>
      <c r="KDO66" s="627"/>
      <c r="KDQ66" s="627"/>
      <c r="KDS66" s="627"/>
      <c r="KDU66" s="627"/>
      <c r="KDW66" s="627"/>
      <c r="KDY66" s="627"/>
      <c r="KEA66" s="627"/>
      <c r="KEC66" s="627"/>
      <c r="KEE66" s="627"/>
      <c r="KEG66" s="627"/>
      <c r="KEI66" s="627"/>
      <c r="KEK66" s="627"/>
      <c r="KEM66" s="627"/>
      <c r="KEO66" s="627"/>
      <c r="KEQ66" s="627"/>
      <c r="KES66" s="627"/>
      <c r="KEU66" s="627"/>
      <c r="KEW66" s="627"/>
      <c r="KEY66" s="627"/>
      <c r="KFA66" s="627"/>
      <c r="KFC66" s="627"/>
      <c r="KFE66" s="627"/>
      <c r="KFG66" s="627"/>
      <c r="KFI66" s="627"/>
      <c r="KFK66" s="627"/>
      <c r="KFM66" s="627"/>
      <c r="KFO66" s="627"/>
      <c r="KFQ66" s="627"/>
      <c r="KFS66" s="627"/>
      <c r="KFU66" s="627"/>
      <c r="KFW66" s="627"/>
      <c r="KFY66" s="627"/>
      <c r="KGA66" s="627"/>
      <c r="KGC66" s="627"/>
      <c r="KGE66" s="627"/>
      <c r="KGG66" s="627"/>
      <c r="KGI66" s="627"/>
      <c r="KGK66" s="627"/>
      <c r="KGM66" s="627"/>
      <c r="KGO66" s="627"/>
      <c r="KGQ66" s="627"/>
      <c r="KGS66" s="627"/>
      <c r="KGU66" s="627"/>
      <c r="KGW66" s="627"/>
      <c r="KGY66" s="627"/>
      <c r="KHA66" s="627"/>
      <c r="KHC66" s="627"/>
      <c r="KHE66" s="627"/>
      <c r="KHG66" s="627"/>
      <c r="KHI66" s="627"/>
      <c r="KHK66" s="627"/>
      <c r="KHM66" s="627"/>
      <c r="KHO66" s="627"/>
      <c r="KHQ66" s="627"/>
      <c r="KHS66" s="627"/>
      <c r="KHU66" s="627"/>
      <c r="KHW66" s="627"/>
      <c r="KHY66" s="627"/>
      <c r="KIA66" s="627"/>
      <c r="KIC66" s="627"/>
      <c r="KIE66" s="627"/>
      <c r="KIG66" s="627"/>
      <c r="KII66" s="627"/>
      <c r="KIK66" s="627"/>
      <c r="KIM66" s="627"/>
      <c r="KIO66" s="627"/>
      <c r="KIQ66" s="627"/>
      <c r="KIS66" s="627"/>
      <c r="KIU66" s="627"/>
      <c r="KIW66" s="627"/>
      <c r="KIY66" s="627"/>
      <c r="KJA66" s="627"/>
      <c r="KJC66" s="627"/>
      <c r="KJE66" s="627"/>
      <c r="KJG66" s="627"/>
      <c r="KJI66" s="627"/>
      <c r="KJK66" s="627"/>
      <c r="KJM66" s="627"/>
      <c r="KJO66" s="627"/>
      <c r="KJQ66" s="627"/>
      <c r="KJS66" s="627"/>
      <c r="KJU66" s="627"/>
      <c r="KJW66" s="627"/>
      <c r="KJY66" s="627"/>
      <c r="KKA66" s="627"/>
      <c r="KKC66" s="627"/>
      <c r="KKE66" s="627"/>
      <c r="KKG66" s="627"/>
      <c r="KKI66" s="627"/>
      <c r="KKK66" s="627"/>
      <c r="KKM66" s="627"/>
      <c r="KKO66" s="627"/>
      <c r="KKQ66" s="627"/>
      <c r="KKS66" s="627"/>
      <c r="KKU66" s="627"/>
      <c r="KKW66" s="627"/>
      <c r="KKY66" s="627"/>
      <c r="KLA66" s="627"/>
      <c r="KLC66" s="627"/>
      <c r="KLE66" s="627"/>
      <c r="KLG66" s="627"/>
      <c r="KLI66" s="627"/>
      <c r="KLK66" s="627"/>
      <c r="KLM66" s="627"/>
      <c r="KLO66" s="627"/>
      <c r="KLQ66" s="627"/>
      <c r="KLS66" s="627"/>
      <c r="KLU66" s="627"/>
      <c r="KLW66" s="627"/>
      <c r="KLY66" s="627"/>
      <c r="KMA66" s="627"/>
      <c r="KMC66" s="627"/>
      <c r="KME66" s="627"/>
      <c r="KMG66" s="627"/>
      <c r="KMI66" s="627"/>
      <c r="KMK66" s="627"/>
      <c r="KMM66" s="627"/>
      <c r="KMO66" s="627"/>
      <c r="KMQ66" s="627"/>
      <c r="KMS66" s="627"/>
      <c r="KMU66" s="627"/>
      <c r="KMW66" s="627"/>
      <c r="KMY66" s="627"/>
      <c r="KNA66" s="627"/>
      <c r="KNC66" s="627"/>
      <c r="KNE66" s="627"/>
      <c r="KNG66" s="627"/>
      <c r="KNI66" s="627"/>
      <c r="KNK66" s="627"/>
      <c r="KNM66" s="627"/>
      <c r="KNO66" s="627"/>
      <c r="KNQ66" s="627"/>
      <c r="KNS66" s="627"/>
      <c r="KNU66" s="627"/>
      <c r="KNW66" s="627"/>
      <c r="KNY66" s="627"/>
      <c r="KOA66" s="627"/>
      <c r="KOC66" s="627"/>
      <c r="KOE66" s="627"/>
      <c r="KOG66" s="627"/>
      <c r="KOI66" s="627"/>
      <c r="KOK66" s="627"/>
      <c r="KOM66" s="627"/>
      <c r="KOO66" s="627"/>
      <c r="KOQ66" s="627"/>
      <c r="KOS66" s="627"/>
      <c r="KOU66" s="627"/>
      <c r="KOW66" s="627"/>
      <c r="KOY66" s="627"/>
      <c r="KPA66" s="627"/>
      <c r="KPC66" s="627"/>
      <c r="KPE66" s="627"/>
      <c r="KPG66" s="627"/>
      <c r="KPI66" s="627"/>
      <c r="KPK66" s="627"/>
      <c r="KPM66" s="627"/>
      <c r="KPO66" s="627"/>
      <c r="KPQ66" s="627"/>
      <c r="KPS66" s="627"/>
      <c r="KPU66" s="627"/>
      <c r="KPW66" s="627"/>
      <c r="KPY66" s="627"/>
      <c r="KQA66" s="627"/>
      <c r="KQC66" s="627"/>
      <c r="KQE66" s="627"/>
      <c r="KQG66" s="627"/>
      <c r="KQI66" s="627"/>
      <c r="KQK66" s="627"/>
      <c r="KQM66" s="627"/>
      <c r="KQO66" s="627"/>
      <c r="KQQ66" s="627"/>
      <c r="KQS66" s="627"/>
      <c r="KQU66" s="627"/>
      <c r="KQW66" s="627"/>
      <c r="KQY66" s="627"/>
      <c r="KRA66" s="627"/>
      <c r="KRC66" s="627"/>
      <c r="KRE66" s="627"/>
      <c r="KRG66" s="627"/>
      <c r="KRI66" s="627"/>
      <c r="KRK66" s="627"/>
      <c r="KRM66" s="627"/>
      <c r="KRO66" s="627"/>
      <c r="KRQ66" s="627"/>
      <c r="KRS66" s="627"/>
      <c r="KRU66" s="627"/>
      <c r="KRW66" s="627"/>
      <c r="KRY66" s="627"/>
      <c r="KSA66" s="627"/>
      <c r="KSC66" s="627"/>
      <c r="KSE66" s="627"/>
      <c r="KSG66" s="627"/>
      <c r="KSI66" s="627"/>
      <c r="KSK66" s="627"/>
      <c r="KSM66" s="627"/>
      <c r="KSO66" s="627"/>
      <c r="KSQ66" s="627"/>
      <c r="KSS66" s="627"/>
      <c r="KSU66" s="627"/>
      <c r="KSW66" s="627"/>
      <c r="KSY66" s="627"/>
      <c r="KTA66" s="627"/>
      <c r="KTC66" s="627"/>
      <c r="KTE66" s="627"/>
      <c r="KTG66" s="627"/>
      <c r="KTI66" s="627"/>
      <c r="KTK66" s="627"/>
      <c r="KTM66" s="627"/>
      <c r="KTO66" s="627"/>
      <c r="KTQ66" s="627"/>
      <c r="KTS66" s="627"/>
      <c r="KTU66" s="627"/>
      <c r="KTW66" s="627"/>
      <c r="KTY66" s="627"/>
      <c r="KUA66" s="627"/>
      <c r="KUC66" s="627"/>
      <c r="KUE66" s="627"/>
      <c r="KUG66" s="627"/>
      <c r="KUI66" s="627"/>
      <c r="KUK66" s="627"/>
      <c r="KUM66" s="627"/>
      <c r="KUO66" s="627"/>
      <c r="KUQ66" s="627"/>
      <c r="KUS66" s="627"/>
      <c r="KUU66" s="627"/>
      <c r="KUW66" s="627"/>
      <c r="KUY66" s="627"/>
      <c r="KVA66" s="627"/>
      <c r="KVC66" s="627"/>
      <c r="KVE66" s="627"/>
      <c r="KVG66" s="627"/>
      <c r="KVI66" s="627"/>
      <c r="KVK66" s="627"/>
      <c r="KVM66" s="627"/>
      <c r="KVO66" s="627"/>
      <c r="KVQ66" s="627"/>
      <c r="KVS66" s="627"/>
      <c r="KVU66" s="627"/>
      <c r="KVW66" s="627"/>
      <c r="KVY66" s="627"/>
      <c r="KWA66" s="627"/>
      <c r="KWC66" s="627"/>
      <c r="KWE66" s="627"/>
      <c r="KWG66" s="627"/>
      <c r="KWI66" s="627"/>
      <c r="KWK66" s="627"/>
      <c r="KWM66" s="627"/>
      <c r="KWO66" s="627"/>
      <c r="KWQ66" s="627"/>
      <c r="KWS66" s="627"/>
      <c r="KWU66" s="627"/>
      <c r="KWW66" s="627"/>
      <c r="KWY66" s="627"/>
      <c r="KXA66" s="627"/>
      <c r="KXC66" s="627"/>
      <c r="KXE66" s="627"/>
      <c r="KXG66" s="627"/>
      <c r="KXI66" s="627"/>
      <c r="KXK66" s="627"/>
      <c r="KXM66" s="627"/>
      <c r="KXO66" s="627"/>
      <c r="KXQ66" s="627"/>
      <c r="KXS66" s="627"/>
      <c r="KXU66" s="627"/>
      <c r="KXW66" s="627"/>
      <c r="KXY66" s="627"/>
      <c r="KYA66" s="627"/>
      <c r="KYC66" s="627"/>
      <c r="KYE66" s="627"/>
      <c r="KYG66" s="627"/>
      <c r="KYI66" s="627"/>
      <c r="KYK66" s="627"/>
      <c r="KYM66" s="627"/>
      <c r="KYO66" s="627"/>
      <c r="KYQ66" s="627"/>
      <c r="KYS66" s="627"/>
      <c r="KYU66" s="627"/>
      <c r="KYW66" s="627"/>
      <c r="KYY66" s="627"/>
      <c r="KZA66" s="627"/>
      <c r="KZC66" s="627"/>
      <c r="KZE66" s="627"/>
      <c r="KZG66" s="627"/>
      <c r="KZI66" s="627"/>
      <c r="KZK66" s="627"/>
      <c r="KZM66" s="627"/>
      <c r="KZO66" s="627"/>
      <c r="KZQ66" s="627"/>
      <c r="KZS66" s="627"/>
      <c r="KZU66" s="627"/>
      <c r="KZW66" s="627"/>
      <c r="KZY66" s="627"/>
      <c r="LAA66" s="627"/>
      <c r="LAC66" s="627"/>
      <c r="LAE66" s="627"/>
      <c r="LAG66" s="627"/>
      <c r="LAI66" s="627"/>
      <c r="LAK66" s="627"/>
      <c r="LAM66" s="627"/>
      <c r="LAO66" s="627"/>
      <c r="LAQ66" s="627"/>
      <c r="LAS66" s="627"/>
      <c r="LAU66" s="627"/>
      <c r="LAW66" s="627"/>
      <c r="LAY66" s="627"/>
      <c r="LBA66" s="627"/>
      <c r="LBC66" s="627"/>
      <c r="LBE66" s="627"/>
      <c r="LBG66" s="627"/>
      <c r="LBI66" s="627"/>
      <c r="LBK66" s="627"/>
      <c r="LBM66" s="627"/>
      <c r="LBO66" s="627"/>
      <c r="LBQ66" s="627"/>
      <c r="LBS66" s="627"/>
      <c r="LBU66" s="627"/>
      <c r="LBW66" s="627"/>
      <c r="LBY66" s="627"/>
      <c r="LCA66" s="627"/>
      <c r="LCC66" s="627"/>
      <c r="LCE66" s="627"/>
      <c r="LCG66" s="627"/>
      <c r="LCI66" s="627"/>
      <c r="LCK66" s="627"/>
      <c r="LCM66" s="627"/>
      <c r="LCO66" s="627"/>
      <c r="LCQ66" s="627"/>
      <c r="LCS66" s="627"/>
      <c r="LCU66" s="627"/>
      <c r="LCW66" s="627"/>
      <c r="LCY66" s="627"/>
      <c r="LDA66" s="627"/>
      <c r="LDC66" s="627"/>
      <c r="LDE66" s="627"/>
      <c r="LDG66" s="627"/>
      <c r="LDI66" s="627"/>
      <c r="LDK66" s="627"/>
      <c r="LDM66" s="627"/>
      <c r="LDO66" s="627"/>
      <c r="LDQ66" s="627"/>
      <c r="LDS66" s="627"/>
      <c r="LDU66" s="627"/>
      <c r="LDW66" s="627"/>
      <c r="LDY66" s="627"/>
      <c r="LEA66" s="627"/>
      <c r="LEC66" s="627"/>
      <c r="LEE66" s="627"/>
      <c r="LEG66" s="627"/>
      <c r="LEI66" s="627"/>
      <c r="LEK66" s="627"/>
      <c r="LEM66" s="627"/>
      <c r="LEO66" s="627"/>
      <c r="LEQ66" s="627"/>
      <c r="LES66" s="627"/>
      <c r="LEU66" s="627"/>
      <c r="LEW66" s="627"/>
      <c r="LEY66" s="627"/>
      <c r="LFA66" s="627"/>
      <c r="LFC66" s="627"/>
      <c r="LFE66" s="627"/>
      <c r="LFG66" s="627"/>
      <c r="LFI66" s="627"/>
      <c r="LFK66" s="627"/>
      <c r="LFM66" s="627"/>
      <c r="LFO66" s="627"/>
      <c r="LFQ66" s="627"/>
      <c r="LFS66" s="627"/>
      <c r="LFU66" s="627"/>
      <c r="LFW66" s="627"/>
      <c r="LFY66" s="627"/>
      <c r="LGA66" s="627"/>
      <c r="LGC66" s="627"/>
      <c r="LGE66" s="627"/>
      <c r="LGG66" s="627"/>
      <c r="LGI66" s="627"/>
      <c r="LGK66" s="627"/>
      <c r="LGM66" s="627"/>
      <c r="LGO66" s="627"/>
      <c r="LGQ66" s="627"/>
      <c r="LGS66" s="627"/>
      <c r="LGU66" s="627"/>
      <c r="LGW66" s="627"/>
      <c r="LGY66" s="627"/>
      <c r="LHA66" s="627"/>
      <c r="LHC66" s="627"/>
      <c r="LHE66" s="627"/>
      <c r="LHG66" s="627"/>
      <c r="LHI66" s="627"/>
      <c r="LHK66" s="627"/>
      <c r="LHM66" s="627"/>
      <c r="LHO66" s="627"/>
      <c r="LHQ66" s="627"/>
      <c r="LHS66" s="627"/>
      <c r="LHU66" s="627"/>
      <c r="LHW66" s="627"/>
      <c r="LHY66" s="627"/>
      <c r="LIA66" s="627"/>
      <c r="LIC66" s="627"/>
      <c r="LIE66" s="627"/>
      <c r="LIG66" s="627"/>
      <c r="LII66" s="627"/>
      <c r="LIK66" s="627"/>
      <c r="LIM66" s="627"/>
      <c r="LIO66" s="627"/>
      <c r="LIQ66" s="627"/>
      <c r="LIS66" s="627"/>
      <c r="LIU66" s="627"/>
      <c r="LIW66" s="627"/>
      <c r="LIY66" s="627"/>
      <c r="LJA66" s="627"/>
      <c r="LJC66" s="627"/>
      <c r="LJE66" s="627"/>
      <c r="LJG66" s="627"/>
      <c r="LJI66" s="627"/>
      <c r="LJK66" s="627"/>
      <c r="LJM66" s="627"/>
      <c r="LJO66" s="627"/>
      <c r="LJQ66" s="627"/>
      <c r="LJS66" s="627"/>
      <c r="LJU66" s="627"/>
      <c r="LJW66" s="627"/>
      <c r="LJY66" s="627"/>
      <c r="LKA66" s="627"/>
      <c r="LKC66" s="627"/>
      <c r="LKE66" s="627"/>
      <c r="LKG66" s="627"/>
      <c r="LKI66" s="627"/>
      <c r="LKK66" s="627"/>
      <c r="LKM66" s="627"/>
      <c r="LKO66" s="627"/>
      <c r="LKQ66" s="627"/>
      <c r="LKS66" s="627"/>
      <c r="LKU66" s="627"/>
      <c r="LKW66" s="627"/>
      <c r="LKY66" s="627"/>
      <c r="LLA66" s="627"/>
      <c r="LLC66" s="627"/>
      <c r="LLE66" s="627"/>
      <c r="LLG66" s="627"/>
      <c r="LLI66" s="627"/>
      <c r="LLK66" s="627"/>
      <c r="LLM66" s="627"/>
      <c r="LLO66" s="627"/>
      <c r="LLQ66" s="627"/>
      <c r="LLS66" s="627"/>
      <c r="LLU66" s="627"/>
      <c r="LLW66" s="627"/>
      <c r="LLY66" s="627"/>
      <c r="LMA66" s="627"/>
      <c r="LMC66" s="627"/>
      <c r="LME66" s="627"/>
      <c r="LMG66" s="627"/>
      <c r="LMI66" s="627"/>
      <c r="LMK66" s="627"/>
      <c r="LMM66" s="627"/>
      <c r="LMO66" s="627"/>
      <c r="LMQ66" s="627"/>
      <c r="LMS66" s="627"/>
      <c r="LMU66" s="627"/>
      <c r="LMW66" s="627"/>
      <c r="LMY66" s="627"/>
      <c r="LNA66" s="627"/>
      <c r="LNC66" s="627"/>
      <c r="LNE66" s="627"/>
      <c r="LNG66" s="627"/>
      <c r="LNI66" s="627"/>
      <c r="LNK66" s="627"/>
      <c r="LNM66" s="627"/>
      <c r="LNO66" s="627"/>
      <c r="LNQ66" s="627"/>
      <c r="LNS66" s="627"/>
      <c r="LNU66" s="627"/>
      <c r="LNW66" s="627"/>
      <c r="LNY66" s="627"/>
      <c r="LOA66" s="627"/>
      <c r="LOC66" s="627"/>
      <c r="LOE66" s="627"/>
      <c r="LOG66" s="627"/>
      <c r="LOI66" s="627"/>
      <c r="LOK66" s="627"/>
      <c r="LOM66" s="627"/>
      <c r="LOO66" s="627"/>
      <c r="LOQ66" s="627"/>
      <c r="LOS66" s="627"/>
      <c r="LOU66" s="627"/>
      <c r="LOW66" s="627"/>
      <c r="LOY66" s="627"/>
      <c r="LPA66" s="627"/>
      <c r="LPC66" s="627"/>
      <c r="LPE66" s="627"/>
      <c r="LPG66" s="627"/>
      <c r="LPI66" s="627"/>
      <c r="LPK66" s="627"/>
      <c r="LPM66" s="627"/>
      <c r="LPO66" s="627"/>
      <c r="LPQ66" s="627"/>
      <c r="LPS66" s="627"/>
      <c r="LPU66" s="627"/>
      <c r="LPW66" s="627"/>
      <c r="LPY66" s="627"/>
      <c r="LQA66" s="627"/>
      <c r="LQC66" s="627"/>
      <c r="LQE66" s="627"/>
      <c r="LQG66" s="627"/>
      <c r="LQI66" s="627"/>
      <c r="LQK66" s="627"/>
      <c r="LQM66" s="627"/>
      <c r="LQO66" s="627"/>
      <c r="LQQ66" s="627"/>
      <c r="LQS66" s="627"/>
      <c r="LQU66" s="627"/>
      <c r="LQW66" s="627"/>
      <c r="LQY66" s="627"/>
      <c r="LRA66" s="627"/>
      <c r="LRC66" s="627"/>
      <c r="LRE66" s="627"/>
      <c r="LRG66" s="627"/>
      <c r="LRI66" s="627"/>
      <c r="LRK66" s="627"/>
      <c r="LRM66" s="627"/>
      <c r="LRO66" s="627"/>
      <c r="LRQ66" s="627"/>
      <c r="LRS66" s="627"/>
      <c r="LRU66" s="627"/>
      <c r="LRW66" s="627"/>
      <c r="LRY66" s="627"/>
      <c r="LSA66" s="627"/>
      <c r="LSC66" s="627"/>
      <c r="LSE66" s="627"/>
      <c r="LSG66" s="627"/>
      <c r="LSI66" s="627"/>
      <c r="LSK66" s="627"/>
      <c r="LSM66" s="627"/>
      <c r="LSO66" s="627"/>
      <c r="LSQ66" s="627"/>
      <c r="LSS66" s="627"/>
      <c r="LSU66" s="627"/>
      <c r="LSW66" s="627"/>
      <c r="LSY66" s="627"/>
      <c r="LTA66" s="627"/>
      <c r="LTC66" s="627"/>
      <c r="LTE66" s="627"/>
      <c r="LTG66" s="627"/>
      <c r="LTI66" s="627"/>
      <c r="LTK66" s="627"/>
      <c r="LTM66" s="627"/>
      <c r="LTO66" s="627"/>
      <c r="LTQ66" s="627"/>
      <c r="LTS66" s="627"/>
      <c r="LTU66" s="627"/>
      <c r="LTW66" s="627"/>
      <c r="LTY66" s="627"/>
      <c r="LUA66" s="627"/>
      <c r="LUC66" s="627"/>
      <c r="LUE66" s="627"/>
      <c r="LUG66" s="627"/>
      <c r="LUI66" s="627"/>
      <c r="LUK66" s="627"/>
      <c r="LUM66" s="627"/>
      <c r="LUO66" s="627"/>
      <c r="LUQ66" s="627"/>
      <c r="LUS66" s="627"/>
      <c r="LUU66" s="627"/>
      <c r="LUW66" s="627"/>
      <c r="LUY66" s="627"/>
      <c r="LVA66" s="627"/>
      <c r="LVC66" s="627"/>
      <c r="LVE66" s="627"/>
      <c r="LVG66" s="627"/>
      <c r="LVI66" s="627"/>
      <c r="LVK66" s="627"/>
      <c r="LVM66" s="627"/>
      <c r="LVO66" s="627"/>
      <c r="LVQ66" s="627"/>
      <c r="LVS66" s="627"/>
      <c r="LVU66" s="627"/>
      <c r="LVW66" s="627"/>
      <c r="LVY66" s="627"/>
      <c r="LWA66" s="627"/>
      <c r="LWC66" s="627"/>
      <c r="LWE66" s="627"/>
      <c r="LWG66" s="627"/>
      <c r="LWI66" s="627"/>
      <c r="LWK66" s="627"/>
      <c r="LWM66" s="627"/>
      <c r="LWO66" s="627"/>
      <c r="LWQ66" s="627"/>
      <c r="LWS66" s="627"/>
      <c r="LWU66" s="627"/>
      <c r="LWW66" s="627"/>
      <c r="LWY66" s="627"/>
      <c r="LXA66" s="627"/>
      <c r="LXC66" s="627"/>
      <c r="LXE66" s="627"/>
      <c r="LXG66" s="627"/>
      <c r="LXI66" s="627"/>
      <c r="LXK66" s="627"/>
      <c r="LXM66" s="627"/>
      <c r="LXO66" s="627"/>
      <c r="LXQ66" s="627"/>
      <c r="LXS66" s="627"/>
      <c r="LXU66" s="627"/>
      <c r="LXW66" s="627"/>
      <c r="LXY66" s="627"/>
      <c r="LYA66" s="627"/>
      <c r="LYC66" s="627"/>
      <c r="LYE66" s="627"/>
      <c r="LYG66" s="627"/>
      <c r="LYI66" s="627"/>
      <c r="LYK66" s="627"/>
      <c r="LYM66" s="627"/>
      <c r="LYO66" s="627"/>
      <c r="LYQ66" s="627"/>
      <c r="LYS66" s="627"/>
      <c r="LYU66" s="627"/>
      <c r="LYW66" s="627"/>
      <c r="LYY66" s="627"/>
      <c r="LZA66" s="627"/>
      <c r="LZC66" s="627"/>
      <c r="LZE66" s="627"/>
      <c r="LZG66" s="627"/>
      <c r="LZI66" s="627"/>
      <c r="LZK66" s="627"/>
      <c r="LZM66" s="627"/>
      <c r="LZO66" s="627"/>
      <c r="LZQ66" s="627"/>
      <c r="LZS66" s="627"/>
      <c r="LZU66" s="627"/>
      <c r="LZW66" s="627"/>
      <c r="LZY66" s="627"/>
      <c r="MAA66" s="627"/>
      <c r="MAC66" s="627"/>
      <c r="MAE66" s="627"/>
      <c r="MAG66" s="627"/>
      <c r="MAI66" s="627"/>
      <c r="MAK66" s="627"/>
      <c r="MAM66" s="627"/>
      <c r="MAO66" s="627"/>
      <c r="MAQ66" s="627"/>
      <c r="MAS66" s="627"/>
      <c r="MAU66" s="627"/>
      <c r="MAW66" s="627"/>
      <c r="MAY66" s="627"/>
      <c r="MBA66" s="627"/>
      <c r="MBC66" s="627"/>
      <c r="MBE66" s="627"/>
      <c r="MBG66" s="627"/>
      <c r="MBI66" s="627"/>
      <c r="MBK66" s="627"/>
      <c r="MBM66" s="627"/>
      <c r="MBO66" s="627"/>
      <c r="MBQ66" s="627"/>
      <c r="MBS66" s="627"/>
      <c r="MBU66" s="627"/>
      <c r="MBW66" s="627"/>
      <c r="MBY66" s="627"/>
      <c r="MCA66" s="627"/>
      <c r="MCC66" s="627"/>
      <c r="MCE66" s="627"/>
      <c r="MCG66" s="627"/>
      <c r="MCI66" s="627"/>
      <c r="MCK66" s="627"/>
      <c r="MCM66" s="627"/>
      <c r="MCO66" s="627"/>
      <c r="MCQ66" s="627"/>
      <c r="MCS66" s="627"/>
      <c r="MCU66" s="627"/>
      <c r="MCW66" s="627"/>
      <c r="MCY66" s="627"/>
      <c r="MDA66" s="627"/>
      <c r="MDC66" s="627"/>
      <c r="MDE66" s="627"/>
      <c r="MDG66" s="627"/>
      <c r="MDI66" s="627"/>
      <c r="MDK66" s="627"/>
      <c r="MDM66" s="627"/>
      <c r="MDO66" s="627"/>
      <c r="MDQ66" s="627"/>
      <c r="MDS66" s="627"/>
      <c r="MDU66" s="627"/>
      <c r="MDW66" s="627"/>
      <c r="MDY66" s="627"/>
      <c r="MEA66" s="627"/>
      <c r="MEC66" s="627"/>
      <c r="MEE66" s="627"/>
      <c r="MEG66" s="627"/>
      <c r="MEI66" s="627"/>
      <c r="MEK66" s="627"/>
      <c r="MEM66" s="627"/>
      <c r="MEO66" s="627"/>
      <c r="MEQ66" s="627"/>
      <c r="MES66" s="627"/>
      <c r="MEU66" s="627"/>
      <c r="MEW66" s="627"/>
      <c r="MEY66" s="627"/>
      <c r="MFA66" s="627"/>
      <c r="MFC66" s="627"/>
      <c r="MFE66" s="627"/>
      <c r="MFG66" s="627"/>
      <c r="MFI66" s="627"/>
      <c r="MFK66" s="627"/>
      <c r="MFM66" s="627"/>
      <c r="MFO66" s="627"/>
      <c r="MFQ66" s="627"/>
      <c r="MFS66" s="627"/>
      <c r="MFU66" s="627"/>
      <c r="MFW66" s="627"/>
      <c r="MFY66" s="627"/>
      <c r="MGA66" s="627"/>
      <c r="MGC66" s="627"/>
      <c r="MGE66" s="627"/>
      <c r="MGG66" s="627"/>
      <c r="MGI66" s="627"/>
      <c r="MGK66" s="627"/>
      <c r="MGM66" s="627"/>
      <c r="MGO66" s="627"/>
      <c r="MGQ66" s="627"/>
      <c r="MGS66" s="627"/>
      <c r="MGU66" s="627"/>
      <c r="MGW66" s="627"/>
      <c r="MGY66" s="627"/>
      <c r="MHA66" s="627"/>
      <c r="MHC66" s="627"/>
      <c r="MHE66" s="627"/>
      <c r="MHG66" s="627"/>
      <c r="MHI66" s="627"/>
      <c r="MHK66" s="627"/>
      <c r="MHM66" s="627"/>
      <c r="MHO66" s="627"/>
      <c r="MHQ66" s="627"/>
      <c r="MHS66" s="627"/>
      <c r="MHU66" s="627"/>
      <c r="MHW66" s="627"/>
      <c r="MHY66" s="627"/>
      <c r="MIA66" s="627"/>
      <c r="MIC66" s="627"/>
      <c r="MIE66" s="627"/>
      <c r="MIG66" s="627"/>
      <c r="MII66" s="627"/>
      <c r="MIK66" s="627"/>
      <c r="MIM66" s="627"/>
      <c r="MIO66" s="627"/>
      <c r="MIQ66" s="627"/>
      <c r="MIS66" s="627"/>
      <c r="MIU66" s="627"/>
      <c r="MIW66" s="627"/>
      <c r="MIY66" s="627"/>
      <c r="MJA66" s="627"/>
      <c r="MJC66" s="627"/>
      <c r="MJE66" s="627"/>
      <c r="MJG66" s="627"/>
      <c r="MJI66" s="627"/>
      <c r="MJK66" s="627"/>
      <c r="MJM66" s="627"/>
      <c r="MJO66" s="627"/>
      <c r="MJQ66" s="627"/>
      <c r="MJS66" s="627"/>
      <c r="MJU66" s="627"/>
      <c r="MJW66" s="627"/>
      <c r="MJY66" s="627"/>
      <c r="MKA66" s="627"/>
      <c r="MKC66" s="627"/>
      <c r="MKE66" s="627"/>
      <c r="MKG66" s="627"/>
      <c r="MKI66" s="627"/>
      <c r="MKK66" s="627"/>
      <c r="MKM66" s="627"/>
      <c r="MKO66" s="627"/>
      <c r="MKQ66" s="627"/>
      <c r="MKS66" s="627"/>
      <c r="MKU66" s="627"/>
      <c r="MKW66" s="627"/>
      <c r="MKY66" s="627"/>
      <c r="MLA66" s="627"/>
      <c r="MLC66" s="627"/>
      <c r="MLE66" s="627"/>
      <c r="MLG66" s="627"/>
      <c r="MLI66" s="627"/>
      <c r="MLK66" s="627"/>
      <c r="MLM66" s="627"/>
      <c r="MLO66" s="627"/>
      <c r="MLQ66" s="627"/>
      <c r="MLS66" s="627"/>
      <c r="MLU66" s="627"/>
      <c r="MLW66" s="627"/>
      <c r="MLY66" s="627"/>
      <c r="MMA66" s="627"/>
      <c r="MMC66" s="627"/>
      <c r="MME66" s="627"/>
      <c r="MMG66" s="627"/>
      <c r="MMI66" s="627"/>
      <c r="MMK66" s="627"/>
      <c r="MMM66" s="627"/>
      <c r="MMO66" s="627"/>
      <c r="MMQ66" s="627"/>
      <c r="MMS66" s="627"/>
      <c r="MMU66" s="627"/>
      <c r="MMW66" s="627"/>
      <c r="MMY66" s="627"/>
      <c r="MNA66" s="627"/>
      <c r="MNC66" s="627"/>
      <c r="MNE66" s="627"/>
      <c r="MNG66" s="627"/>
      <c r="MNI66" s="627"/>
      <c r="MNK66" s="627"/>
      <c r="MNM66" s="627"/>
      <c r="MNO66" s="627"/>
      <c r="MNQ66" s="627"/>
      <c r="MNS66" s="627"/>
      <c r="MNU66" s="627"/>
      <c r="MNW66" s="627"/>
      <c r="MNY66" s="627"/>
      <c r="MOA66" s="627"/>
      <c r="MOC66" s="627"/>
      <c r="MOE66" s="627"/>
      <c r="MOG66" s="627"/>
      <c r="MOI66" s="627"/>
      <c r="MOK66" s="627"/>
      <c r="MOM66" s="627"/>
      <c r="MOO66" s="627"/>
      <c r="MOQ66" s="627"/>
      <c r="MOS66" s="627"/>
      <c r="MOU66" s="627"/>
      <c r="MOW66" s="627"/>
      <c r="MOY66" s="627"/>
      <c r="MPA66" s="627"/>
      <c r="MPC66" s="627"/>
      <c r="MPE66" s="627"/>
      <c r="MPG66" s="627"/>
      <c r="MPI66" s="627"/>
      <c r="MPK66" s="627"/>
      <c r="MPM66" s="627"/>
      <c r="MPO66" s="627"/>
      <c r="MPQ66" s="627"/>
      <c r="MPS66" s="627"/>
      <c r="MPU66" s="627"/>
      <c r="MPW66" s="627"/>
      <c r="MPY66" s="627"/>
      <c r="MQA66" s="627"/>
      <c r="MQC66" s="627"/>
      <c r="MQE66" s="627"/>
      <c r="MQG66" s="627"/>
      <c r="MQI66" s="627"/>
      <c r="MQK66" s="627"/>
      <c r="MQM66" s="627"/>
      <c r="MQO66" s="627"/>
      <c r="MQQ66" s="627"/>
      <c r="MQS66" s="627"/>
      <c r="MQU66" s="627"/>
      <c r="MQW66" s="627"/>
      <c r="MQY66" s="627"/>
      <c r="MRA66" s="627"/>
      <c r="MRC66" s="627"/>
      <c r="MRE66" s="627"/>
      <c r="MRG66" s="627"/>
      <c r="MRI66" s="627"/>
      <c r="MRK66" s="627"/>
      <c r="MRM66" s="627"/>
      <c r="MRO66" s="627"/>
      <c r="MRQ66" s="627"/>
      <c r="MRS66" s="627"/>
      <c r="MRU66" s="627"/>
      <c r="MRW66" s="627"/>
      <c r="MRY66" s="627"/>
      <c r="MSA66" s="627"/>
      <c r="MSC66" s="627"/>
      <c r="MSE66" s="627"/>
      <c r="MSG66" s="627"/>
      <c r="MSI66" s="627"/>
      <c r="MSK66" s="627"/>
      <c r="MSM66" s="627"/>
      <c r="MSO66" s="627"/>
      <c r="MSQ66" s="627"/>
      <c r="MSS66" s="627"/>
      <c r="MSU66" s="627"/>
      <c r="MSW66" s="627"/>
      <c r="MSY66" s="627"/>
      <c r="MTA66" s="627"/>
      <c r="MTC66" s="627"/>
      <c r="MTE66" s="627"/>
      <c r="MTG66" s="627"/>
      <c r="MTI66" s="627"/>
      <c r="MTK66" s="627"/>
      <c r="MTM66" s="627"/>
      <c r="MTO66" s="627"/>
      <c r="MTQ66" s="627"/>
      <c r="MTS66" s="627"/>
      <c r="MTU66" s="627"/>
      <c r="MTW66" s="627"/>
      <c r="MTY66" s="627"/>
      <c r="MUA66" s="627"/>
      <c r="MUC66" s="627"/>
      <c r="MUE66" s="627"/>
      <c r="MUG66" s="627"/>
      <c r="MUI66" s="627"/>
      <c r="MUK66" s="627"/>
      <c r="MUM66" s="627"/>
      <c r="MUO66" s="627"/>
      <c r="MUQ66" s="627"/>
      <c r="MUS66" s="627"/>
      <c r="MUU66" s="627"/>
      <c r="MUW66" s="627"/>
      <c r="MUY66" s="627"/>
      <c r="MVA66" s="627"/>
      <c r="MVC66" s="627"/>
      <c r="MVE66" s="627"/>
      <c r="MVG66" s="627"/>
      <c r="MVI66" s="627"/>
      <c r="MVK66" s="627"/>
      <c r="MVM66" s="627"/>
      <c r="MVO66" s="627"/>
      <c r="MVQ66" s="627"/>
      <c r="MVS66" s="627"/>
      <c r="MVU66" s="627"/>
      <c r="MVW66" s="627"/>
      <c r="MVY66" s="627"/>
      <c r="MWA66" s="627"/>
      <c r="MWC66" s="627"/>
      <c r="MWE66" s="627"/>
      <c r="MWG66" s="627"/>
      <c r="MWI66" s="627"/>
      <c r="MWK66" s="627"/>
      <c r="MWM66" s="627"/>
      <c r="MWO66" s="627"/>
      <c r="MWQ66" s="627"/>
      <c r="MWS66" s="627"/>
      <c r="MWU66" s="627"/>
      <c r="MWW66" s="627"/>
      <c r="MWY66" s="627"/>
      <c r="MXA66" s="627"/>
      <c r="MXC66" s="627"/>
      <c r="MXE66" s="627"/>
      <c r="MXG66" s="627"/>
      <c r="MXI66" s="627"/>
      <c r="MXK66" s="627"/>
      <c r="MXM66" s="627"/>
      <c r="MXO66" s="627"/>
      <c r="MXQ66" s="627"/>
      <c r="MXS66" s="627"/>
      <c r="MXU66" s="627"/>
      <c r="MXW66" s="627"/>
      <c r="MXY66" s="627"/>
      <c r="MYA66" s="627"/>
      <c r="MYC66" s="627"/>
      <c r="MYE66" s="627"/>
      <c r="MYG66" s="627"/>
      <c r="MYI66" s="627"/>
      <c r="MYK66" s="627"/>
      <c r="MYM66" s="627"/>
      <c r="MYO66" s="627"/>
      <c r="MYQ66" s="627"/>
      <c r="MYS66" s="627"/>
      <c r="MYU66" s="627"/>
      <c r="MYW66" s="627"/>
      <c r="MYY66" s="627"/>
      <c r="MZA66" s="627"/>
      <c r="MZC66" s="627"/>
      <c r="MZE66" s="627"/>
      <c r="MZG66" s="627"/>
      <c r="MZI66" s="627"/>
      <c r="MZK66" s="627"/>
      <c r="MZM66" s="627"/>
      <c r="MZO66" s="627"/>
      <c r="MZQ66" s="627"/>
      <c r="MZS66" s="627"/>
      <c r="MZU66" s="627"/>
      <c r="MZW66" s="627"/>
      <c r="MZY66" s="627"/>
      <c r="NAA66" s="627"/>
      <c r="NAC66" s="627"/>
      <c r="NAE66" s="627"/>
      <c r="NAG66" s="627"/>
      <c r="NAI66" s="627"/>
      <c r="NAK66" s="627"/>
      <c r="NAM66" s="627"/>
      <c r="NAO66" s="627"/>
      <c r="NAQ66" s="627"/>
      <c r="NAS66" s="627"/>
      <c r="NAU66" s="627"/>
      <c r="NAW66" s="627"/>
      <c r="NAY66" s="627"/>
      <c r="NBA66" s="627"/>
      <c r="NBC66" s="627"/>
      <c r="NBE66" s="627"/>
      <c r="NBG66" s="627"/>
      <c r="NBI66" s="627"/>
      <c r="NBK66" s="627"/>
      <c r="NBM66" s="627"/>
      <c r="NBO66" s="627"/>
      <c r="NBQ66" s="627"/>
      <c r="NBS66" s="627"/>
      <c r="NBU66" s="627"/>
      <c r="NBW66" s="627"/>
      <c r="NBY66" s="627"/>
      <c r="NCA66" s="627"/>
      <c r="NCC66" s="627"/>
      <c r="NCE66" s="627"/>
      <c r="NCG66" s="627"/>
      <c r="NCI66" s="627"/>
      <c r="NCK66" s="627"/>
      <c r="NCM66" s="627"/>
      <c r="NCO66" s="627"/>
      <c r="NCQ66" s="627"/>
      <c r="NCS66" s="627"/>
      <c r="NCU66" s="627"/>
      <c r="NCW66" s="627"/>
      <c r="NCY66" s="627"/>
      <c r="NDA66" s="627"/>
      <c r="NDC66" s="627"/>
      <c r="NDE66" s="627"/>
      <c r="NDG66" s="627"/>
      <c r="NDI66" s="627"/>
      <c r="NDK66" s="627"/>
      <c r="NDM66" s="627"/>
      <c r="NDO66" s="627"/>
      <c r="NDQ66" s="627"/>
      <c r="NDS66" s="627"/>
      <c r="NDU66" s="627"/>
      <c r="NDW66" s="627"/>
      <c r="NDY66" s="627"/>
      <c r="NEA66" s="627"/>
      <c r="NEC66" s="627"/>
      <c r="NEE66" s="627"/>
      <c r="NEG66" s="627"/>
      <c r="NEI66" s="627"/>
      <c r="NEK66" s="627"/>
      <c r="NEM66" s="627"/>
      <c r="NEO66" s="627"/>
      <c r="NEQ66" s="627"/>
      <c r="NES66" s="627"/>
      <c r="NEU66" s="627"/>
      <c r="NEW66" s="627"/>
      <c r="NEY66" s="627"/>
      <c r="NFA66" s="627"/>
      <c r="NFC66" s="627"/>
      <c r="NFE66" s="627"/>
      <c r="NFG66" s="627"/>
      <c r="NFI66" s="627"/>
      <c r="NFK66" s="627"/>
      <c r="NFM66" s="627"/>
      <c r="NFO66" s="627"/>
      <c r="NFQ66" s="627"/>
      <c r="NFS66" s="627"/>
      <c r="NFU66" s="627"/>
      <c r="NFW66" s="627"/>
      <c r="NFY66" s="627"/>
      <c r="NGA66" s="627"/>
      <c r="NGC66" s="627"/>
      <c r="NGE66" s="627"/>
      <c r="NGG66" s="627"/>
      <c r="NGI66" s="627"/>
      <c r="NGK66" s="627"/>
      <c r="NGM66" s="627"/>
      <c r="NGO66" s="627"/>
      <c r="NGQ66" s="627"/>
      <c r="NGS66" s="627"/>
      <c r="NGU66" s="627"/>
      <c r="NGW66" s="627"/>
      <c r="NGY66" s="627"/>
      <c r="NHA66" s="627"/>
      <c r="NHC66" s="627"/>
      <c r="NHE66" s="627"/>
      <c r="NHG66" s="627"/>
      <c r="NHI66" s="627"/>
      <c r="NHK66" s="627"/>
      <c r="NHM66" s="627"/>
      <c r="NHO66" s="627"/>
      <c r="NHQ66" s="627"/>
      <c r="NHS66" s="627"/>
      <c r="NHU66" s="627"/>
      <c r="NHW66" s="627"/>
      <c r="NHY66" s="627"/>
      <c r="NIA66" s="627"/>
      <c r="NIC66" s="627"/>
      <c r="NIE66" s="627"/>
      <c r="NIG66" s="627"/>
      <c r="NII66" s="627"/>
      <c r="NIK66" s="627"/>
      <c r="NIM66" s="627"/>
      <c r="NIO66" s="627"/>
      <c r="NIQ66" s="627"/>
      <c r="NIS66" s="627"/>
      <c r="NIU66" s="627"/>
      <c r="NIW66" s="627"/>
      <c r="NIY66" s="627"/>
      <c r="NJA66" s="627"/>
      <c r="NJC66" s="627"/>
      <c r="NJE66" s="627"/>
      <c r="NJG66" s="627"/>
      <c r="NJI66" s="627"/>
      <c r="NJK66" s="627"/>
      <c r="NJM66" s="627"/>
      <c r="NJO66" s="627"/>
      <c r="NJQ66" s="627"/>
      <c r="NJS66" s="627"/>
      <c r="NJU66" s="627"/>
      <c r="NJW66" s="627"/>
      <c r="NJY66" s="627"/>
      <c r="NKA66" s="627"/>
      <c r="NKC66" s="627"/>
      <c r="NKE66" s="627"/>
      <c r="NKG66" s="627"/>
      <c r="NKI66" s="627"/>
      <c r="NKK66" s="627"/>
      <c r="NKM66" s="627"/>
      <c r="NKO66" s="627"/>
      <c r="NKQ66" s="627"/>
      <c r="NKS66" s="627"/>
      <c r="NKU66" s="627"/>
      <c r="NKW66" s="627"/>
      <c r="NKY66" s="627"/>
      <c r="NLA66" s="627"/>
      <c r="NLC66" s="627"/>
      <c r="NLE66" s="627"/>
      <c r="NLG66" s="627"/>
      <c r="NLI66" s="627"/>
      <c r="NLK66" s="627"/>
      <c r="NLM66" s="627"/>
      <c r="NLO66" s="627"/>
      <c r="NLQ66" s="627"/>
      <c r="NLS66" s="627"/>
      <c r="NLU66" s="627"/>
      <c r="NLW66" s="627"/>
      <c r="NLY66" s="627"/>
      <c r="NMA66" s="627"/>
      <c r="NMC66" s="627"/>
      <c r="NME66" s="627"/>
      <c r="NMG66" s="627"/>
      <c r="NMI66" s="627"/>
      <c r="NMK66" s="627"/>
      <c r="NMM66" s="627"/>
      <c r="NMO66" s="627"/>
      <c r="NMQ66" s="627"/>
      <c r="NMS66" s="627"/>
      <c r="NMU66" s="627"/>
      <c r="NMW66" s="627"/>
      <c r="NMY66" s="627"/>
      <c r="NNA66" s="627"/>
      <c r="NNC66" s="627"/>
      <c r="NNE66" s="627"/>
      <c r="NNG66" s="627"/>
      <c r="NNI66" s="627"/>
      <c r="NNK66" s="627"/>
      <c r="NNM66" s="627"/>
      <c r="NNO66" s="627"/>
      <c r="NNQ66" s="627"/>
      <c r="NNS66" s="627"/>
      <c r="NNU66" s="627"/>
      <c r="NNW66" s="627"/>
      <c r="NNY66" s="627"/>
      <c r="NOA66" s="627"/>
      <c r="NOC66" s="627"/>
      <c r="NOE66" s="627"/>
      <c r="NOG66" s="627"/>
      <c r="NOI66" s="627"/>
      <c r="NOK66" s="627"/>
      <c r="NOM66" s="627"/>
      <c r="NOO66" s="627"/>
      <c r="NOQ66" s="627"/>
      <c r="NOS66" s="627"/>
      <c r="NOU66" s="627"/>
      <c r="NOW66" s="627"/>
      <c r="NOY66" s="627"/>
      <c r="NPA66" s="627"/>
      <c r="NPC66" s="627"/>
      <c r="NPE66" s="627"/>
      <c r="NPG66" s="627"/>
      <c r="NPI66" s="627"/>
      <c r="NPK66" s="627"/>
      <c r="NPM66" s="627"/>
      <c r="NPO66" s="627"/>
      <c r="NPQ66" s="627"/>
      <c r="NPS66" s="627"/>
      <c r="NPU66" s="627"/>
      <c r="NPW66" s="627"/>
      <c r="NPY66" s="627"/>
      <c r="NQA66" s="627"/>
      <c r="NQC66" s="627"/>
      <c r="NQE66" s="627"/>
      <c r="NQG66" s="627"/>
      <c r="NQI66" s="627"/>
      <c r="NQK66" s="627"/>
      <c r="NQM66" s="627"/>
      <c r="NQO66" s="627"/>
      <c r="NQQ66" s="627"/>
      <c r="NQS66" s="627"/>
      <c r="NQU66" s="627"/>
      <c r="NQW66" s="627"/>
      <c r="NQY66" s="627"/>
      <c r="NRA66" s="627"/>
      <c r="NRC66" s="627"/>
      <c r="NRE66" s="627"/>
      <c r="NRG66" s="627"/>
      <c r="NRI66" s="627"/>
      <c r="NRK66" s="627"/>
      <c r="NRM66" s="627"/>
      <c r="NRO66" s="627"/>
      <c r="NRQ66" s="627"/>
      <c r="NRS66" s="627"/>
      <c r="NRU66" s="627"/>
      <c r="NRW66" s="627"/>
      <c r="NRY66" s="627"/>
      <c r="NSA66" s="627"/>
      <c r="NSC66" s="627"/>
      <c r="NSE66" s="627"/>
      <c r="NSG66" s="627"/>
      <c r="NSI66" s="627"/>
      <c r="NSK66" s="627"/>
      <c r="NSM66" s="627"/>
      <c r="NSO66" s="627"/>
      <c r="NSQ66" s="627"/>
      <c r="NSS66" s="627"/>
      <c r="NSU66" s="627"/>
      <c r="NSW66" s="627"/>
      <c r="NSY66" s="627"/>
      <c r="NTA66" s="627"/>
      <c r="NTC66" s="627"/>
      <c r="NTE66" s="627"/>
      <c r="NTG66" s="627"/>
      <c r="NTI66" s="627"/>
      <c r="NTK66" s="627"/>
      <c r="NTM66" s="627"/>
      <c r="NTO66" s="627"/>
      <c r="NTQ66" s="627"/>
      <c r="NTS66" s="627"/>
      <c r="NTU66" s="627"/>
      <c r="NTW66" s="627"/>
      <c r="NTY66" s="627"/>
      <c r="NUA66" s="627"/>
      <c r="NUC66" s="627"/>
      <c r="NUE66" s="627"/>
      <c r="NUG66" s="627"/>
      <c r="NUI66" s="627"/>
      <c r="NUK66" s="627"/>
      <c r="NUM66" s="627"/>
      <c r="NUO66" s="627"/>
      <c r="NUQ66" s="627"/>
      <c r="NUS66" s="627"/>
      <c r="NUU66" s="627"/>
      <c r="NUW66" s="627"/>
      <c r="NUY66" s="627"/>
      <c r="NVA66" s="627"/>
      <c r="NVC66" s="627"/>
      <c r="NVE66" s="627"/>
      <c r="NVG66" s="627"/>
      <c r="NVI66" s="627"/>
      <c r="NVK66" s="627"/>
      <c r="NVM66" s="627"/>
      <c r="NVO66" s="627"/>
      <c r="NVQ66" s="627"/>
      <c r="NVS66" s="627"/>
      <c r="NVU66" s="627"/>
      <c r="NVW66" s="627"/>
      <c r="NVY66" s="627"/>
      <c r="NWA66" s="627"/>
      <c r="NWC66" s="627"/>
      <c r="NWE66" s="627"/>
      <c r="NWG66" s="627"/>
      <c r="NWI66" s="627"/>
      <c r="NWK66" s="627"/>
      <c r="NWM66" s="627"/>
      <c r="NWO66" s="627"/>
      <c r="NWQ66" s="627"/>
      <c r="NWS66" s="627"/>
      <c r="NWU66" s="627"/>
      <c r="NWW66" s="627"/>
      <c r="NWY66" s="627"/>
      <c r="NXA66" s="627"/>
      <c r="NXC66" s="627"/>
      <c r="NXE66" s="627"/>
      <c r="NXG66" s="627"/>
      <c r="NXI66" s="627"/>
      <c r="NXK66" s="627"/>
      <c r="NXM66" s="627"/>
      <c r="NXO66" s="627"/>
      <c r="NXQ66" s="627"/>
      <c r="NXS66" s="627"/>
      <c r="NXU66" s="627"/>
      <c r="NXW66" s="627"/>
      <c r="NXY66" s="627"/>
      <c r="NYA66" s="627"/>
      <c r="NYC66" s="627"/>
      <c r="NYE66" s="627"/>
      <c r="NYG66" s="627"/>
      <c r="NYI66" s="627"/>
      <c r="NYK66" s="627"/>
      <c r="NYM66" s="627"/>
      <c r="NYO66" s="627"/>
      <c r="NYQ66" s="627"/>
      <c r="NYS66" s="627"/>
      <c r="NYU66" s="627"/>
      <c r="NYW66" s="627"/>
      <c r="NYY66" s="627"/>
      <c r="NZA66" s="627"/>
      <c r="NZC66" s="627"/>
      <c r="NZE66" s="627"/>
      <c r="NZG66" s="627"/>
      <c r="NZI66" s="627"/>
      <c r="NZK66" s="627"/>
      <c r="NZM66" s="627"/>
      <c r="NZO66" s="627"/>
      <c r="NZQ66" s="627"/>
      <c r="NZS66" s="627"/>
      <c r="NZU66" s="627"/>
      <c r="NZW66" s="627"/>
      <c r="NZY66" s="627"/>
      <c r="OAA66" s="627"/>
      <c r="OAC66" s="627"/>
      <c r="OAE66" s="627"/>
      <c r="OAG66" s="627"/>
      <c r="OAI66" s="627"/>
      <c r="OAK66" s="627"/>
      <c r="OAM66" s="627"/>
      <c r="OAO66" s="627"/>
      <c r="OAQ66" s="627"/>
      <c r="OAS66" s="627"/>
      <c r="OAU66" s="627"/>
      <c r="OAW66" s="627"/>
      <c r="OAY66" s="627"/>
      <c r="OBA66" s="627"/>
      <c r="OBC66" s="627"/>
      <c r="OBE66" s="627"/>
      <c r="OBG66" s="627"/>
      <c r="OBI66" s="627"/>
      <c r="OBK66" s="627"/>
      <c r="OBM66" s="627"/>
      <c r="OBO66" s="627"/>
      <c r="OBQ66" s="627"/>
      <c r="OBS66" s="627"/>
      <c r="OBU66" s="627"/>
      <c r="OBW66" s="627"/>
      <c r="OBY66" s="627"/>
      <c r="OCA66" s="627"/>
      <c r="OCC66" s="627"/>
      <c r="OCE66" s="627"/>
      <c r="OCG66" s="627"/>
      <c r="OCI66" s="627"/>
      <c r="OCK66" s="627"/>
      <c r="OCM66" s="627"/>
      <c r="OCO66" s="627"/>
      <c r="OCQ66" s="627"/>
      <c r="OCS66" s="627"/>
      <c r="OCU66" s="627"/>
      <c r="OCW66" s="627"/>
      <c r="OCY66" s="627"/>
      <c r="ODA66" s="627"/>
      <c r="ODC66" s="627"/>
      <c r="ODE66" s="627"/>
      <c r="ODG66" s="627"/>
      <c r="ODI66" s="627"/>
      <c r="ODK66" s="627"/>
      <c r="ODM66" s="627"/>
      <c r="ODO66" s="627"/>
      <c r="ODQ66" s="627"/>
      <c r="ODS66" s="627"/>
      <c r="ODU66" s="627"/>
      <c r="ODW66" s="627"/>
      <c r="ODY66" s="627"/>
      <c r="OEA66" s="627"/>
      <c r="OEC66" s="627"/>
      <c r="OEE66" s="627"/>
      <c r="OEG66" s="627"/>
      <c r="OEI66" s="627"/>
      <c r="OEK66" s="627"/>
      <c r="OEM66" s="627"/>
      <c r="OEO66" s="627"/>
      <c r="OEQ66" s="627"/>
      <c r="OES66" s="627"/>
      <c r="OEU66" s="627"/>
      <c r="OEW66" s="627"/>
      <c r="OEY66" s="627"/>
      <c r="OFA66" s="627"/>
      <c r="OFC66" s="627"/>
      <c r="OFE66" s="627"/>
      <c r="OFG66" s="627"/>
      <c r="OFI66" s="627"/>
      <c r="OFK66" s="627"/>
      <c r="OFM66" s="627"/>
      <c r="OFO66" s="627"/>
      <c r="OFQ66" s="627"/>
      <c r="OFS66" s="627"/>
      <c r="OFU66" s="627"/>
      <c r="OFW66" s="627"/>
      <c r="OFY66" s="627"/>
      <c r="OGA66" s="627"/>
      <c r="OGC66" s="627"/>
      <c r="OGE66" s="627"/>
      <c r="OGG66" s="627"/>
      <c r="OGI66" s="627"/>
      <c r="OGK66" s="627"/>
      <c r="OGM66" s="627"/>
      <c r="OGO66" s="627"/>
      <c r="OGQ66" s="627"/>
      <c r="OGS66" s="627"/>
      <c r="OGU66" s="627"/>
      <c r="OGW66" s="627"/>
      <c r="OGY66" s="627"/>
      <c r="OHA66" s="627"/>
      <c r="OHC66" s="627"/>
      <c r="OHE66" s="627"/>
      <c r="OHG66" s="627"/>
      <c r="OHI66" s="627"/>
      <c r="OHK66" s="627"/>
      <c r="OHM66" s="627"/>
      <c r="OHO66" s="627"/>
      <c r="OHQ66" s="627"/>
      <c r="OHS66" s="627"/>
      <c r="OHU66" s="627"/>
      <c r="OHW66" s="627"/>
      <c r="OHY66" s="627"/>
      <c r="OIA66" s="627"/>
      <c r="OIC66" s="627"/>
      <c r="OIE66" s="627"/>
      <c r="OIG66" s="627"/>
      <c r="OII66" s="627"/>
      <c r="OIK66" s="627"/>
      <c r="OIM66" s="627"/>
      <c r="OIO66" s="627"/>
      <c r="OIQ66" s="627"/>
      <c r="OIS66" s="627"/>
      <c r="OIU66" s="627"/>
      <c r="OIW66" s="627"/>
      <c r="OIY66" s="627"/>
      <c r="OJA66" s="627"/>
      <c r="OJC66" s="627"/>
      <c r="OJE66" s="627"/>
      <c r="OJG66" s="627"/>
      <c r="OJI66" s="627"/>
      <c r="OJK66" s="627"/>
      <c r="OJM66" s="627"/>
      <c r="OJO66" s="627"/>
      <c r="OJQ66" s="627"/>
      <c r="OJS66" s="627"/>
      <c r="OJU66" s="627"/>
      <c r="OJW66" s="627"/>
      <c r="OJY66" s="627"/>
      <c r="OKA66" s="627"/>
      <c r="OKC66" s="627"/>
      <c r="OKE66" s="627"/>
      <c r="OKG66" s="627"/>
      <c r="OKI66" s="627"/>
      <c r="OKK66" s="627"/>
      <c r="OKM66" s="627"/>
      <c r="OKO66" s="627"/>
      <c r="OKQ66" s="627"/>
      <c r="OKS66" s="627"/>
      <c r="OKU66" s="627"/>
      <c r="OKW66" s="627"/>
      <c r="OKY66" s="627"/>
      <c r="OLA66" s="627"/>
      <c r="OLC66" s="627"/>
      <c r="OLE66" s="627"/>
      <c r="OLG66" s="627"/>
      <c r="OLI66" s="627"/>
      <c r="OLK66" s="627"/>
      <c r="OLM66" s="627"/>
      <c r="OLO66" s="627"/>
      <c r="OLQ66" s="627"/>
      <c r="OLS66" s="627"/>
      <c r="OLU66" s="627"/>
      <c r="OLW66" s="627"/>
      <c r="OLY66" s="627"/>
      <c r="OMA66" s="627"/>
      <c r="OMC66" s="627"/>
      <c r="OME66" s="627"/>
      <c r="OMG66" s="627"/>
      <c r="OMI66" s="627"/>
      <c r="OMK66" s="627"/>
      <c r="OMM66" s="627"/>
      <c r="OMO66" s="627"/>
      <c r="OMQ66" s="627"/>
      <c r="OMS66" s="627"/>
      <c r="OMU66" s="627"/>
      <c r="OMW66" s="627"/>
      <c r="OMY66" s="627"/>
      <c r="ONA66" s="627"/>
      <c r="ONC66" s="627"/>
      <c r="ONE66" s="627"/>
      <c r="ONG66" s="627"/>
      <c r="ONI66" s="627"/>
      <c r="ONK66" s="627"/>
      <c r="ONM66" s="627"/>
      <c r="ONO66" s="627"/>
      <c r="ONQ66" s="627"/>
      <c r="ONS66" s="627"/>
      <c r="ONU66" s="627"/>
      <c r="ONW66" s="627"/>
      <c r="ONY66" s="627"/>
      <c r="OOA66" s="627"/>
      <c r="OOC66" s="627"/>
      <c r="OOE66" s="627"/>
      <c r="OOG66" s="627"/>
      <c r="OOI66" s="627"/>
      <c r="OOK66" s="627"/>
      <c r="OOM66" s="627"/>
      <c r="OOO66" s="627"/>
      <c r="OOQ66" s="627"/>
      <c r="OOS66" s="627"/>
      <c r="OOU66" s="627"/>
      <c r="OOW66" s="627"/>
      <c r="OOY66" s="627"/>
      <c r="OPA66" s="627"/>
      <c r="OPC66" s="627"/>
      <c r="OPE66" s="627"/>
      <c r="OPG66" s="627"/>
      <c r="OPI66" s="627"/>
      <c r="OPK66" s="627"/>
      <c r="OPM66" s="627"/>
      <c r="OPO66" s="627"/>
      <c r="OPQ66" s="627"/>
      <c r="OPS66" s="627"/>
      <c r="OPU66" s="627"/>
      <c r="OPW66" s="627"/>
      <c r="OPY66" s="627"/>
      <c r="OQA66" s="627"/>
      <c r="OQC66" s="627"/>
      <c r="OQE66" s="627"/>
      <c r="OQG66" s="627"/>
      <c r="OQI66" s="627"/>
      <c r="OQK66" s="627"/>
      <c r="OQM66" s="627"/>
      <c r="OQO66" s="627"/>
      <c r="OQQ66" s="627"/>
      <c r="OQS66" s="627"/>
      <c r="OQU66" s="627"/>
      <c r="OQW66" s="627"/>
      <c r="OQY66" s="627"/>
      <c r="ORA66" s="627"/>
      <c r="ORC66" s="627"/>
      <c r="ORE66" s="627"/>
      <c r="ORG66" s="627"/>
      <c r="ORI66" s="627"/>
      <c r="ORK66" s="627"/>
      <c r="ORM66" s="627"/>
      <c r="ORO66" s="627"/>
      <c r="ORQ66" s="627"/>
      <c r="ORS66" s="627"/>
      <c r="ORU66" s="627"/>
      <c r="ORW66" s="627"/>
      <c r="ORY66" s="627"/>
      <c r="OSA66" s="627"/>
      <c r="OSC66" s="627"/>
      <c r="OSE66" s="627"/>
      <c r="OSG66" s="627"/>
      <c r="OSI66" s="627"/>
      <c r="OSK66" s="627"/>
      <c r="OSM66" s="627"/>
      <c r="OSO66" s="627"/>
      <c r="OSQ66" s="627"/>
      <c r="OSS66" s="627"/>
      <c r="OSU66" s="627"/>
      <c r="OSW66" s="627"/>
      <c r="OSY66" s="627"/>
      <c r="OTA66" s="627"/>
      <c r="OTC66" s="627"/>
      <c r="OTE66" s="627"/>
      <c r="OTG66" s="627"/>
      <c r="OTI66" s="627"/>
      <c r="OTK66" s="627"/>
      <c r="OTM66" s="627"/>
      <c r="OTO66" s="627"/>
      <c r="OTQ66" s="627"/>
      <c r="OTS66" s="627"/>
      <c r="OTU66" s="627"/>
      <c r="OTW66" s="627"/>
      <c r="OTY66" s="627"/>
      <c r="OUA66" s="627"/>
      <c r="OUC66" s="627"/>
      <c r="OUE66" s="627"/>
      <c r="OUG66" s="627"/>
      <c r="OUI66" s="627"/>
      <c r="OUK66" s="627"/>
      <c r="OUM66" s="627"/>
      <c r="OUO66" s="627"/>
      <c r="OUQ66" s="627"/>
      <c r="OUS66" s="627"/>
      <c r="OUU66" s="627"/>
      <c r="OUW66" s="627"/>
      <c r="OUY66" s="627"/>
      <c r="OVA66" s="627"/>
      <c r="OVC66" s="627"/>
      <c r="OVE66" s="627"/>
      <c r="OVG66" s="627"/>
      <c r="OVI66" s="627"/>
      <c r="OVK66" s="627"/>
      <c r="OVM66" s="627"/>
      <c r="OVO66" s="627"/>
      <c r="OVQ66" s="627"/>
      <c r="OVS66" s="627"/>
      <c r="OVU66" s="627"/>
      <c r="OVW66" s="627"/>
      <c r="OVY66" s="627"/>
      <c r="OWA66" s="627"/>
      <c r="OWC66" s="627"/>
      <c r="OWE66" s="627"/>
      <c r="OWG66" s="627"/>
      <c r="OWI66" s="627"/>
      <c r="OWK66" s="627"/>
      <c r="OWM66" s="627"/>
      <c r="OWO66" s="627"/>
      <c r="OWQ66" s="627"/>
      <c r="OWS66" s="627"/>
      <c r="OWU66" s="627"/>
      <c r="OWW66" s="627"/>
      <c r="OWY66" s="627"/>
      <c r="OXA66" s="627"/>
      <c r="OXC66" s="627"/>
      <c r="OXE66" s="627"/>
      <c r="OXG66" s="627"/>
      <c r="OXI66" s="627"/>
      <c r="OXK66" s="627"/>
      <c r="OXM66" s="627"/>
      <c r="OXO66" s="627"/>
      <c r="OXQ66" s="627"/>
      <c r="OXS66" s="627"/>
      <c r="OXU66" s="627"/>
      <c r="OXW66" s="627"/>
      <c r="OXY66" s="627"/>
      <c r="OYA66" s="627"/>
      <c r="OYC66" s="627"/>
      <c r="OYE66" s="627"/>
      <c r="OYG66" s="627"/>
      <c r="OYI66" s="627"/>
      <c r="OYK66" s="627"/>
      <c r="OYM66" s="627"/>
      <c r="OYO66" s="627"/>
      <c r="OYQ66" s="627"/>
      <c r="OYS66" s="627"/>
      <c r="OYU66" s="627"/>
      <c r="OYW66" s="627"/>
      <c r="OYY66" s="627"/>
      <c r="OZA66" s="627"/>
      <c r="OZC66" s="627"/>
      <c r="OZE66" s="627"/>
      <c r="OZG66" s="627"/>
      <c r="OZI66" s="627"/>
      <c r="OZK66" s="627"/>
      <c r="OZM66" s="627"/>
      <c r="OZO66" s="627"/>
      <c r="OZQ66" s="627"/>
      <c r="OZS66" s="627"/>
      <c r="OZU66" s="627"/>
      <c r="OZW66" s="627"/>
      <c r="OZY66" s="627"/>
      <c r="PAA66" s="627"/>
      <c r="PAC66" s="627"/>
      <c r="PAE66" s="627"/>
      <c r="PAG66" s="627"/>
      <c r="PAI66" s="627"/>
      <c r="PAK66" s="627"/>
      <c r="PAM66" s="627"/>
      <c r="PAO66" s="627"/>
      <c r="PAQ66" s="627"/>
      <c r="PAS66" s="627"/>
      <c r="PAU66" s="627"/>
      <c r="PAW66" s="627"/>
      <c r="PAY66" s="627"/>
      <c r="PBA66" s="627"/>
      <c r="PBC66" s="627"/>
      <c r="PBE66" s="627"/>
      <c r="PBG66" s="627"/>
      <c r="PBI66" s="627"/>
      <c r="PBK66" s="627"/>
      <c r="PBM66" s="627"/>
      <c r="PBO66" s="627"/>
      <c r="PBQ66" s="627"/>
      <c r="PBS66" s="627"/>
      <c r="PBU66" s="627"/>
      <c r="PBW66" s="627"/>
      <c r="PBY66" s="627"/>
      <c r="PCA66" s="627"/>
      <c r="PCC66" s="627"/>
      <c r="PCE66" s="627"/>
      <c r="PCG66" s="627"/>
      <c r="PCI66" s="627"/>
      <c r="PCK66" s="627"/>
      <c r="PCM66" s="627"/>
      <c r="PCO66" s="627"/>
      <c r="PCQ66" s="627"/>
      <c r="PCS66" s="627"/>
      <c r="PCU66" s="627"/>
      <c r="PCW66" s="627"/>
      <c r="PCY66" s="627"/>
      <c r="PDA66" s="627"/>
      <c r="PDC66" s="627"/>
      <c r="PDE66" s="627"/>
      <c r="PDG66" s="627"/>
      <c r="PDI66" s="627"/>
      <c r="PDK66" s="627"/>
      <c r="PDM66" s="627"/>
      <c r="PDO66" s="627"/>
      <c r="PDQ66" s="627"/>
      <c r="PDS66" s="627"/>
      <c r="PDU66" s="627"/>
      <c r="PDW66" s="627"/>
      <c r="PDY66" s="627"/>
      <c r="PEA66" s="627"/>
      <c r="PEC66" s="627"/>
      <c r="PEE66" s="627"/>
      <c r="PEG66" s="627"/>
      <c r="PEI66" s="627"/>
      <c r="PEK66" s="627"/>
      <c r="PEM66" s="627"/>
      <c r="PEO66" s="627"/>
      <c r="PEQ66" s="627"/>
      <c r="PES66" s="627"/>
      <c r="PEU66" s="627"/>
      <c r="PEW66" s="627"/>
      <c r="PEY66" s="627"/>
      <c r="PFA66" s="627"/>
      <c r="PFC66" s="627"/>
      <c r="PFE66" s="627"/>
      <c r="PFG66" s="627"/>
      <c r="PFI66" s="627"/>
      <c r="PFK66" s="627"/>
      <c r="PFM66" s="627"/>
      <c r="PFO66" s="627"/>
      <c r="PFQ66" s="627"/>
      <c r="PFS66" s="627"/>
      <c r="PFU66" s="627"/>
      <c r="PFW66" s="627"/>
      <c r="PFY66" s="627"/>
      <c r="PGA66" s="627"/>
      <c r="PGC66" s="627"/>
      <c r="PGE66" s="627"/>
      <c r="PGG66" s="627"/>
      <c r="PGI66" s="627"/>
      <c r="PGK66" s="627"/>
      <c r="PGM66" s="627"/>
      <c r="PGO66" s="627"/>
      <c r="PGQ66" s="627"/>
      <c r="PGS66" s="627"/>
      <c r="PGU66" s="627"/>
      <c r="PGW66" s="627"/>
      <c r="PGY66" s="627"/>
      <c r="PHA66" s="627"/>
      <c r="PHC66" s="627"/>
      <c r="PHE66" s="627"/>
      <c r="PHG66" s="627"/>
      <c r="PHI66" s="627"/>
      <c r="PHK66" s="627"/>
      <c r="PHM66" s="627"/>
      <c r="PHO66" s="627"/>
      <c r="PHQ66" s="627"/>
      <c r="PHS66" s="627"/>
      <c r="PHU66" s="627"/>
      <c r="PHW66" s="627"/>
      <c r="PHY66" s="627"/>
      <c r="PIA66" s="627"/>
      <c r="PIC66" s="627"/>
      <c r="PIE66" s="627"/>
      <c r="PIG66" s="627"/>
      <c r="PII66" s="627"/>
      <c r="PIK66" s="627"/>
      <c r="PIM66" s="627"/>
      <c r="PIO66" s="627"/>
      <c r="PIQ66" s="627"/>
      <c r="PIS66" s="627"/>
      <c r="PIU66" s="627"/>
      <c r="PIW66" s="627"/>
      <c r="PIY66" s="627"/>
      <c r="PJA66" s="627"/>
      <c r="PJC66" s="627"/>
      <c r="PJE66" s="627"/>
      <c r="PJG66" s="627"/>
      <c r="PJI66" s="627"/>
      <c r="PJK66" s="627"/>
      <c r="PJM66" s="627"/>
      <c r="PJO66" s="627"/>
      <c r="PJQ66" s="627"/>
      <c r="PJS66" s="627"/>
      <c r="PJU66" s="627"/>
      <c r="PJW66" s="627"/>
      <c r="PJY66" s="627"/>
      <c r="PKA66" s="627"/>
      <c r="PKC66" s="627"/>
      <c r="PKE66" s="627"/>
      <c r="PKG66" s="627"/>
      <c r="PKI66" s="627"/>
      <c r="PKK66" s="627"/>
      <c r="PKM66" s="627"/>
      <c r="PKO66" s="627"/>
      <c r="PKQ66" s="627"/>
      <c r="PKS66" s="627"/>
      <c r="PKU66" s="627"/>
      <c r="PKW66" s="627"/>
      <c r="PKY66" s="627"/>
      <c r="PLA66" s="627"/>
      <c r="PLC66" s="627"/>
      <c r="PLE66" s="627"/>
      <c r="PLG66" s="627"/>
      <c r="PLI66" s="627"/>
      <c r="PLK66" s="627"/>
      <c r="PLM66" s="627"/>
      <c r="PLO66" s="627"/>
      <c r="PLQ66" s="627"/>
      <c r="PLS66" s="627"/>
      <c r="PLU66" s="627"/>
      <c r="PLW66" s="627"/>
      <c r="PLY66" s="627"/>
      <c r="PMA66" s="627"/>
      <c r="PMC66" s="627"/>
      <c r="PME66" s="627"/>
      <c r="PMG66" s="627"/>
      <c r="PMI66" s="627"/>
      <c r="PMK66" s="627"/>
      <c r="PMM66" s="627"/>
      <c r="PMO66" s="627"/>
      <c r="PMQ66" s="627"/>
      <c r="PMS66" s="627"/>
      <c r="PMU66" s="627"/>
      <c r="PMW66" s="627"/>
      <c r="PMY66" s="627"/>
      <c r="PNA66" s="627"/>
      <c r="PNC66" s="627"/>
      <c r="PNE66" s="627"/>
      <c r="PNG66" s="627"/>
      <c r="PNI66" s="627"/>
      <c r="PNK66" s="627"/>
      <c r="PNM66" s="627"/>
      <c r="PNO66" s="627"/>
      <c r="PNQ66" s="627"/>
      <c r="PNS66" s="627"/>
      <c r="PNU66" s="627"/>
      <c r="PNW66" s="627"/>
      <c r="PNY66" s="627"/>
      <c r="POA66" s="627"/>
      <c r="POC66" s="627"/>
      <c r="POE66" s="627"/>
      <c r="POG66" s="627"/>
      <c r="POI66" s="627"/>
      <c r="POK66" s="627"/>
      <c r="POM66" s="627"/>
      <c r="POO66" s="627"/>
      <c r="POQ66" s="627"/>
      <c r="POS66" s="627"/>
      <c r="POU66" s="627"/>
      <c r="POW66" s="627"/>
      <c r="POY66" s="627"/>
      <c r="PPA66" s="627"/>
      <c r="PPC66" s="627"/>
      <c r="PPE66" s="627"/>
      <c r="PPG66" s="627"/>
      <c r="PPI66" s="627"/>
      <c r="PPK66" s="627"/>
      <c r="PPM66" s="627"/>
      <c r="PPO66" s="627"/>
      <c r="PPQ66" s="627"/>
      <c r="PPS66" s="627"/>
      <c r="PPU66" s="627"/>
      <c r="PPW66" s="627"/>
      <c r="PPY66" s="627"/>
      <c r="PQA66" s="627"/>
      <c r="PQC66" s="627"/>
      <c r="PQE66" s="627"/>
      <c r="PQG66" s="627"/>
      <c r="PQI66" s="627"/>
      <c r="PQK66" s="627"/>
      <c r="PQM66" s="627"/>
      <c r="PQO66" s="627"/>
      <c r="PQQ66" s="627"/>
      <c r="PQS66" s="627"/>
      <c r="PQU66" s="627"/>
      <c r="PQW66" s="627"/>
      <c r="PQY66" s="627"/>
      <c r="PRA66" s="627"/>
      <c r="PRC66" s="627"/>
      <c r="PRE66" s="627"/>
      <c r="PRG66" s="627"/>
      <c r="PRI66" s="627"/>
      <c r="PRK66" s="627"/>
      <c r="PRM66" s="627"/>
      <c r="PRO66" s="627"/>
      <c r="PRQ66" s="627"/>
      <c r="PRS66" s="627"/>
      <c r="PRU66" s="627"/>
      <c r="PRW66" s="627"/>
      <c r="PRY66" s="627"/>
      <c r="PSA66" s="627"/>
      <c r="PSC66" s="627"/>
      <c r="PSE66" s="627"/>
      <c r="PSG66" s="627"/>
      <c r="PSI66" s="627"/>
      <c r="PSK66" s="627"/>
      <c r="PSM66" s="627"/>
      <c r="PSO66" s="627"/>
      <c r="PSQ66" s="627"/>
      <c r="PSS66" s="627"/>
      <c r="PSU66" s="627"/>
      <c r="PSW66" s="627"/>
      <c r="PSY66" s="627"/>
      <c r="PTA66" s="627"/>
      <c r="PTC66" s="627"/>
      <c r="PTE66" s="627"/>
      <c r="PTG66" s="627"/>
      <c r="PTI66" s="627"/>
      <c r="PTK66" s="627"/>
      <c r="PTM66" s="627"/>
      <c r="PTO66" s="627"/>
      <c r="PTQ66" s="627"/>
      <c r="PTS66" s="627"/>
      <c r="PTU66" s="627"/>
      <c r="PTW66" s="627"/>
      <c r="PTY66" s="627"/>
      <c r="PUA66" s="627"/>
      <c r="PUC66" s="627"/>
      <c r="PUE66" s="627"/>
      <c r="PUG66" s="627"/>
      <c r="PUI66" s="627"/>
      <c r="PUK66" s="627"/>
      <c r="PUM66" s="627"/>
      <c r="PUO66" s="627"/>
      <c r="PUQ66" s="627"/>
      <c r="PUS66" s="627"/>
      <c r="PUU66" s="627"/>
      <c r="PUW66" s="627"/>
      <c r="PUY66" s="627"/>
      <c r="PVA66" s="627"/>
      <c r="PVC66" s="627"/>
      <c r="PVE66" s="627"/>
      <c r="PVG66" s="627"/>
      <c r="PVI66" s="627"/>
      <c r="PVK66" s="627"/>
      <c r="PVM66" s="627"/>
      <c r="PVO66" s="627"/>
      <c r="PVQ66" s="627"/>
      <c r="PVS66" s="627"/>
      <c r="PVU66" s="627"/>
      <c r="PVW66" s="627"/>
      <c r="PVY66" s="627"/>
      <c r="PWA66" s="627"/>
      <c r="PWC66" s="627"/>
      <c r="PWE66" s="627"/>
      <c r="PWG66" s="627"/>
      <c r="PWI66" s="627"/>
      <c r="PWK66" s="627"/>
      <c r="PWM66" s="627"/>
      <c r="PWO66" s="627"/>
      <c r="PWQ66" s="627"/>
      <c r="PWS66" s="627"/>
      <c r="PWU66" s="627"/>
      <c r="PWW66" s="627"/>
      <c r="PWY66" s="627"/>
      <c r="PXA66" s="627"/>
      <c r="PXC66" s="627"/>
      <c r="PXE66" s="627"/>
      <c r="PXG66" s="627"/>
      <c r="PXI66" s="627"/>
      <c r="PXK66" s="627"/>
      <c r="PXM66" s="627"/>
      <c r="PXO66" s="627"/>
      <c r="PXQ66" s="627"/>
      <c r="PXS66" s="627"/>
      <c r="PXU66" s="627"/>
      <c r="PXW66" s="627"/>
      <c r="PXY66" s="627"/>
      <c r="PYA66" s="627"/>
      <c r="PYC66" s="627"/>
      <c r="PYE66" s="627"/>
      <c r="PYG66" s="627"/>
      <c r="PYI66" s="627"/>
      <c r="PYK66" s="627"/>
      <c r="PYM66" s="627"/>
      <c r="PYO66" s="627"/>
      <c r="PYQ66" s="627"/>
      <c r="PYS66" s="627"/>
      <c r="PYU66" s="627"/>
      <c r="PYW66" s="627"/>
      <c r="PYY66" s="627"/>
      <c r="PZA66" s="627"/>
      <c r="PZC66" s="627"/>
      <c r="PZE66" s="627"/>
      <c r="PZG66" s="627"/>
      <c r="PZI66" s="627"/>
      <c r="PZK66" s="627"/>
      <c r="PZM66" s="627"/>
      <c r="PZO66" s="627"/>
      <c r="PZQ66" s="627"/>
      <c r="PZS66" s="627"/>
      <c r="PZU66" s="627"/>
      <c r="PZW66" s="627"/>
      <c r="PZY66" s="627"/>
      <c r="QAA66" s="627"/>
      <c r="QAC66" s="627"/>
      <c r="QAE66" s="627"/>
      <c r="QAG66" s="627"/>
      <c r="QAI66" s="627"/>
      <c r="QAK66" s="627"/>
      <c r="QAM66" s="627"/>
      <c r="QAO66" s="627"/>
      <c r="QAQ66" s="627"/>
      <c r="QAS66" s="627"/>
      <c r="QAU66" s="627"/>
      <c r="QAW66" s="627"/>
      <c r="QAY66" s="627"/>
      <c r="QBA66" s="627"/>
      <c r="QBC66" s="627"/>
      <c r="QBE66" s="627"/>
      <c r="QBG66" s="627"/>
      <c r="QBI66" s="627"/>
      <c r="QBK66" s="627"/>
      <c r="QBM66" s="627"/>
      <c r="QBO66" s="627"/>
      <c r="QBQ66" s="627"/>
      <c r="QBS66" s="627"/>
      <c r="QBU66" s="627"/>
      <c r="QBW66" s="627"/>
      <c r="QBY66" s="627"/>
      <c r="QCA66" s="627"/>
      <c r="QCC66" s="627"/>
      <c r="QCE66" s="627"/>
      <c r="QCG66" s="627"/>
      <c r="QCI66" s="627"/>
      <c r="QCK66" s="627"/>
      <c r="QCM66" s="627"/>
      <c r="QCO66" s="627"/>
      <c r="QCQ66" s="627"/>
      <c r="QCS66" s="627"/>
      <c r="QCU66" s="627"/>
      <c r="QCW66" s="627"/>
      <c r="QCY66" s="627"/>
      <c r="QDA66" s="627"/>
      <c r="QDC66" s="627"/>
      <c r="QDE66" s="627"/>
      <c r="QDG66" s="627"/>
      <c r="QDI66" s="627"/>
      <c r="QDK66" s="627"/>
      <c r="QDM66" s="627"/>
      <c r="QDO66" s="627"/>
      <c r="QDQ66" s="627"/>
      <c r="QDS66" s="627"/>
      <c r="QDU66" s="627"/>
      <c r="QDW66" s="627"/>
      <c r="QDY66" s="627"/>
      <c r="QEA66" s="627"/>
      <c r="QEC66" s="627"/>
      <c r="QEE66" s="627"/>
      <c r="QEG66" s="627"/>
      <c r="QEI66" s="627"/>
      <c r="QEK66" s="627"/>
      <c r="QEM66" s="627"/>
      <c r="QEO66" s="627"/>
      <c r="QEQ66" s="627"/>
      <c r="QES66" s="627"/>
      <c r="QEU66" s="627"/>
      <c r="QEW66" s="627"/>
      <c r="QEY66" s="627"/>
      <c r="QFA66" s="627"/>
      <c r="QFC66" s="627"/>
      <c r="QFE66" s="627"/>
      <c r="QFG66" s="627"/>
      <c r="QFI66" s="627"/>
      <c r="QFK66" s="627"/>
      <c r="QFM66" s="627"/>
      <c r="QFO66" s="627"/>
      <c r="QFQ66" s="627"/>
      <c r="QFS66" s="627"/>
      <c r="QFU66" s="627"/>
      <c r="QFW66" s="627"/>
      <c r="QFY66" s="627"/>
      <c r="QGA66" s="627"/>
      <c r="QGC66" s="627"/>
      <c r="QGE66" s="627"/>
      <c r="QGG66" s="627"/>
      <c r="QGI66" s="627"/>
      <c r="QGK66" s="627"/>
      <c r="QGM66" s="627"/>
      <c r="QGO66" s="627"/>
      <c r="QGQ66" s="627"/>
      <c r="QGS66" s="627"/>
      <c r="QGU66" s="627"/>
      <c r="QGW66" s="627"/>
      <c r="QGY66" s="627"/>
      <c r="QHA66" s="627"/>
      <c r="QHC66" s="627"/>
      <c r="QHE66" s="627"/>
      <c r="QHG66" s="627"/>
      <c r="QHI66" s="627"/>
      <c r="QHK66" s="627"/>
      <c r="QHM66" s="627"/>
      <c r="QHO66" s="627"/>
      <c r="QHQ66" s="627"/>
      <c r="QHS66" s="627"/>
      <c r="QHU66" s="627"/>
      <c r="QHW66" s="627"/>
      <c r="QHY66" s="627"/>
      <c r="QIA66" s="627"/>
      <c r="QIC66" s="627"/>
      <c r="QIE66" s="627"/>
      <c r="QIG66" s="627"/>
      <c r="QII66" s="627"/>
      <c r="QIK66" s="627"/>
      <c r="QIM66" s="627"/>
      <c r="QIO66" s="627"/>
      <c r="QIQ66" s="627"/>
      <c r="QIS66" s="627"/>
      <c r="QIU66" s="627"/>
      <c r="QIW66" s="627"/>
      <c r="QIY66" s="627"/>
      <c r="QJA66" s="627"/>
      <c r="QJC66" s="627"/>
      <c r="QJE66" s="627"/>
      <c r="QJG66" s="627"/>
      <c r="QJI66" s="627"/>
      <c r="QJK66" s="627"/>
      <c r="QJM66" s="627"/>
      <c r="QJO66" s="627"/>
      <c r="QJQ66" s="627"/>
      <c r="QJS66" s="627"/>
      <c r="QJU66" s="627"/>
      <c r="QJW66" s="627"/>
      <c r="QJY66" s="627"/>
      <c r="QKA66" s="627"/>
      <c r="QKC66" s="627"/>
      <c r="QKE66" s="627"/>
      <c r="QKG66" s="627"/>
      <c r="QKI66" s="627"/>
      <c r="QKK66" s="627"/>
      <c r="QKM66" s="627"/>
      <c r="QKO66" s="627"/>
      <c r="QKQ66" s="627"/>
      <c r="QKS66" s="627"/>
      <c r="QKU66" s="627"/>
      <c r="QKW66" s="627"/>
      <c r="QKY66" s="627"/>
      <c r="QLA66" s="627"/>
      <c r="QLC66" s="627"/>
      <c r="QLE66" s="627"/>
      <c r="QLG66" s="627"/>
      <c r="QLI66" s="627"/>
      <c r="QLK66" s="627"/>
      <c r="QLM66" s="627"/>
      <c r="QLO66" s="627"/>
      <c r="QLQ66" s="627"/>
      <c r="QLS66" s="627"/>
      <c r="QLU66" s="627"/>
      <c r="QLW66" s="627"/>
      <c r="QLY66" s="627"/>
      <c r="QMA66" s="627"/>
      <c r="QMC66" s="627"/>
      <c r="QME66" s="627"/>
      <c r="QMG66" s="627"/>
      <c r="QMI66" s="627"/>
      <c r="QMK66" s="627"/>
      <c r="QMM66" s="627"/>
      <c r="QMO66" s="627"/>
      <c r="QMQ66" s="627"/>
      <c r="QMS66" s="627"/>
      <c r="QMU66" s="627"/>
      <c r="QMW66" s="627"/>
      <c r="QMY66" s="627"/>
      <c r="QNA66" s="627"/>
      <c r="QNC66" s="627"/>
      <c r="QNE66" s="627"/>
      <c r="QNG66" s="627"/>
      <c r="QNI66" s="627"/>
      <c r="QNK66" s="627"/>
      <c r="QNM66" s="627"/>
      <c r="QNO66" s="627"/>
      <c r="QNQ66" s="627"/>
      <c r="QNS66" s="627"/>
      <c r="QNU66" s="627"/>
      <c r="QNW66" s="627"/>
      <c r="QNY66" s="627"/>
      <c r="QOA66" s="627"/>
      <c r="QOC66" s="627"/>
      <c r="QOE66" s="627"/>
      <c r="QOG66" s="627"/>
      <c r="QOI66" s="627"/>
      <c r="QOK66" s="627"/>
      <c r="QOM66" s="627"/>
      <c r="QOO66" s="627"/>
      <c r="QOQ66" s="627"/>
      <c r="QOS66" s="627"/>
      <c r="QOU66" s="627"/>
      <c r="QOW66" s="627"/>
      <c r="QOY66" s="627"/>
      <c r="QPA66" s="627"/>
      <c r="QPC66" s="627"/>
      <c r="QPE66" s="627"/>
      <c r="QPG66" s="627"/>
      <c r="QPI66" s="627"/>
      <c r="QPK66" s="627"/>
      <c r="QPM66" s="627"/>
      <c r="QPO66" s="627"/>
      <c r="QPQ66" s="627"/>
      <c r="QPS66" s="627"/>
      <c r="QPU66" s="627"/>
      <c r="QPW66" s="627"/>
      <c r="QPY66" s="627"/>
      <c r="QQA66" s="627"/>
      <c r="QQC66" s="627"/>
      <c r="QQE66" s="627"/>
      <c r="QQG66" s="627"/>
      <c r="QQI66" s="627"/>
      <c r="QQK66" s="627"/>
      <c r="QQM66" s="627"/>
      <c r="QQO66" s="627"/>
      <c r="QQQ66" s="627"/>
      <c r="QQS66" s="627"/>
      <c r="QQU66" s="627"/>
      <c r="QQW66" s="627"/>
      <c r="QQY66" s="627"/>
      <c r="QRA66" s="627"/>
      <c r="QRC66" s="627"/>
      <c r="QRE66" s="627"/>
      <c r="QRG66" s="627"/>
      <c r="QRI66" s="627"/>
      <c r="QRK66" s="627"/>
      <c r="QRM66" s="627"/>
      <c r="QRO66" s="627"/>
      <c r="QRQ66" s="627"/>
      <c r="QRS66" s="627"/>
      <c r="QRU66" s="627"/>
      <c r="QRW66" s="627"/>
      <c r="QRY66" s="627"/>
      <c r="QSA66" s="627"/>
      <c r="QSC66" s="627"/>
      <c r="QSE66" s="627"/>
      <c r="QSG66" s="627"/>
      <c r="QSI66" s="627"/>
      <c r="QSK66" s="627"/>
      <c r="QSM66" s="627"/>
      <c r="QSO66" s="627"/>
      <c r="QSQ66" s="627"/>
      <c r="QSS66" s="627"/>
      <c r="QSU66" s="627"/>
      <c r="QSW66" s="627"/>
      <c r="QSY66" s="627"/>
      <c r="QTA66" s="627"/>
      <c r="QTC66" s="627"/>
      <c r="QTE66" s="627"/>
      <c r="QTG66" s="627"/>
      <c r="QTI66" s="627"/>
      <c r="QTK66" s="627"/>
      <c r="QTM66" s="627"/>
      <c r="QTO66" s="627"/>
      <c r="QTQ66" s="627"/>
      <c r="QTS66" s="627"/>
      <c r="QTU66" s="627"/>
      <c r="QTW66" s="627"/>
      <c r="QTY66" s="627"/>
      <c r="QUA66" s="627"/>
      <c r="QUC66" s="627"/>
      <c r="QUE66" s="627"/>
      <c r="QUG66" s="627"/>
      <c r="QUI66" s="627"/>
      <c r="QUK66" s="627"/>
      <c r="QUM66" s="627"/>
      <c r="QUO66" s="627"/>
      <c r="QUQ66" s="627"/>
      <c r="QUS66" s="627"/>
      <c r="QUU66" s="627"/>
      <c r="QUW66" s="627"/>
      <c r="QUY66" s="627"/>
      <c r="QVA66" s="627"/>
      <c r="QVC66" s="627"/>
      <c r="QVE66" s="627"/>
      <c r="QVG66" s="627"/>
      <c r="QVI66" s="627"/>
      <c r="QVK66" s="627"/>
      <c r="QVM66" s="627"/>
      <c r="QVO66" s="627"/>
      <c r="QVQ66" s="627"/>
      <c r="QVS66" s="627"/>
      <c r="QVU66" s="627"/>
      <c r="QVW66" s="627"/>
      <c r="QVY66" s="627"/>
      <c r="QWA66" s="627"/>
      <c r="QWC66" s="627"/>
      <c r="QWE66" s="627"/>
      <c r="QWG66" s="627"/>
      <c r="QWI66" s="627"/>
      <c r="QWK66" s="627"/>
      <c r="QWM66" s="627"/>
      <c r="QWO66" s="627"/>
      <c r="QWQ66" s="627"/>
      <c r="QWS66" s="627"/>
      <c r="QWU66" s="627"/>
      <c r="QWW66" s="627"/>
      <c r="QWY66" s="627"/>
      <c r="QXA66" s="627"/>
      <c r="QXC66" s="627"/>
      <c r="QXE66" s="627"/>
      <c r="QXG66" s="627"/>
      <c r="QXI66" s="627"/>
      <c r="QXK66" s="627"/>
      <c r="QXM66" s="627"/>
      <c r="QXO66" s="627"/>
      <c r="QXQ66" s="627"/>
      <c r="QXS66" s="627"/>
      <c r="QXU66" s="627"/>
      <c r="QXW66" s="627"/>
      <c r="QXY66" s="627"/>
      <c r="QYA66" s="627"/>
      <c r="QYC66" s="627"/>
      <c r="QYE66" s="627"/>
      <c r="QYG66" s="627"/>
      <c r="QYI66" s="627"/>
      <c r="QYK66" s="627"/>
      <c r="QYM66" s="627"/>
      <c r="QYO66" s="627"/>
      <c r="QYQ66" s="627"/>
      <c r="QYS66" s="627"/>
      <c r="QYU66" s="627"/>
      <c r="QYW66" s="627"/>
      <c r="QYY66" s="627"/>
      <c r="QZA66" s="627"/>
      <c r="QZC66" s="627"/>
      <c r="QZE66" s="627"/>
      <c r="QZG66" s="627"/>
      <c r="QZI66" s="627"/>
      <c r="QZK66" s="627"/>
      <c r="QZM66" s="627"/>
      <c r="QZO66" s="627"/>
      <c r="QZQ66" s="627"/>
      <c r="QZS66" s="627"/>
      <c r="QZU66" s="627"/>
      <c r="QZW66" s="627"/>
      <c r="QZY66" s="627"/>
      <c r="RAA66" s="627"/>
      <c r="RAC66" s="627"/>
      <c r="RAE66" s="627"/>
      <c r="RAG66" s="627"/>
      <c r="RAI66" s="627"/>
      <c r="RAK66" s="627"/>
      <c r="RAM66" s="627"/>
      <c r="RAO66" s="627"/>
      <c r="RAQ66" s="627"/>
      <c r="RAS66" s="627"/>
      <c r="RAU66" s="627"/>
      <c r="RAW66" s="627"/>
      <c r="RAY66" s="627"/>
      <c r="RBA66" s="627"/>
      <c r="RBC66" s="627"/>
      <c r="RBE66" s="627"/>
      <c r="RBG66" s="627"/>
      <c r="RBI66" s="627"/>
      <c r="RBK66" s="627"/>
      <c r="RBM66" s="627"/>
      <c r="RBO66" s="627"/>
      <c r="RBQ66" s="627"/>
      <c r="RBS66" s="627"/>
      <c r="RBU66" s="627"/>
      <c r="RBW66" s="627"/>
      <c r="RBY66" s="627"/>
      <c r="RCA66" s="627"/>
      <c r="RCC66" s="627"/>
      <c r="RCE66" s="627"/>
      <c r="RCG66" s="627"/>
      <c r="RCI66" s="627"/>
      <c r="RCK66" s="627"/>
      <c r="RCM66" s="627"/>
      <c r="RCO66" s="627"/>
      <c r="RCQ66" s="627"/>
      <c r="RCS66" s="627"/>
      <c r="RCU66" s="627"/>
      <c r="RCW66" s="627"/>
      <c r="RCY66" s="627"/>
      <c r="RDA66" s="627"/>
      <c r="RDC66" s="627"/>
      <c r="RDE66" s="627"/>
      <c r="RDG66" s="627"/>
      <c r="RDI66" s="627"/>
      <c r="RDK66" s="627"/>
      <c r="RDM66" s="627"/>
      <c r="RDO66" s="627"/>
      <c r="RDQ66" s="627"/>
      <c r="RDS66" s="627"/>
      <c r="RDU66" s="627"/>
      <c r="RDW66" s="627"/>
      <c r="RDY66" s="627"/>
      <c r="REA66" s="627"/>
      <c r="REC66" s="627"/>
      <c r="REE66" s="627"/>
      <c r="REG66" s="627"/>
      <c r="REI66" s="627"/>
      <c r="REK66" s="627"/>
      <c r="REM66" s="627"/>
      <c r="REO66" s="627"/>
      <c r="REQ66" s="627"/>
      <c r="RES66" s="627"/>
      <c r="REU66" s="627"/>
      <c r="REW66" s="627"/>
      <c r="REY66" s="627"/>
      <c r="RFA66" s="627"/>
      <c r="RFC66" s="627"/>
      <c r="RFE66" s="627"/>
      <c r="RFG66" s="627"/>
      <c r="RFI66" s="627"/>
      <c r="RFK66" s="627"/>
      <c r="RFM66" s="627"/>
      <c r="RFO66" s="627"/>
      <c r="RFQ66" s="627"/>
      <c r="RFS66" s="627"/>
      <c r="RFU66" s="627"/>
      <c r="RFW66" s="627"/>
      <c r="RFY66" s="627"/>
      <c r="RGA66" s="627"/>
      <c r="RGC66" s="627"/>
      <c r="RGE66" s="627"/>
      <c r="RGG66" s="627"/>
      <c r="RGI66" s="627"/>
      <c r="RGK66" s="627"/>
      <c r="RGM66" s="627"/>
      <c r="RGO66" s="627"/>
      <c r="RGQ66" s="627"/>
      <c r="RGS66" s="627"/>
      <c r="RGU66" s="627"/>
      <c r="RGW66" s="627"/>
      <c r="RGY66" s="627"/>
      <c r="RHA66" s="627"/>
      <c r="RHC66" s="627"/>
      <c r="RHE66" s="627"/>
      <c r="RHG66" s="627"/>
      <c r="RHI66" s="627"/>
      <c r="RHK66" s="627"/>
      <c r="RHM66" s="627"/>
      <c r="RHO66" s="627"/>
      <c r="RHQ66" s="627"/>
      <c r="RHS66" s="627"/>
      <c r="RHU66" s="627"/>
      <c r="RHW66" s="627"/>
      <c r="RHY66" s="627"/>
      <c r="RIA66" s="627"/>
      <c r="RIC66" s="627"/>
      <c r="RIE66" s="627"/>
      <c r="RIG66" s="627"/>
      <c r="RII66" s="627"/>
      <c r="RIK66" s="627"/>
      <c r="RIM66" s="627"/>
      <c r="RIO66" s="627"/>
      <c r="RIQ66" s="627"/>
      <c r="RIS66" s="627"/>
      <c r="RIU66" s="627"/>
      <c r="RIW66" s="627"/>
      <c r="RIY66" s="627"/>
      <c r="RJA66" s="627"/>
      <c r="RJC66" s="627"/>
      <c r="RJE66" s="627"/>
      <c r="RJG66" s="627"/>
      <c r="RJI66" s="627"/>
      <c r="RJK66" s="627"/>
      <c r="RJM66" s="627"/>
      <c r="RJO66" s="627"/>
      <c r="RJQ66" s="627"/>
      <c r="RJS66" s="627"/>
      <c r="RJU66" s="627"/>
      <c r="RJW66" s="627"/>
      <c r="RJY66" s="627"/>
      <c r="RKA66" s="627"/>
      <c r="RKC66" s="627"/>
      <c r="RKE66" s="627"/>
      <c r="RKG66" s="627"/>
      <c r="RKI66" s="627"/>
      <c r="RKK66" s="627"/>
      <c r="RKM66" s="627"/>
      <c r="RKO66" s="627"/>
      <c r="RKQ66" s="627"/>
      <c r="RKS66" s="627"/>
      <c r="RKU66" s="627"/>
      <c r="RKW66" s="627"/>
      <c r="RKY66" s="627"/>
      <c r="RLA66" s="627"/>
      <c r="RLC66" s="627"/>
      <c r="RLE66" s="627"/>
      <c r="RLG66" s="627"/>
      <c r="RLI66" s="627"/>
      <c r="RLK66" s="627"/>
      <c r="RLM66" s="627"/>
      <c r="RLO66" s="627"/>
      <c r="RLQ66" s="627"/>
      <c r="RLS66" s="627"/>
      <c r="RLU66" s="627"/>
      <c r="RLW66" s="627"/>
      <c r="RLY66" s="627"/>
      <c r="RMA66" s="627"/>
      <c r="RMC66" s="627"/>
      <c r="RME66" s="627"/>
      <c r="RMG66" s="627"/>
      <c r="RMI66" s="627"/>
      <c r="RMK66" s="627"/>
      <c r="RMM66" s="627"/>
      <c r="RMO66" s="627"/>
      <c r="RMQ66" s="627"/>
      <c r="RMS66" s="627"/>
      <c r="RMU66" s="627"/>
      <c r="RMW66" s="627"/>
      <c r="RMY66" s="627"/>
      <c r="RNA66" s="627"/>
      <c r="RNC66" s="627"/>
      <c r="RNE66" s="627"/>
      <c r="RNG66" s="627"/>
      <c r="RNI66" s="627"/>
      <c r="RNK66" s="627"/>
      <c r="RNM66" s="627"/>
      <c r="RNO66" s="627"/>
      <c r="RNQ66" s="627"/>
      <c r="RNS66" s="627"/>
      <c r="RNU66" s="627"/>
      <c r="RNW66" s="627"/>
      <c r="RNY66" s="627"/>
      <c r="ROA66" s="627"/>
      <c r="ROC66" s="627"/>
      <c r="ROE66" s="627"/>
      <c r="ROG66" s="627"/>
      <c r="ROI66" s="627"/>
      <c r="ROK66" s="627"/>
      <c r="ROM66" s="627"/>
      <c r="ROO66" s="627"/>
      <c r="ROQ66" s="627"/>
      <c r="ROS66" s="627"/>
      <c r="ROU66" s="627"/>
      <c r="ROW66" s="627"/>
      <c r="ROY66" s="627"/>
      <c r="RPA66" s="627"/>
      <c r="RPC66" s="627"/>
      <c r="RPE66" s="627"/>
      <c r="RPG66" s="627"/>
      <c r="RPI66" s="627"/>
      <c r="RPK66" s="627"/>
      <c r="RPM66" s="627"/>
      <c r="RPO66" s="627"/>
      <c r="RPQ66" s="627"/>
      <c r="RPS66" s="627"/>
      <c r="RPU66" s="627"/>
      <c r="RPW66" s="627"/>
      <c r="RPY66" s="627"/>
      <c r="RQA66" s="627"/>
      <c r="RQC66" s="627"/>
      <c r="RQE66" s="627"/>
      <c r="RQG66" s="627"/>
      <c r="RQI66" s="627"/>
      <c r="RQK66" s="627"/>
      <c r="RQM66" s="627"/>
      <c r="RQO66" s="627"/>
      <c r="RQQ66" s="627"/>
      <c r="RQS66" s="627"/>
      <c r="RQU66" s="627"/>
      <c r="RQW66" s="627"/>
      <c r="RQY66" s="627"/>
      <c r="RRA66" s="627"/>
      <c r="RRC66" s="627"/>
      <c r="RRE66" s="627"/>
      <c r="RRG66" s="627"/>
      <c r="RRI66" s="627"/>
      <c r="RRK66" s="627"/>
      <c r="RRM66" s="627"/>
      <c r="RRO66" s="627"/>
      <c r="RRQ66" s="627"/>
      <c r="RRS66" s="627"/>
      <c r="RRU66" s="627"/>
      <c r="RRW66" s="627"/>
      <c r="RRY66" s="627"/>
      <c r="RSA66" s="627"/>
      <c r="RSC66" s="627"/>
      <c r="RSE66" s="627"/>
      <c r="RSG66" s="627"/>
      <c r="RSI66" s="627"/>
      <c r="RSK66" s="627"/>
      <c r="RSM66" s="627"/>
      <c r="RSO66" s="627"/>
      <c r="RSQ66" s="627"/>
      <c r="RSS66" s="627"/>
      <c r="RSU66" s="627"/>
      <c r="RSW66" s="627"/>
      <c r="RSY66" s="627"/>
      <c r="RTA66" s="627"/>
      <c r="RTC66" s="627"/>
      <c r="RTE66" s="627"/>
      <c r="RTG66" s="627"/>
      <c r="RTI66" s="627"/>
      <c r="RTK66" s="627"/>
      <c r="RTM66" s="627"/>
      <c r="RTO66" s="627"/>
      <c r="RTQ66" s="627"/>
      <c r="RTS66" s="627"/>
      <c r="RTU66" s="627"/>
      <c r="RTW66" s="627"/>
      <c r="RTY66" s="627"/>
      <c r="RUA66" s="627"/>
      <c r="RUC66" s="627"/>
      <c r="RUE66" s="627"/>
      <c r="RUG66" s="627"/>
      <c r="RUI66" s="627"/>
      <c r="RUK66" s="627"/>
      <c r="RUM66" s="627"/>
      <c r="RUO66" s="627"/>
      <c r="RUQ66" s="627"/>
      <c r="RUS66" s="627"/>
      <c r="RUU66" s="627"/>
      <c r="RUW66" s="627"/>
      <c r="RUY66" s="627"/>
      <c r="RVA66" s="627"/>
      <c r="RVC66" s="627"/>
      <c r="RVE66" s="627"/>
      <c r="RVG66" s="627"/>
      <c r="RVI66" s="627"/>
      <c r="RVK66" s="627"/>
      <c r="RVM66" s="627"/>
      <c r="RVO66" s="627"/>
      <c r="RVQ66" s="627"/>
      <c r="RVS66" s="627"/>
      <c r="RVU66" s="627"/>
      <c r="RVW66" s="627"/>
      <c r="RVY66" s="627"/>
      <c r="RWA66" s="627"/>
      <c r="RWC66" s="627"/>
      <c r="RWE66" s="627"/>
      <c r="RWG66" s="627"/>
      <c r="RWI66" s="627"/>
      <c r="RWK66" s="627"/>
      <c r="RWM66" s="627"/>
      <c r="RWO66" s="627"/>
      <c r="RWQ66" s="627"/>
      <c r="RWS66" s="627"/>
      <c r="RWU66" s="627"/>
      <c r="RWW66" s="627"/>
      <c r="RWY66" s="627"/>
      <c r="RXA66" s="627"/>
      <c r="RXC66" s="627"/>
      <c r="RXE66" s="627"/>
      <c r="RXG66" s="627"/>
      <c r="RXI66" s="627"/>
      <c r="RXK66" s="627"/>
      <c r="RXM66" s="627"/>
      <c r="RXO66" s="627"/>
      <c r="RXQ66" s="627"/>
      <c r="RXS66" s="627"/>
      <c r="RXU66" s="627"/>
      <c r="RXW66" s="627"/>
      <c r="RXY66" s="627"/>
      <c r="RYA66" s="627"/>
      <c r="RYC66" s="627"/>
      <c r="RYE66" s="627"/>
      <c r="RYG66" s="627"/>
      <c r="RYI66" s="627"/>
      <c r="RYK66" s="627"/>
      <c r="RYM66" s="627"/>
      <c r="RYO66" s="627"/>
      <c r="RYQ66" s="627"/>
      <c r="RYS66" s="627"/>
      <c r="RYU66" s="627"/>
      <c r="RYW66" s="627"/>
      <c r="RYY66" s="627"/>
      <c r="RZA66" s="627"/>
      <c r="RZC66" s="627"/>
      <c r="RZE66" s="627"/>
      <c r="RZG66" s="627"/>
      <c r="RZI66" s="627"/>
      <c r="RZK66" s="627"/>
      <c r="RZM66" s="627"/>
      <c r="RZO66" s="627"/>
      <c r="RZQ66" s="627"/>
      <c r="RZS66" s="627"/>
      <c r="RZU66" s="627"/>
      <c r="RZW66" s="627"/>
      <c r="RZY66" s="627"/>
      <c r="SAA66" s="627"/>
      <c r="SAC66" s="627"/>
      <c r="SAE66" s="627"/>
      <c r="SAG66" s="627"/>
      <c r="SAI66" s="627"/>
      <c r="SAK66" s="627"/>
      <c r="SAM66" s="627"/>
      <c r="SAO66" s="627"/>
      <c r="SAQ66" s="627"/>
      <c r="SAS66" s="627"/>
      <c r="SAU66" s="627"/>
      <c r="SAW66" s="627"/>
      <c r="SAY66" s="627"/>
      <c r="SBA66" s="627"/>
      <c r="SBC66" s="627"/>
      <c r="SBE66" s="627"/>
      <c r="SBG66" s="627"/>
      <c r="SBI66" s="627"/>
      <c r="SBK66" s="627"/>
      <c r="SBM66" s="627"/>
      <c r="SBO66" s="627"/>
      <c r="SBQ66" s="627"/>
      <c r="SBS66" s="627"/>
      <c r="SBU66" s="627"/>
      <c r="SBW66" s="627"/>
      <c r="SBY66" s="627"/>
      <c r="SCA66" s="627"/>
      <c r="SCC66" s="627"/>
      <c r="SCE66" s="627"/>
      <c r="SCG66" s="627"/>
      <c r="SCI66" s="627"/>
      <c r="SCK66" s="627"/>
      <c r="SCM66" s="627"/>
      <c r="SCO66" s="627"/>
      <c r="SCQ66" s="627"/>
      <c r="SCS66" s="627"/>
      <c r="SCU66" s="627"/>
      <c r="SCW66" s="627"/>
      <c r="SCY66" s="627"/>
      <c r="SDA66" s="627"/>
      <c r="SDC66" s="627"/>
      <c r="SDE66" s="627"/>
      <c r="SDG66" s="627"/>
      <c r="SDI66" s="627"/>
      <c r="SDK66" s="627"/>
      <c r="SDM66" s="627"/>
      <c r="SDO66" s="627"/>
      <c r="SDQ66" s="627"/>
      <c r="SDS66" s="627"/>
      <c r="SDU66" s="627"/>
      <c r="SDW66" s="627"/>
      <c r="SDY66" s="627"/>
      <c r="SEA66" s="627"/>
      <c r="SEC66" s="627"/>
      <c r="SEE66" s="627"/>
      <c r="SEG66" s="627"/>
      <c r="SEI66" s="627"/>
      <c r="SEK66" s="627"/>
      <c r="SEM66" s="627"/>
      <c r="SEO66" s="627"/>
      <c r="SEQ66" s="627"/>
      <c r="SES66" s="627"/>
      <c r="SEU66" s="627"/>
      <c r="SEW66" s="627"/>
      <c r="SEY66" s="627"/>
      <c r="SFA66" s="627"/>
      <c r="SFC66" s="627"/>
      <c r="SFE66" s="627"/>
      <c r="SFG66" s="627"/>
      <c r="SFI66" s="627"/>
      <c r="SFK66" s="627"/>
      <c r="SFM66" s="627"/>
      <c r="SFO66" s="627"/>
      <c r="SFQ66" s="627"/>
      <c r="SFS66" s="627"/>
      <c r="SFU66" s="627"/>
      <c r="SFW66" s="627"/>
      <c r="SFY66" s="627"/>
      <c r="SGA66" s="627"/>
      <c r="SGC66" s="627"/>
      <c r="SGE66" s="627"/>
      <c r="SGG66" s="627"/>
      <c r="SGI66" s="627"/>
      <c r="SGK66" s="627"/>
      <c r="SGM66" s="627"/>
      <c r="SGO66" s="627"/>
      <c r="SGQ66" s="627"/>
      <c r="SGS66" s="627"/>
      <c r="SGU66" s="627"/>
      <c r="SGW66" s="627"/>
      <c r="SGY66" s="627"/>
      <c r="SHA66" s="627"/>
      <c r="SHC66" s="627"/>
      <c r="SHE66" s="627"/>
      <c r="SHG66" s="627"/>
      <c r="SHI66" s="627"/>
      <c r="SHK66" s="627"/>
      <c r="SHM66" s="627"/>
      <c r="SHO66" s="627"/>
      <c r="SHQ66" s="627"/>
      <c r="SHS66" s="627"/>
      <c r="SHU66" s="627"/>
      <c r="SHW66" s="627"/>
      <c r="SHY66" s="627"/>
      <c r="SIA66" s="627"/>
      <c r="SIC66" s="627"/>
      <c r="SIE66" s="627"/>
      <c r="SIG66" s="627"/>
      <c r="SII66" s="627"/>
      <c r="SIK66" s="627"/>
      <c r="SIM66" s="627"/>
      <c r="SIO66" s="627"/>
      <c r="SIQ66" s="627"/>
      <c r="SIS66" s="627"/>
      <c r="SIU66" s="627"/>
      <c r="SIW66" s="627"/>
      <c r="SIY66" s="627"/>
      <c r="SJA66" s="627"/>
      <c r="SJC66" s="627"/>
      <c r="SJE66" s="627"/>
      <c r="SJG66" s="627"/>
      <c r="SJI66" s="627"/>
      <c r="SJK66" s="627"/>
      <c r="SJM66" s="627"/>
      <c r="SJO66" s="627"/>
      <c r="SJQ66" s="627"/>
      <c r="SJS66" s="627"/>
      <c r="SJU66" s="627"/>
      <c r="SJW66" s="627"/>
      <c r="SJY66" s="627"/>
      <c r="SKA66" s="627"/>
      <c r="SKC66" s="627"/>
      <c r="SKE66" s="627"/>
      <c r="SKG66" s="627"/>
      <c r="SKI66" s="627"/>
      <c r="SKK66" s="627"/>
      <c r="SKM66" s="627"/>
      <c r="SKO66" s="627"/>
      <c r="SKQ66" s="627"/>
      <c r="SKS66" s="627"/>
      <c r="SKU66" s="627"/>
      <c r="SKW66" s="627"/>
      <c r="SKY66" s="627"/>
      <c r="SLA66" s="627"/>
      <c r="SLC66" s="627"/>
      <c r="SLE66" s="627"/>
      <c r="SLG66" s="627"/>
      <c r="SLI66" s="627"/>
      <c r="SLK66" s="627"/>
      <c r="SLM66" s="627"/>
      <c r="SLO66" s="627"/>
      <c r="SLQ66" s="627"/>
      <c r="SLS66" s="627"/>
      <c r="SLU66" s="627"/>
      <c r="SLW66" s="627"/>
      <c r="SLY66" s="627"/>
      <c r="SMA66" s="627"/>
      <c r="SMC66" s="627"/>
      <c r="SME66" s="627"/>
      <c r="SMG66" s="627"/>
      <c r="SMI66" s="627"/>
      <c r="SMK66" s="627"/>
      <c r="SMM66" s="627"/>
      <c r="SMO66" s="627"/>
      <c r="SMQ66" s="627"/>
      <c r="SMS66" s="627"/>
      <c r="SMU66" s="627"/>
      <c r="SMW66" s="627"/>
      <c r="SMY66" s="627"/>
      <c r="SNA66" s="627"/>
      <c r="SNC66" s="627"/>
      <c r="SNE66" s="627"/>
      <c r="SNG66" s="627"/>
      <c r="SNI66" s="627"/>
      <c r="SNK66" s="627"/>
      <c r="SNM66" s="627"/>
      <c r="SNO66" s="627"/>
      <c r="SNQ66" s="627"/>
      <c r="SNS66" s="627"/>
      <c r="SNU66" s="627"/>
      <c r="SNW66" s="627"/>
      <c r="SNY66" s="627"/>
      <c r="SOA66" s="627"/>
      <c r="SOC66" s="627"/>
      <c r="SOE66" s="627"/>
      <c r="SOG66" s="627"/>
      <c r="SOI66" s="627"/>
      <c r="SOK66" s="627"/>
      <c r="SOM66" s="627"/>
      <c r="SOO66" s="627"/>
      <c r="SOQ66" s="627"/>
      <c r="SOS66" s="627"/>
      <c r="SOU66" s="627"/>
      <c r="SOW66" s="627"/>
      <c r="SOY66" s="627"/>
      <c r="SPA66" s="627"/>
      <c r="SPC66" s="627"/>
      <c r="SPE66" s="627"/>
      <c r="SPG66" s="627"/>
      <c r="SPI66" s="627"/>
      <c r="SPK66" s="627"/>
      <c r="SPM66" s="627"/>
      <c r="SPO66" s="627"/>
      <c r="SPQ66" s="627"/>
      <c r="SPS66" s="627"/>
      <c r="SPU66" s="627"/>
      <c r="SPW66" s="627"/>
      <c r="SPY66" s="627"/>
      <c r="SQA66" s="627"/>
      <c r="SQC66" s="627"/>
      <c r="SQE66" s="627"/>
      <c r="SQG66" s="627"/>
      <c r="SQI66" s="627"/>
      <c r="SQK66" s="627"/>
      <c r="SQM66" s="627"/>
      <c r="SQO66" s="627"/>
      <c r="SQQ66" s="627"/>
      <c r="SQS66" s="627"/>
      <c r="SQU66" s="627"/>
      <c r="SQW66" s="627"/>
      <c r="SQY66" s="627"/>
      <c r="SRA66" s="627"/>
      <c r="SRC66" s="627"/>
      <c r="SRE66" s="627"/>
      <c r="SRG66" s="627"/>
      <c r="SRI66" s="627"/>
      <c r="SRK66" s="627"/>
      <c r="SRM66" s="627"/>
      <c r="SRO66" s="627"/>
      <c r="SRQ66" s="627"/>
      <c r="SRS66" s="627"/>
      <c r="SRU66" s="627"/>
      <c r="SRW66" s="627"/>
      <c r="SRY66" s="627"/>
      <c r="SSA66" s="627"/>
      <c r="SSC66" s="627"/>
      <c r="SSE66" s="627"/>
      <c r="SSG66" s="627"/>
      <c r="SSI66" s="627"/>
      <c r="SSK66" s="627"/>
      <c r="SSM66" s="627"/>
      <c r="SSO66" s="627"/>
      <c r="SSQ66" s="627"/>
      <c r="SSS66" s="627"/>
      <c r="SSU66" s="627"/>
      <c r="SSW66" s="627"/>
      <c r="SSY66" s="627"/>
      <c r="STA66" s="627"/>
      <c r="STC66" s="627"/>
      <c r="STE66" s="627"/>
      <c r="STG66" s="627"/>
      <c r="STI66" s="627"/>
      <c r="STK66" s="627"/>
      <c r="STM66" s="627"/>
      <c r="STO66" s="627"/>
      <c r="STQ66" s="627"/>
      <c r="STS66" s="627"/>
      <c r="STU66" s="627"/>
      <c r="STW66" s="627"/>
      <c r="STY66" s="627"/>
      <c r="SUA66" s="627"/>
      <c r="SUC66" s="627"/>
      <c r="SUE66" s="627"/>
      <c r="SUG66" s="627"/>
      <c r="SUI66" s="627"/>
      <c r="SUK66" s="627"/>
      <c r="SUM66" s="627"/>
      <c r="SUO66" s="627"/>
      <c r="SUQ66" s="627"/>
      <c r="SUS66" s="627"/>
      <c r="SUU66" s="627"/>
      <c r="SUW66" s="627"/>
      <c r="SUY66" s="627"/>
      <c r="SVA66" s="627"/>
      <c r="SVC66" s="627"/>
      <c r="SVE66" s="627"/>
      <c r="SVG66" s="627"/>
      <c r="SVI66" s="627"/>
      <c r="SVK66" s="627"/>
      <c r="SVM66" s="627"/>
      <c r="SVO66" s="627"/>
      <c r="SVQ66" s="627"/>
      <c r="SVS66" s="627"/>
      <c r="SVU66" s="627"/>
      <c r="SVW66" s="627"/>
      <c r="SVY66" s="627"/>
      <c r="SWA66" s="627"/>
      <c r="SWC66" s="627"/>
      <c r="SWE66" s="627"/>
      <c r="SWG66" s="627"/>
      <c r="SWI66" s="627"/>
      <c r="SWK66" s="627"/>
      <c r="SWM66" s="627"/>
      <c r="SWO66" s="627"/>
      <c r="SWQ66" s="627"/>
      <c r="SWS66" s="627"/>
      <c r="SWU66" s="627"/>
      <c r="SWW66" s="627"/>
      <c r="SWY66" s="627"/>
      <c r="SXA66" s="627"/>
      <c r="SXC66" s="627"/>
      <c r="SXE66" s="627"/>
      <c r="SXG66" s="627"/>
      <c r="SXI66" s="627"/>
      <c r="SXK66" s="627"/>
      <c r="SXM66" s="627"/>
      <c r="SXO66" s="627"/>
      <c r="SXQ66" s="627"/>
      <c r="SXS66" s="627"/>
      <c r="SXU66" s="627"/>
      <c r="SXW66" s="627"/>
      <c r="SXY66" s="627"/>
      <c r="SYA66" s="627"/>
      <c r="SYC66" s="627"/>
      <c r="SYE66" s="627"/>
      <c r="SYG66" s="627"/>
      <c r="SYI66" s="627"/>
      <c r="SYK66" s="627"/>
      <c r="SYM66" s="627"/>
      <c r="SYO66" s="627"/>
      <c r="SYQ66" s="627"/>
      <c r="SYS66" s="627"/>
      <c r="SYU66" s="627"/>
      <c r="SYW66" s="627"/>
      <c r="SYY66" s="627"/>
      <c r="SZA66" s="627"/>
      <c r="SZC66" s="627"/>
      <c r="SZE66" s="627"/>
      <c r="SZG66" s="627"/>
      <c r="SZI66" s="627"/>
      <c r="SZK66" s="627"/>
      <c r="SZM66" s="627"/>
      <c r="SZO66" s="627"/>
      <c r="SZQ66" s="627"/>
      <c r="SZS66" s="627"/>
      <c r="SZU66" s="627"/>
      <c r="SZW66" s="627"/>
      <c r="SZY66" s="627"/>
      <c r="TAA66" s="627"/>
      <c r="TAC66" s="627"/>
      <c r="TAE66" s="627"/>
      <c r="TAG66" s="627"/>
      <c r="TAI66" s="627"/>
      <c r="TAK66" s="627"/>
      <c r="TAM66" s="627"/>
      <c r="TAO66" s="627"/>
      <c r="TAQ66" s="627"/>
      <c r="TAS66" s="627"/>
      <c r="TAU66" s="627"/>
      <c r="TAW66" s="627"/>
      <c r="TAY66" s="627"/>
      <c r="TBA66" s="627"/>
      <c r="TBC66" s="627"/>
      <c r="TBE66" s="627"/>
      <c r="TBG66" s="627"/>
      <c r="TBI66" s="627"/>
      <c r="TBK66" s="627"/>
      <c r="TBM66" s="627"/>
      <c r="TBO66" s="627"/>
      <c r="TBQ66" s="627"/>
      <c r="TBS66" s="627"/>
      <c r="TBU66" s="627"/>
      <c r="TBW66" s="627"/>
      <c r="TBY66" s="627"/>
      <c r="TCA66" s="627"/>
      <c r="TCC66" s="627"/>
      <c r="TCE66" s="627"/>
      <c r="TCG66" s="627"/>
      <c r="TCI66" s="627"/>
      <c r="TCK66" s="627"/>
      <c r="TCM66" s="627"/>
      <c r="TCO66" s="627"/>
      <c r="TCQ66" s="627"/>
      <c r="TCS66" s="627"/>
      <c r="TCU66" s="627"/>
      <c r="TCW66" s="627"/>
      <c r="TCY66" s="627"/>
      <c r="TDA66" s="627"/>
      <c r="TDC66" s="627"/>
      <c r="TDE66" s="627"/>
      <c r="TDG66" s="627"/>
      <c r="TDI66" s="627"/>
      <c r="TDK66" s="627"/>
      <c r="TDM66" s="627"/>
      <c r="TDO66" s="627"/>
      <c r="TDQ66" s="627"/>
      <c r="TDS66" s="627"/>
      <c r="TDU66" s="627"/>
      <c r="TDW66" s="627"/>
      <c r="TDY66" s="627"/>
      <c r="TEA66" s="627"/>
      <c r="TEC66" s="627"/>
      <c r="TEE66" s="627"/>
      <c r="TEG66" s="627"/>
      <c r="TEI66" s="627"/>
      <c r="TEK66" s="627"/>
      <c r="TEM66" s="627"/>
      <c r="TEO66" s="627"/>
      <c r="TEQ66" s="627"/>
      <c r="TES66" s="627"/>
      <c r="TEU66" s="627"/>
      <c r="TEW66" s="627"/>
      <c r="TEY66" s="627"/>
      <c r="TFA66" s="627"/>
      <c r="TFC66" s="627"/>
      <c r="TFE66" s="627"/>
      <c r="TFG66" s="627"/>
      <c r="TFI66" s="627"/>
      <c r="TFK66" s="627"/>
      <c r="TFM66" s="627"/>
      <c r="TFO66" s="627"/>
      <c r="TFQ66" s="627"/>
      <c r="TFS66" s="627"/>
      <c r="TFU66" s="627"/>
      <c r="TFW66" s="627"/>
      <c r="TFY66" s="627"/>
      <c r="TGA66" s="627"/>
      <c r="TGC66" s="627"/>
      <c r="TGE66" s="627"/>
      <c r="TGG66" s="627"/>
      <c r="TGI66" s="627"/>
      <c r="TGK66" s="627"/>
      <c r="TGM66" s="627"/>
      <c r="TGO66" s="627"/>
      <c r="TGQ66" s="627"/>
      <c r="TGS66" s="627"/>
      <c r="TGU66" s="627"/>
      <c r="TGW66" s="627"/>
      <c r="TGY66" s="627"/>
      <c r="THA66" s="627"/>
      <c r="THC66" s="627"/>
      <c r="THE66" s="627"/>
      <c r="THG66" s="627"/>
      <c r="THI66" s="627"/>
      <c r="THK66" s="627"/>
      <c r="THM66" s="627"/>
      <c r="THO66" s="627"/>
      <c r="THQ66" s="627"/>
      <c r="THS66" s="627"/>
      <c r="THU66" s="627"/>
      <c r="THW66" s="627"/>
      <c r="THY66" s="627"/>
      <c r="TIA66" s="627"/>
      <c r="TIC66" s="627"/>
      <c r="TIE66" s="627"/>
      <c r="TIG66" s="627"/>
      <c r="TII66" s="627"/>
      <c r="TIK66" s="627"/>
      <c r="TIM66" s="627"/>
      <c r="TIO66" s="627"/>
      <c r="TIQ66" s="627"/>
      <c r="TIS66" s="627"/>
      <c r="TIU66" s="627"/>
      <c r="TIW66" s="627"/>
      <c r="TIY66" s="627"/>
      <c r="TJA66" s="627"/>
      <c r="TJC66" s="627"/>
      <c r="TJE66" s="627"/>
      <c r="TJG66" s="627"/>
      <c r="TJI66" s="627"/>
      <c r="TJK66" s="627"/>
      <c r="TJM66" s="627"/>
      <c r="TJO66" s="627"/>
      <c r="TJQ66" s="627"/>
      <c r="TJS66" s="627"/>
      <c r="TJU66" s="627"/>
      <c r="TJW66" s="627"/>
      <c r="TJY66" s="627"/>
      <c r="TKA66" s="627"/>
      <c r="TKC66" s="627"/>
      <c r="TKE66" s="627"/>
      <c r="TKG66" s="627"/>
      <c r="TKI66" s="627"/>
      <c r="TKK66" s="627"/>
      <c r="TKM66" s="627"/>
      <c r="TKO66" s="627"/>
      <c r="TKQ66" s="627"/>
      <c r="TKS66" s="627"/>
      <c r="TKU66" s="627"/>
      <c r="TKW66" s="627"/>
      <c r="TKY66" s="627"/>
      <c r="TLA66" s="627"/>
      <c r="TLC66" s="627"/>
      <c r="TLE66" s="627"/>
      <c r="TLG66" s="627"/>
      <c r="TLI66" s="627"/>
      <c r="TLK66" s="627"/>
      <c r="TLM66" s="627"/>
      <c r="TLO66" s="627"/>
      <c r="TLQ66" s="627"/>
      <c r="TLS66" s="627"/>
      <c r="TLU66" s="627"/>
      <c r="TLW66" s="627"/>
      <c r="TLY66" s="627"/>
      <c r="TMA66" s="627"/>
      <c r="TMC66" s="627"/>
      <c r="TME66" s="627"/>
      <c r="TMG66" s="627"/>
      <c r="TMI66" s="627"/>
      <c r="TMK66" s="627"/>
      <c r="TMM66" s="627"/>
      <c r="TMO66" s="627"/>
      <c r="TMQ66" s="627"/>
      <c r="TMS66" s="627"/>
      <c r="TMU66" s="627"/>
      <c r="TMW66" s="627"/>
      <c r="TMY66" s="627"/>
      <c r="TNA66" s="627"/>
      <c r="TNC66" s="627"/>
      <c r="TNE66" s="627"/>
      <c r="TNG66" s="627"/>
      <c r="TNI66" s="627"/>
      <c r="TNK66" s="627"/>
      <c r="TNM66" s="627"/>
      <c r="TNO66" s="627"/>
      <c r="TNQ66" s="627"/>
      <c r="TNS66" s="627"/>
      <c r="TNU66" s="627"/>
      <c r="TNW66" s="627"/>
      <c r="TNY66" s="627"/>
      <c r="TOA66" s="627"/>
      <c r="TOC66" s="627"/>
      <c r="TOE66" s="627"/>
      <c r="TOG66" s="627"/>
      <c r="TOI66" s="627"/>
      <c r="TOK66" s="627"/>
      <c r="TOM66" s="627"/>
      <c r="TOO66" s="627"/>
      <c r="TOQ66" s="627"/>
      <c r="TOS66" s="627"/>
      <c r="TOU66" s="627"/>
      <c r="TOW66" s="627"/>
      <c r="TOY66" s="627"/>
      <c r="TPA66" s="627"/>
      <c r="TPC66" s="627"/>
      <c r="TPE66" s="627"/>
      <c r="TPG66" s="627"/>
      <c r="TPI66" s="627"/>
      <c r="TPK66" s="627"/>
      <c r="TPM66" s="627"/>
      <c r="TPO66" s="627"/>
      <c r="TPQ66" s="627"/>
      <c r="TPS66" s="627"/>
      <c r="TPU66" s="627"/>
      <c r="TPW66" s="627"/>
      <c r="TPY66" s="627"/>
      <c r="TQA66" s="627"/>
      <c r="TQC66" s="627"/>
      <c r="TQE66" s="627"/>
      <c r="TQG66" s="627"/>
      <c r="TQI66" s="627"/>
      <c r="TQK66" s="627"/>
      <c r="TQM66" s="627"/>
      <c r="TQO66" s="627"/>
      <c r="TQQ66" s="627"/>
      <c r="TQS66" s="627"/>
      <c r="TQU66" s="627"/>
      <c r="TQW66" s="627"/>
      <c r="TQY66" s="627"/>
      <c r="TRA66" s="627"/>
      <c r="TRC66" s="627"/>
      <c r="TRE66" s="627"/>
      <c r="TRG66" s="627"/>
      <c r="TRI66" s="627"/>
      <c r="TRK66" s="627"/>
      <c r="TRM66" s="627"/>
      <c r="TRO66" s="627"/>
      <c r="TRQ66" s="627"/>
      <c r="TRS66" s="627"/>
      <c r="TRU66" s="627"/>
      <c r="TRW66" s="627"/>
      <c r="TRY66" s="627"/>
      <c r="TSA66" s="627"/>
      <c r="TSC66" s="627"/>
      <c r="TSE66" s="627"/>
      <c r="TSG66" s="627"/>
      <c r="TSI66" s="627"/>
      <c r="TSK66" s="627"/>
      <c r="TSM66" s="627"/>
      <c r="TSO66" s="627"/>
      <c r="TSQ66" s="627"/>
      <c r="TSS66" s="627"/>
      <c r="TSU66" s="627"/>
      <c r="TSW66" s="627"/>
      <c r="TSY66" s="627"/>
      <c r="TTA66" s="627"/>
      <c r="TTC66" s="627"/>
      <c r="TTE66" s="627"/>
      <c r="TTG66" s="627"/>
      <c r="TTI66" s="627"/>
      <c r="TTK66" s="627"/>
      <c r="TTM66" s="627"/>
      <c r="TTO66" s="627"/>
      <c r="TTQ66" s="627"/>
      <c r="TTS66" s="627"/>
      <c r="TTU66" s="627"/>
      <c r="TTW66" s="627"/>
      <c r="TTY66" s="627"/>
      <c r="TUA66" s="627"/>
      <c r="TUC66" s="627"/>
      <c r="TUE66" s="627"/>
      <c r="TUG66" s="627"/>
      <c r="TUI66" s="627"/>
      <c r="TUK66" s="627"/>
      <c r="TUM66" s="627"/>
      <c r="TUO66" s="627"/>
      <c r="TUQ66" s="627"/>
      <c r="TUS66" s="627"/>
      <c r="TUU66" s="627"/>
      <c r="TUW66" s="627"/>
      <c r="TUY66" s="627"/>
      <c r="TVA66" s="627"/>
      <c r="TVC66" s="627"/>
      <c r="TVE66" s="627"/>
      <c r="TVG66" s="627"/>
      <c r="TVI66" s="627"/>
      <c r="TVK66" s="627"/>
      <c r="TVM66" s="627"/>
      <c r="TVO66" s="627"/>
      <c r="TVQ66" s="627"/>
      <c r="TVS66" s="627"/>
      <c r="TVU66" s="627"/>
      <c r="TVW66" s="627"/>
      <c r="TVY66" s="627"/>
      <c r="TWA66" s="627"/>
      <c r="TWC66" s="627"/>
      <c r="TWE66" s="627"/>
      <c r="TWG66" s="627"/>
      <c r="TWI66" s="627"/>
      <c r="TWK66" s="627"/>
      <c r="TWM66" s="627"/>
      <c r="TWO66" s="627"/>
      <c r="TWQ66" s="627"/>
      <c r="TWS66" s="627"/>
      <c r="TWU66" s="627"/>
      <c r="TWW66" s="627"/>
      <c r="TWY66" s="627"/>
      <c r="TXA66" s="627"/>
      <c r="TXC66" s="627"/>
      <c r="TXE66" s="627"/>
      <c r="TXG66" s="627"/>
      <c r="TXI66" s="627"/>
      <c r="TXK66" s="627"/>
      <c r="TXM66" s="627"/>
      <c r="TXO66" s="627"/>
      <c r="TXQ66" s="627"/>
      <c r="TXS66" s="627"/>
      <c r="TXU66" s="627"/>
      <c r="TXW66" s="627"/>
      <c r="TXY66" s="627"/>
      <c r="TYA66" s="627"/>
      <c r="TYC66" s="627"/>
      <c r="TYE66" s="627"/>
      <c r="TYG66" s="627"/>
      <c r="TYI66" s="627"/>
      <c r="TYK66" s="627"/>
      <c r="TYM66" s="627"/>
      <c r="TYO66" s="627"/>
      <c r="TYQ66" s="627"/>
      <c r="TYS66" s="627"/>
      <c r="TYU66" s="627"/>
      <c r="TYW66" s="627"/>
      <c r="TYY66" s="627"/>
      <c r="TZA66" s="627"/>
      <c r="TZC66" s="627"/>
      <c r="TZE66" s="627"/>
      <c r="TZG66" s="627"/>
      <c r="TZI66" s="627"/>
      <c r="TZK66" s="627"/>
      <c r="TZM66" s="627"/>
      <c r="TZO66" s="627"/>
      <c r="TZQ66" s="627"/>
      <c r="TZS66" s="627"/>
      <c r="TZU66" s="627"/>
      <c r="TZW66" s="627"/>
      <c r="TZY66" s="627"/>
      <c r="UAA66" s="627"/>
      <c r="UAC66" s="627"/>
      <c r="UAE66" s="627"/>
      <c r="UAG66" s="627"/>
      <c r="UAI66" s="627"/>
      <c r="UAK66" s="627"/>
      <c r="UAM66" s="627"/>
      <c r="UAO66" s="627"/>
      <c r="UAQ66" s="627"/>
      <c r="UAS66" s="627"/>
      <c r="UAU66" s="627"/>
      <c r="UAW66" s="627"/>
      <c r="UAY66" s="627"/>
      <c r="UBA66" s="627"/>
      <c r="UBC66" s="627"/>
      <c r="UBE66" s="627"/>
      <c r="UBG66" s="627"/>
      <c r="UBI66" s="627"/>
      <c r="UBK66" s="627"/>
      <c r="UBM66" s="627"/>
      <c r="UBO66" s="627"/>
      <c r="UBQ66" s="627"/>
      <c r="UBS66" s="627"/>
      <c r="UBU66" s="627"/>
      <c r="UBW66" s="627"/>
      <c r="UBY66" s="627"/>
      <c r="UCA66" s="627"/>
      <c r="UCC66" s="627"/>
      <c r="UCE66" s="627"/>
      <c r="UCG66" s="627"/>
      <c r="UCI66" s="627"/>
      <c r="UCK66" s="627"/>
      <c r="UCM66" s="627"/>
      <c r="UCO66" s="627"/>
      <c r="UCQ66" s="627"/>
      <c r="UCS66" s="627"/>
      <c r="UCU66" s="627"/>
      <c r="UCW66" s="627"/>
      <c r="UCY66" s="627"/>
      <c r="UDA66" s="627"/>
      <c r="UDC66" s="627"/>
      <c r="UDE66" s="627"/>
      <c r="UDG66" s="627"/>
      <c r="UDI66" s="627"/>
      <c r="UDK66" s="627"/>
      <c r="UDM66" s="627"/>
      <c r="UDO66" s="627"/>
      <c r="UDQ66" s="627"/>
      <c r="UDS66" s="627"/>
      <c r="UDU66" s="627"/>
      <c r="UDW66" s="627"/>
      <c r="UDY66" s="627"/>
      <c r="UEA66" s="627"/>
      <c r="UEC66" s="627"/>
      <c r="UEE66" s="627"/>
      <c r="UEG66" s="627"/>
      <c r="UEI66" s="627"/>
      <c r="UEK66" s="627"/>
      <c r="UEM66" s="627"/>
      <c r="UEO66" s="627"/>
      <c r="UEQ66" s="627"/>
      <c r="UES66" s="627"/>
      <c r="UEU66" s="627"/>
      <c r="UEW66" s="627"/>
      <c r="UEY66" s="627"/>
      <c r="UFA66" s="627"/>
      <c r="UFC66" s="627"/>
      <c r="UFE66" s="627"/>
      <c r="UFG66" s="627"/>
      <c r="UFI66" s="627"/>
      <c r="UFK66" s="627"/>
      <c r="UFM66" s="627"/>
      <c r="UFO66" s="627"/>
      <c r="UFQ66" s="627"/>
      <c r="UFS66" s="627"/>
      <c r="UFU66" s="627"/>
      <c r="UFW66" s="627"/>
      <c r="UFY66" s="627"/>
      <c r="UGA66" s="627"/>
      <c r="UGC66" s="627"/>
      <c r="UGE66" s="627"/>
      <c r="UGG66" s="627"/>
      <c r="UGI66" s="627"/>
      <c r="UGK66" s="627"/>
      <c r="UGM66" s="627"/>
      <c r="UGO66" s="627"/>
      <c r="UGQ66" s="627"/>
      <c r="UGS66" s="627"/>
      <c r="UGU66" s="627"/>
      <c r="UGW66" s="627"/>
      <c r="UGY66" s="627"/>
      <c r="UHA66" s="627"/>
      <c r="UHC66" s="627"/>
      <c r="UHE66" s="627"/>
      <c r="UHG66" s="627"/>
      <c r="UHI66" s="627"/>
      <c r="UHK66" s="627"/>
      <c r="UHM66" s="627"/>
      <c r="UHO66" s="627"/>
      <c r="UHQ66" s="627"/>
      <c r="UHS66" s="627"/>
      <c r="UHU66" s="627"/>
      <c r="UHW66" s="627"/>
      <c r="UHY66" s="627"/>
      <c r="UIA66" s="627"/>
      <c r="UIC66" s="627"/>
      <c r="UIE66" s="627"/>
      <c r="UIG66" s="627"/>
      <c r="UII66" s="627"/>
      <c r="UIK66" s="627"/>
      <c r="UIM66" s="627"/>
      <c r="UIO66" s="627"/>
      <c r="UIQ66" s="627"/>
      <c r="UIS66" s="627"/>
      <c r="UIU66" s="627"/>
      <c r="UIW66" s="627"/>
      <c r="UIY66" s="627"/>
      <c r="UJA66" s="627"/>
      <c r="UJC66" s="627"/>
      <c r="UJE66" s="627"/>
      <c r="UJG66" s="627"/>
      <c r="UJI66" s="627"/>
      <c r="UJK66" s="627"/>
      <c r="UJM66" s="627"/>
      <c r="UJO66" s="627"/>
      <c r="UJQ66" s="627"/>
      <c r="UJS66" s="627"/>
      <c r="UJU66" s="627"/>
      <c r="UJW66" s="627"/>
      <c r="UJY66" s="627"/>
      <c r="UKA66" s="627"/>
      <c r="UKC66" s="627"/>
      <c r="UKE66" s="627"/>
      <c r="UKG66" s="627"/>
      <c r="UKI66" s="627"/>
      <c r="UKK66" s="627"/>
      <c r="UKM66" s="627"/>
      <c r="UKO66" s="627"/>
      <c r="UKQ66" s="627"/>
      <c r="UKS66" s="627"/>
      <c r="UKU66" s="627"/>
      <c r="UKW66" s="627"/>
      <c r="UKY66" s="627"/>
      <c r="ULA66" s="627"/>
      <c r="ULC66" s="627"/>
      <c r="ULE66" s="627"/>
      <c r="ULG66" s="627"/>
      <c r="ULI66" s="627"/>
      <c r="ULK66" s="627"/>
      <c r="ULM66" s="627"/>
      <c r="ULO66" s="627"/>
      <c r="ULQ66" s="627"/>
      <c r="ULS66" s="627"/>
      <c r="ULU66" s="627"/>
      <c r="ULW66" s="627"/>
      <c r="ULY66" s="627"/>
      <c r="UMA66" s="627"/>
      <c r="UMC66" s="627"/>
      <c r="UME66" s="627"/>
      <c r="UMG66" s="627"/>
      <c r="UMI66" s="627"/>
      <c r="UMK66" s="627"/>
      <c r="UMM66" s="627"/>
      <c r="UMO66" s="627"/>
      <c r="UMQ66" s="627"/>
      <c r="UMS66" s="627"/>
      <c r="UMU66" s="627"/>
      <c r="UMW66" s="627"/>
      <c r="UMY66" s="627"/>
      <c r="UNA66" s="627"/>
      <c r="UNC66" s="627"/>
      <c r="UNE66" s="627"/>
      <c r="UNG66" s="627"/>
      <c r="UNI66" s="627"/>
      <c r="UNK66" s="627"/>
      <c r="UNM66" s="627"/>
      <c r="UNO66" s="627"/>
      <c r="UNQ66" s="627"/>
      <c r="UNS66" s="627"/>
      <c r="UNU66" s="627"/>
      <c r="UNW66" s="627"/>
      <c r="UNY66" s="627"/>
      <c r="UOA66" s="627"/>
      <c r="UOC66" s="627"/>
      <c r="UOE66" s="627"/>
      <c r="UOG66" s="627"/>
      <c r="UOI66" s="627"/>
      <c r="UOK66" s="627"/>
      <c r="UOM66" s="627"/>
      <c r="UOO66" s="627"/>
      <c r="UOQ66" s="627"/>
      <c r="UOS66" s="627"/>
      <c r="UOU66" s="627"/>
      <c r="UOW66" s="627"/>
      <c r="UOY66" s="627"/>
      <c r="UPA66" s="627"/>
      <c r="UPC66" s="627"/>
      <c r="UPE66" s="627"/>
      <c r="UPG66" s="627"/>
      <c r="UPI66" s="627"/>
      <c r="UPK66" s="627"/>
      <c r="UPM66" s="627"/>
      <c r="UPO66" s="627"/>
      <c r="UPQ66" s="627"/>
      <c r="UPS66" s="627"/>
      <c r="UPU66" s="627"/>
      <c r="UPW66" s="627"/>
      <c r="UPY66" s="627"/>
      <c r="UQA66" s="627"/>
      <c r="UQC66" s="627"/>
      <c r="UQE66" s="627"/>
      <c r="UQG66" s="627"/>
      <c r="UQI66" s="627"/>
      <c r="UQK66" s="627"/>
      <c r="UQM66" s="627"/>
      <c r="UQO66" s="627"/>
      <c r="UQQ66" s="627"/>
      <c r="UQS66" s="627"/>
      <c r="UQU66" s="627"/>
      <c r="UQW66" s="627"/>
      <c r="UQY66" s="627"/>
      <c r="URA66" s="627"/>
      <c r="URC66" s="627"/>
      <c r="URE66" s="627"/>
      <c r="URG66" s="627"/>
      <c r="URI66" s="627"/>
      <c r="URK66" s="627"/>
      <c r="URM66" s="627"/>
      <c r="URO66" s="627"/>
      <c r="URQ66" s="627"/>
      <c r="URS66" s="627"/>
      <c r="URU66" s="627"/>
      <c r="URW66" s="627"/>
      <c r="URY66" s="627"/>
      <c r="USA66" s="627"/>
      <c r="USC66" s="627"/>
      <c r="USE66" s="627"/>
      <c r="USG66" s="627"/>
      <c r="USI66" s="627"/>
      <c r="USK66" s="627"/>
      <c r="USM66" s="627"/>
      <c r="USO66" s="627"/>
      <c r="USQ66" s="627"/>
      <c r="USS66" s="627"/>
      <c r="USU66" s="627"/>
      <c r="USW66" s="627"/>
      <c r="USY66" s="627"/>
      <c r="UTA66" s="627"/>
      <c r="UTC66" s="627"/>
      <c r="UTE66" s="627"/>
      <c r="UTG66" s="627"/>
      <c r="UTI66" s="627"/>
      <c r="UTK66" s="627"/>
      <c r="UTM66" s="627"/>
      <c r="UTO66" s="627"/>
      <c r="UTQ66" s="627"/>
      <c r="UTS66" s="627"/>
      <c r="UTU66" s="627"/>
      <c r="UTW66" s="627"/>
      <c r="UTY66" s="627"/>
      <c r="UUA66" s="627"/>
      <c r="UUC66" s="627"/>
      <c r="UUE66" s="627"/>
      <c r="UUG66" s="627"/>
      <c r="UUI66" s="627"/>
      <c r="UUK66" s="627"/>
      <c r="UUM66" s="627"/>
      <c r="UUO66" s="627"/>
      <c r="UUQ66" s="627"/>
      <c r="UUS66" s="627"/>
      <c r="UUU66" s="627"/>
      <c r="UUW66" s="627"/>
      <c r="UUY66" s="627"/>
      <c r="UVA66" s="627"/>
      <c r="UVC66" s="627"/>
      <c r="UVE66" s="627"/>
      <c r="UVG66" s="627"/>
      <c r="UVI66" s="627"/>
      <c r="UVK66" s="627"/>
      <c r="UVM66" s="627"/>
      <c r="UVO66" s="627"/>
      <c r="UVQ66" s="627"/>
      <c r="UVS66" s="627"/>
      <c r="UVU66" s="627"/>
      <c r="UVW66" s="627"/>
      <c r="UVY66" s="627"/>
      <c r="UWA66" s="627"/>
      <c r="UWC66" s="627"/>
      <c r="UWE66" s="627"/>
      <c r="UWG66" s="627"/>
      <c r="UWI66" s="627"/>
      <c r="UWK66" s="627"/>
      <c r="UWM66" s="627"/>
      <c r="UWO66" s="627"/>
      <c r="UWQ66" s="627"/>
      <c r="UWS66" s="627"/>
      <c r="UWU66" s="627"/>
      <c r="UWW66" s="627"/>
      <c r="UWY66" s="627"/>
      <c r="UXA66" s="627"/>
      <c r="UXC66" s="627"/>
      <c r="UXE66" s="627"/>
      <c r="UXG66" s="627"/>
      <c r="UXI66" s="627"/>
      <c r="UXK66" s="627"/>
      <c r="UXM66" s="627"/>
      <c r="UXO66" s="627"/>
      <c r="UXQ66" s="627"/>
      <c r="UXS66" s="627"/>
      <c r="UXU66" s="627"/>
      <c r="UXW66" s="627"/>
      <c r="UXY66" s="627"/>
      <c r="UYA66" s="627"/>
      <c r="UYC66" s="627"/>
      <c r="UYE66" s="627"/>
      <c r="UYG66" s="627"/>
      <c r="UYI66" s="627"/>
      <c r="UYK66" s="627"/>
      <c r="UYM66" s="627"/>
      <c r="UYO66" s="627"/>
      <c r="UYQ66" s="627"/>
      <c r="UYS66" s="627"/>
      <c r="UYU66" s="627"/>
      <c r="UYW66" s="627"/>
      <c r="UYY66" s="627"/>
      <c r="UZA66" s="627"/>
      <c r="UZC66" s="627"/>
      <c r="UZE66" s="627"/>
      <c r="UZG66" s="627"/>
      <c r="UZI66" s="627"/>
      <c r="UZK66" s="627"/>
      <c r="UZM66" s="627"/>
      <c r="UZO66" s="627"/>
      <c r="UZQ66" s="627"/>
      <c r="UZS66" s="627"/>
      <c r="UZU66" s="627"/>
      <c r="UZW66" s="627"/>
      <c r="UZY66" s="627"/>
      <c r="VAA66" s="627"/>
      <c r="VAC66" s="627"/>
      <c r="VAE66" s="627"/>
      <c r="VAG66" s="627"/>
      <c r="VAI66" s="627"/>
      <c r="VAK66" s="627"/>
      <c r="VAM66" s="627"/>
      <c r="VAO66" s="627"/>
      <c r="VAQ66" s="627"/>
      <c r="VAS66" s="627"/>
      <c r="VAU66" s="627"/>
      <c r="VAW66" s="627"/>
      <c r="VAY66" s="627"/>
      <c r="VBA66" s="627"/>
      <c r="VBC66" s="627"/>
      <c r="VBE66" s="627"/>
      <c r="VBG66" s="627"/>
      <c r="VBI66" s="627"/>
      <c r="VBK66" s="627"/>
      <c r="VBM66" s="627"/>
      <c r="VBO66" s="627"/>
      <c r="VBQ66" s="627"/>
      <c r="VBS66" s="627"/>
      <c r="VBU66" s="627"/>
      <c r="VBW66" s="627"/>
      <c r="VBY66" s="627"/>
      <c r="VCA66" s="627"/>
      <c r="VCC66" s="627"/>
      <c r="VCE66" s="627"/>
      <c r="VCG66" s="627"/>
      <c r="VCI66" s="627"/>
      <c r="VCK66" s="627"/>
      <c r="VCM66" s="627"/>
      <c r="VCO66" s="627"/>
      <c r="VCQ66" s="627"/>
      <c r="VCS66" s="627"/>
      <c r="VCU66" s="627"/>
      <c r="VCW66" s="627"/>
      <c r="VCY66" s="627"/>
      <c r="VDA66" s="627"/>
      <c r="VDC66" s="627"/>
      <c r="VDE66" s="627"/>
      <c r="VDG66" s="627"/>
      <c r="VDI66" s="627"/>
      <c r="VDK66" s="627"/>
      <c r="VDM66" s="627"/>
      <c r="VDO66" s="627"/>
      <c r="VDQ66" s="627"/>
      <c r="VDS66" s="627"/>
      <c r="VDU66" s="627"/>
      <c r="VDW66" s="627"/>
      <c r="VDY66" s="627"/>
      <c r="VEA66" s="627"/>
      <c r="VEC66" s="627"/>
      <c r="VEE66" s="627"/>
      <c r="VEG66" s="627"/>
      <c r="VEI66" s="627"/>
      <c r="VEK66" s="627"/>
      <c r="VEM66" s="627"/>
      <c r="VEO66" s="627"/>
      <c r="VEQ66" s="627"/>
      <c r="VES66" s="627"/>
      <c r="VEU66" s="627"/>
      <c r="VEW66" s="627"/>
      <c r="VEY66" s="627"/>
      <c r="VFA66" s="627"/>
      <c r="VFC66" s="627"/>
      <c r="VFE66" s="627"/>
      <c r="VFG66" s="627"/>
      <c r="VFI66" s="627"/>
      <c r="VFK66" s="627"/>
      <c r="VFM66" s="627"/>
      <c r="VFO66" s="627"/>
      <c r="VFQ66" s="627"/>
      <c r="VFS66" s="627"/>
      <c r="VFU66" s="627"/>
      <c r="VFW66" s="627"/>
      <c r="VFY66" s="627"/>
      <c r="VGA66" s="627"/>
      <c r="VGC66" s="627"/>
      <c r="VGE66" s="627"/>
      <c r="VGG66" s="627"/>
      <c r="VGI66" s="627"/>
      <c r="VGK66" s="627"/>
      <c r="VGM66" s="627"/>
      <c r="VGO66" s="627"/>
      <c r="VGQ66" s="627"/>
      <c r="VGS66" s="627"/>
      <c r="VGU66" s="627"/>
      <c r="VGW66" s="627"/>
      <c r="VGY66" s="627"/>
      <c r="VHA66" s="627"/>
      <c r="VHC66" s="627"/>
      <c r="VHE66" s="627"/>
      <c r="VHG66" s="627"/>
      <c r="VHI66" s="627"/>
      <c r="VHK66" s="627"/>
      <c r="VHM66" s="627"/>
      <c r="VHO66" s="627"/>
      <c r="VHQ66" s="627"/>
      <c r="VHS66" s="627"/>
      <c r="VHU66" s="627"/>
      <c r="VHW66" s="627"/>
      <c r="VHY66" s="627"/>
      <c r="VIA66" s="627"/>
      <c r="VIC66" s="627"/>
      <c r="VIE66" s="627"/>
      <c r="VIG66" s="627"/>
      <c r="VII66" s="627"/>
      <c r="VIK66" s="627"/>
      <c r="VIM66" s="627"/>
      <c r="VIO66" s="627"/>
      <c r="VIQ66" s="627"/>
      <c r="VIS66" s="627"/>
      <c r="VIU66" s="627"/>
      <c r="VIW66" s="627"/>
      <c r="VIY66" s="627"/>
      <c r="VJA66" s="627"/>
      <c r="VJC66" s="627"/>
      <c r="VJE66" s="627"/>
      <c r="VJG66" s="627"/>
      <c r="VJI66" s="627"/>
      <c r="VJK66" s="627"/>
      <c r="VJM66" s="627"/>
      <c r="VJO66" s="627"/>
      <c r="VJQ66" s="627"/>
      <c r="VJS66" s="627"/>
      <c r="VJU66" s="627"/>
      <c r="VJW66" s="627"/>
      <c r="VJY66" s="627"/>
      <c r="VKA66" s="627"/>
      <c r="VKC66" s="627"/>
      <c r="VKE66" s="627"/>
      <c r="VKG66" s="627"/>
      <c r="VKI66" s="627"/>
      <c r="VKK66" s="627"/>
      <c r="VKM66" s="627"/>
      <c r="VKO66" s="627"/>
      <c r="VKQ66" s="627"/>
      <c r="VKS66" s="627"/>
      <c r="VKU66" s="627"/>
      <c r="VKW66" s="627"/>
      <c r="VKY66" s="627"/>
      <c r="VLA66" s="627"/>
      <c r="VLC66" s="627"/>
      <c r="VLE66" s="627"/>
      <c r="VLG66" s="627"/>
      <c r="VLI66" s="627"/>
      <c r="VLK66" s="627"/>
      <c r="VLM66" s="627"/>
      <c r="VLO66" s="627"/>
      <c r="VLQ66" s="627"/>
      <c r="VLS66" s="627"/>
      <c r="VLU66" s="627"/>
      <c r="VLW66" s="627"/>
      <c r="VLY66" s="627"/>
      <c r="VMA66" s="627"/>
      <c r="VMC66" s="627"/>
      <c r="VME66" s="627"/>
      <c r="VMG66" s="627"/>
      <c r="VMI66" s="627"/>
      <c r="VMK66" s="627"/>
      <c r="VMM66" s="627"/>
      <c r="VMO66" s="627"/>
      <c r="VMQ66" s="627"/>
      <c r="VMS66" s="627"/>
      <c r="VMU66" s="627"/>
      <c r="VMW66" s="627"/>
      <c r="VMY66" s="627"/>
      <c r="VNA66" s="627"/>
      <c r="VNC66" s="627"/>
      <c r="VNE66" s="627"/>
      <c r="VNG66" s="627"/>
      <c r="VNI66" s="627"/>
      <c r="VNK66" s="627"/>
      <c r="VNM66" s="627"/>
      <c r="VNO66" s="627"/>
      <c r="VNQ66" s="627"/>
      <c r="VNS66" s="627"/>
      <c r="VNU66" s="627"/>
      <c r="VNW66" s="627"/>
      <c r="VNY66" s="627"/>
      <c r="VOA66" s="627"/>
      <c r="VOC66" s="627"/>
      <c r="VOE66" s="627"/>
      <c r="VOG66" s="627"/>
      <c r="VOI66" s="627"/>
      <c r="VOK66" s="627"/>
      <c r="VOM66" s="627"/>
      <c r="VOO66" s="627"/>
      <c r="VOQ66" s="627"/>
      <c r="VOS66" s="627"/>
      <c r="VOU66" s="627"/>
      <c r="VOW66" s="627"/>
      <c r="VOY66" s="627"/>
      <c r="VPA66" s="627"/>
      <c r="VPC66" s="627"/>
      <c r="VPE66" s="627"/>
      <c r="VPG66" s="627"/>
      <c r="VPI66" s="627"/>
      <c r="VPK66" s="627"/>
      <c r="VPM66" s="627"/>
      <c r="VPO66" s="627"/>
      <c r="VPQ66" s="627"/>
      <c r="VPS66" s="627"/>
      <c r="VPU66" s="627"/>
      <c r="VPW66" s="627"/>
      <c r="VPY66" s="627"/>
      <c r="VQA66" s="627"/>
      <c r="VQC66" s="627"/>
      <c r="VQE66" s="627"/>
      <c r="VQG66" s="627"/>
      <c r="VQI66" s="627"/>
      <c r="VQK66" s="627"/>
      <c r="VQM66" s="627"/>
      <c r="VQO66" s="627"/>
      <c r="VQQ66" s="627"/>
      <c r="VQS66" s="627"/>
      <c r="VQU66" s="627"/>
      <c r="VQW66" s="627"/>
      <c r="VQY66" s="627"/>
      <c r="VRA66" s="627"/>
      <c r="VRC66" s="627"/>
      <c r="VRE66" s="627"/>
      <c r="VRG66" s="627"/>
      <c r="VRI66" s="627"/>
      <c r="VRK66" s="627"/>
      <c r="VRM66" s="627"/>
      <c r="VRO66" s="627"/>
      <c r="VRQ66" s="627"/>
      <c r="VRS66" s="627"/>
      <c r="VRU66" s="627"/>
      <c r="VRW66" s="627"/>
      <c r="VRY66" s="627"/>
      <c r="VSA66" s="627"/>
      <c r="VSC66" s="627"/>
      <c r="VSE66" s="627"/>
      <c r="VSG66" s="627"/>
      <c r="VSI66" s="627"/>
      <c r="VSK66" s="627"/>
      <c r="VSM66" s="627"/>
      <c r="VSO66" s="627"/>
      <c r="VSQ66" s="627"/>
      <c r="VSS66" s="627"/>
      <c r="VSU66" s="627"/>
      <c r="VSW66" s="627"/>
      <c r="VSY66" s="627"/>
      <c r="VTA66" s="627"/>
      <c r="VTC66" s="627"/>
      <c r="VTE66" s="627"/>
      <c r="VTG66" s="627"/>
      <c r="VTI66" s="627"/>
      <c r="VTK66" s="627"/>
      <c r="VTM66" s="627"/>
      <c r="VTO66" s="627"/>
      <c r="VTQ66" s="627"/>
      <c r="VTS66" s="627"/>
      <c r="VTU66" s="627"/>
      <c r="VTW66" s="627"/>
      <c r="VTY66" s="627"/>
      <c r="VUA66" s="627"/>
      <c r="VUC66" s="627"/>
      <c r="VUE66" s="627"/>
      <c r="VUG66" s="627"/>
      <c r="VUI66" s="627"/>
      <c r="VUK66" s="627"/>
      <c r="VUM66" s="627"/>
      <c r="VUO66" s="627"/>
      <c r="VUQ66" s="627"/>
      <c r="VUS66" s="627"/>
      <c r="VUU66" s="627"/>
      <c r="VUW66" s="627"/>
      <c r="VUY66" s="627"/>
      <c r="VVA66" s="627"/>
      <c r="VVC66" s="627"/>
      <c r="VVE66" s="627"/>
      <c r="VVG66" s="627"/>
      <c r="VVI66" s="627"/>
      <c r="VVK66" s="627"/>
      <c r="VVM66" s="627"/>
      <c r="VVO66" s="627"/>
      <c r="VVQ66" s="627"/>
      <c r="VVS66" s="627"/>
      <c r="VVU66" s="627"/>
      <c r="VVW66" s="627"/>
      <c r="VVY66" s="627"/>
      <c r="VWA66" s="627"/>
      <c r="VWC66" s="627"/>
      <c r="VWE66" s="627"/>
      <c r="VWG66" s="627"/>
      <c r="VWI66" s="627"/>
      <c r="VWK66" s="627"/>
      <c r="VWM66" s="627"/>
      <c r="VWO66" s="627"/>
      <c r="VWQ66" s="627"/>
      <c r="VWS66" s="627"/>
      <c r="VWU66" s="627"/>
      <c r="VWW66" s="627"/>
      <c r="VWY66" s="627"/>
      <c r="VXA66" s="627"/>
      <c r="VXC66" s="627"/>
      <c r="VXE66" s="627"/>
      <c r="VXG66" s="627"/>
      <c r="VXI66" s="627"/>
      <c r="VXK66" s="627"/>
      <c r="VXM66" s="627"/>
      <c r="VXO66" s="627"/>
      <c r="VXQ66" s="627"/>
      <c r="VXS66" s="627"/>
      <c r="VXU66" s="627"/>
      <c r="VXW66" s="627"/>
      <c r="VXY66" s="627"/>
      <c r="VYA66" s="627"/>
      <c r="VYC66" s="627"/>
      <c r="VYE66" s="627"/>
      <c r="VYG66" s="627"/>
      <c r="VYI66" s="627"/>
      <c r="VYK66" s="627"/>
      <c r="VYM66" s="627"/>
      <c r="VYO66" s="627"/>
      <c r="VYQ66" s="627"/>
      <c r="VYS66" s="627"/>
      <c r="VYU66" s="627"/>
      <c r="VYW66" s="627"/>
      <c r="VYY66" s="627"/>
      <c r="VZA66" s="627"/>
      <c r="VZC66" s="627"/>
      <c r="VZE66" s="627"/>
      <c r="VZG66" s="627"/>
      <c r="VZI66" s="627"/>
      <c r="VZK66" s="627"/>
      <c r="VZM66" s="627"/>
      <c r="VZO66" s="627"/>
      <c r="VZQ66" s="627"/>
      <c r="VZS66" s="627"/>
      <c r="VZU66" s="627"/>
      <c r="VZW66" s="627"/>
      <c r="VZY66" s="627"/>
      <c r="WAA66" s="627"/>
      <c r="WAC66" s="627"/>
      <c r="WAE66" s="627"/>
      <c r="WAG66" s="627"/>
      <c r="WAI66" s="627"/>
      <c r="WAK66" s="627"/>
      <c r="WAM66" s="627"/>
      <c r="WAO66" s="627"/>
      <c r="WAQ66" s="627"/>
      <c r="WAS66" s="627"/>
      <c r="WAU66" s="627"/>
      <c r="WAW66" s="627"/>
      <c r="WAY66" s="627"/>
      <c r="WBA66" s="627"/>
      <c r="WBC66" s="627"/>
      <c r="WBE66" s="627"/>
      <c r="WBG66" s="627"/>
      <c r="WBI66" s="627"/>
      <c r="WBK66" s="627"/>
      <c r="WBM66" s="627"/>
      <c r="WBO66" s="627"/>
      <c r="WBQ66" s="627"/>
      <c r="WBS66" s="627"/>
      <c r="WBU66" s="627"/>
      <c r="WBW66" s="627"/>
      <c r="WBY66" s="627"/>
      <c r="WCA66" s="627"/>
      <c r="WCC66" s="627"/>
      <c r="WCE66" s="627"/>
      <c r="WCG66" s="627"/>
      <c r="WCI66" s="627"/>
      <c r="WCK66" s="627"/>
      <c r="WCM66" s="627"/>
      <c r="WCO66" s="627"/>
      <c r="WCQ66" s="627"/>
      <c r="WCS66" s="627"/>
      <c r="WCU66" s="627"/>
      <c r="WCW66" s="627"/>
      <c r="WCY66" s="627"/>
      <c r="WDA66" s="627"/>
      <c r="WDC66" s="627"/>
      <c r="WDE66" s="627"/>
      <c r="WDG66" s="627"/>
      <c r="WDI66" s="627"/>
      <c r="WDK66" s="627"/>
      <c r="WDM66" s="627"/>
      <c r="WDO66" s="627"/>
      <c r="WDQ66" s="627"/>
      <c r="WDS66" s="627"/>
      <c r="WDU66" s="627"/>
      <c r="WDW66" s="627"/>
      <c r="WDY66" s="627"/>
      <c r="WEA66" s="627"/>
      <c r="WEC66" s="627"/>
      <c r="WEE66" s="627"/>
      <c r="WEG66" s="627"/>
      <c r="WEI66" s="627"/>
      <c r="WEK66" s="627"/>
      <c r="WEM66" s="627"/>
      <c r="WEO66" s="627"/>
      <c r="WEQ66" s="627"/>
      <c r="WES66" s="627"/>
      <c r="WEU66" s="627"/>
      <c r="WEW66" s="627"/>
      <c r="WEY66" s="627"/>
      <c r="WFA66" s="627"/>
      <c r="WFC66" s="627"/>
      <c r="WFE66" s="627"/>
      <c r="WFG66" s="627"/>
      <c r="WFI66" s="627"/>
      <c r="WFK66" s="627"/>
      <c r="WFM66" s="627"/>
      <c r="WFO66" s="627"/>
      <c r="WFQ66" s="627"/>
      <c r="WFS66" s="627"/>
      <c r="WFU66" s="627"/>
      <c r="WFW66" s="627"/>
      <c r="WFY66" s="627"/>
      <c r="WGA66" s="627"/>
      <c r="WGC66" s="627"/>
      <c r="WGE66" s="627"/>
      <c r="WGG66" s="627"/>
      <c r="WGI66" s="627"/>
      <c r="WGK66" s="627"/>
      <c r="WGM66" s="627"/>
      <c r="WGO66" s="627"/>
      <c r="WGQ66" s="627"/>
      <c r="WGS66" s="627"/>
      <c r="WGU66" s="627"/>
      <c r="WGW66" s="627"/>
      <c r="WGY66" s="627"/>
      <c r="WHA66" s="627"/>
      <c r="WHC66" s="627"/>
      <c r="WHE66" s="627"/>
      <c r="WHG66" s="627"/>
      <c r="WHI66" s="627"/>
      <c r="WHK66" s="627"/>
      <c r="WHM66" s="627"/>
      <c r="WHO66" s="627"/>
      <c r="WHQ66" s="627"/>
      <c r="WHS66" s="627"/>
      <c r="WHU66" s="627"/>
      <c r="WHW66" s="627"/>
      <c r="WHY66" s="627"/>
      <c r="WIA66" s="627"/>
      <c r="WIC66" s="627"/>
      <c r="WIE66" s="627"/>
      <c r="WIG66" s="627"/>
      <c r="WII66" s="627"/>
      <c r="WIK66" s="627"/>
      <c r="WIM66" s="627"/>
      <c r="WIO66" s="627"/>
      <c r="WIQ66" s="627"/>
      <c r="WIS66" s="627"/>
      <c r="WIU66" s="627"/>
      <c r="WIW66" s="627"/>
      <c r="WIY66" s="627"/>
      <c r="WJA66" s="627"/>
      <c r="WJC66" s="627"/>
      <c r="WJE66" s="627"/>
      <c r="WJG66" s="627"/>
      <c r="WJI66" s="627"/>
      <c r="WJK66" s="627"/>
      <c r="WJM66" s="627"/>
      <c r="WJO66" s="627"/>
      <c r="WJQ66" s="627"/>
      <c r="WJS66" s="627"/>
      <c r="WJU66" s="627"/>
      <c r="WJW66" s="627"/>
      <c r="WJY66" s="627"/>
      <c r="WKA66" s="627"/>
      <c r="WKC66" s="627"/>
      <c r="WKE66" s="627"/>
      <c r="WKG66" s="627"/>
      <c r="WKI66" s="627"/>
      <c r="WKK66" s="627"/>
      <c r="WKM66" s="627"/>
      <c r="WKO66" s="627"/>
      <c r="WKQ66" s="627"/>
      <c r="WKS66" s="627"/>
      <c r="WKU66" s="627"/>
      <c r="WKW66" s="627"/>
      <c r="WKY66" s="627"/>
      <c r="WLA66" s="627"/>
      <c r="WLC66" s="627"/>
      <c r="WLE66" s="627"/>
      <c r="WLG66" s="627"/>
      <c r="WLI66" s="627"/>
      <c r="WLK66" s="627"/>
      <c r="WLM66" s="627"/>
      <c r="WLO66" s="627"/>
      <c r="WLQ66" s="627"/>
      <c r="WLS66" s="627"/>
      <c r="WLU66" s="627"/>
      <c r="WLW66" s="627"/>
      <c r="WLY66" s="627"/>
      <c r="WMA66" s="627"/>
      <c r="WMC66" s="627"/>
      <c r="WME66" s="627"/>
      <c r="WMG66" s="627"/>
      <c r="WMI66" s="627"/>
      <c r="WMK66" s="627"/>
      <c r="WMM66" s="627"/>
      <c r="WMO66" s="627"/>
      <c r="WMQ66" s="627"/>
      <c r="WMS66" s="627"/>
      <c r="WMU66" s="627"/>
      <c r="WMW66" s="627"/>
      <c r="WMY66" s="627"/>
      <c r="WNA66" s="627"/>
      <c r="WNC66" s="627"/>
      <c r="WNE66" s="627"/>
      <c r="WNG66" s="627"/>
      <c r="WNI66" s="627"/>
      <c r="WNK66" s="627"/>
      <c r="WNM66" s="627"/>
      <c r="WNO66" s="627"/>
      <c r="WNQ66" s="627"/>
      <c r="WNS66" s="627"/>
      <c r="WNU66" s="627"/>
      <c r="WNW66" s="627"/>
      <c r="WNY66" s="627"/>
      <c r="WOA66" s="627"/>
      <c r="WOC66" s="627"/>
      <c r="WOE66" s="627"/>
      <c r="WOG66" s="627"/>
      <c r="WOI66" s="627"/>
      <c r="WOK66" s="627"/>
      <c r="WOM66" s="627"/>
      <c r="WOO66" s="627"/>
      <c r="WOQ66" s="627"/>
      <c r="WOS66" s="627"/>
      <c r="WOU66" s="627"/>
      <c r="WOW66" s="627"/>
      <c r="WOY66" s="627"/>
      <c r="WPA66" s="627"/>
      <c r="WPC66" s="627"/>
      <c r="WPE66" s="627"/>
      <c r="WPG66" s="627"/>
      <c r="WPI66" s="627"/>
      <c r="WPK66" s="627"/>
      <c r="WPM66" s="627"/>
      <c r="WPO66" s="627"/>
      <c r="WPQ66" s="627"/>
      <c r="WPS66" s="627"/>
      <c r="WPU66" s="627"/>
      <c r="WPW66" s="627"/>
      <c r="WPY66" s="627"/>
      <c r="WQA66" s="627"/>
      <c r="WQC66" s="627"/>
      <c r="WQE66" s="627"/>
      <c r="WQG66" s="627"/>
      <c r="WQI66" s="627"/>
      <c r="WQK66" s="627"/>
      <c r="WQM66" s="627"/>
      <c r="WQO66" s="627"/>
      <c r="WQQ66" s="627"/>
      <c r="WQS66" s="627"/>
      <c r="WQU66" s="627"/>
      <c r="WQW66" s="627"/>
      <c r="WQY66" s="627"/>
      <c r="WRA66" s="627"/>
      <c r="WRC66" s="627"/>
      <c r="WRE66" s="627"/>
      <c r="WRG66" s="627"/>
      <c r="WRI66" s="627"/>
      <c r="WRK66" s="627"/>
      <c r="WRM66" s="627"/>
      <c r="WRO66" s="627"/>
      <c r="WRQ66" s="627"/>
      <c r="WRS66" s="627"/>
      <c r="WRU66" s="627"/>
      <c r="WRW66" s="627"/>
      <c r="WRY66" s="627"/>
      <c r="WSA66" s="627"/>
      <c r="WSC66" s="627"/>
      <c r="WSE66" s="627"/>
      <c r="WSG66" s="627"/>
      <c r="WSI66" s="627"/>
      <c r="WSK66" s="627"/>
      <c r="WSM66" s="627"/>
      <c r="WSO66" s="627"/>
      <c r="WSQ66" s="627"/>
      <c r="WSS66" s="627"/>
      <c r="WSU66" s="627"/>
      <c r="WSW66" s="627"/>
      <c r="WSY66" s="627"/>
      <c r="WTA66" s="627"/>
      <c r="WTC66" s="627"/>
      <c r="WTE66" s="627"/>
      <c r="WTG66" s="627"/>
      <c r="WTI66" s="627"/>
      <c r="WTK66" s="627"/>
      <c r="WTM66" s="627"/>
      <c r="WTO66" s="627"/>
      <c r="WTQ66" s="627"/>
      <c r="WTS66" s="627"/>
      <c r="WTU66" s="627"/>
      <c r="WTW66" s="627"/>
      <c r="WTY66" s="627"/>
      <c r="WUA66" s="627"/>
      <c r="WUC66" s="627"/>
      <c r="WUE66" s="627"/>
      <c r="WUG66" s="627"/>
      <c r="WUI66" s="627"/>
      <c r="WUK66" s="627"/>
      <c r="WUM66" s="627"/>
      <c r="WUO66" s="627"/>
      <c r="WUQ66" s="627"/>
      <c r="WUS66" s="627"/>
      <c r="WUU66" s="627"/>
      <c r="WUW66" s="627"/>
      <c r="WUY66" s="627"/>
      <c r="WVA66" s="627"/>
      <c r="WVC66" s="627"/>
      <c r="WVE66" s="627"/>
      <c r="WVG66" s="627"/>
      <c r="WVI66" s="627"/>
      <c r="WVK66" s="627"/>
      <c r="WVM66" s="627"/>
      <c r="WVO66" s="627"/>
      <c r="WVQ66" s="627"/>
      <c r="WVS66" s="627"/>
      <c r="WVU66" s="627"/>
      <c r="WVW66" s="627"/>
      <c r="WVY66" s="627"/>
      <c r="WWA66" s="627"/>
      <c r="WWC66" s="627"/>
      <c r="WWE66" s="627"/>
      <c r="WWG66" s="627"/>
      <c r="WWI66" s="627"/>
      <c r="WWK66" s="627"/>
      <c r="WWM66" s="627"/>
      <c r="WWO66" s="627"/>
      <c r="WWQ66" s="627"/>
      <c r="WWS66" s="627"/>
      <c r="WWU66" s="627"/>
      <c r="WWW66" s="627"/>
      <c r="WWY66" s="627"/>
      <c r="WXA66" s="627"/>
      <c r="WXC66" s="627"/>
      <c r="WXE66" s="627"/>
      <c r="WXG66" s="627"/>
      <c r="WXI66" s="627"/>
      <c r="WXK66" s="627"/>
      <c r="WXM66" s="627"/>
      <c r="WXO66" s="627"/>
      <c r="WXQ66" s="627"/>
      <c r="WXS66" s="627"/>
      <c r="WXU66" s="627"/>
      <c r="WXW66" s="627"/>
      <c r="WXY66" s="627"/>
      <c r="WYA66" s="627"/>
      <c r="WYC66" s="627"/>
      <c r="WYE66" s="627"/>
      <c r="WYG66" s="627"/>
      <c r="WYI66" s="627"/>
      <c r="WYK66" s="627"/>
      <c r="WYM66" s="627"/>
      <c r="WYO66" s="627"/>
      <c r="WYQ66" s="627"/>
      <c r="WYS66" s="627"/>
      <c r="WYU66" s="627"/>
      <c r="WYW66" s="627"/>
      <c r="WYY66" s="627"/>
      <c r="WZA66" s="627"/>
      <c r="WZC66" s="627"/>
      <c r="WZE66" s="627"/>
      <c r="WZG66" s="627"/>
      <c r="WZI66" s="627"/>
      <c r="WZK66" s="627"/>
      <c r="WZM66" s="627"/>
      <c r="WZO66" s="627"/>
      <c r="WZQ66" s="627"/>
      <c r="WZS66" s="627"/>
      <c r="WZU66" s="627"/>
      <c r="WZW66" s="627"/>
      <c r="WZY66" s="627"/>
      <c r="XAA66" s="627"/>
      <c r="XAC66" s="627"/>
      <c r="XAE66" s="627"/>
      <c r="XAG66" s="627"/>
      <c r="XAI66" s="627"/>
      <c r="XAK66" s="627"/>
      <c r="XAM66" s="627"/>
      <c r="XAO66" s="627"/>
      <c r="XAQ66" s="627"/>
      <c r="XAS66" s="627"/>
      <c r="XAU66" s="627"/>
      <c r="XAW66" s="627"/>
      <c r="XAY66" s="627"/>
      <c r="XBA66" s="627"/>
      <c r="XBC66" s="627"/>
      <c r="XBE66" s="627"/>
      <c r="XBG66" s="627"/>
      <c r="XBI66" s="627"/>
      <c r="XBK66" s="627"/>
      <c r="XBM66" s="627"/>
      <c r="XBO66" s="627"/>
      <c r="XBQ66" s="627"/>
      <c r="XBS66" s="627"/>
      <c r="XBU66" s="627"/>
      <c r="XBW66" s="627"/>
      <c r="XBY66" s="627"/>
      <c r="XCA66" s="627"/>
      <c r="XCC66" s="627"/>
      <c r="XCE66" s="627"/>
      <c r="XCG66" s="627"/>
      <c r="XCI66" s="627"/>
      <c r="XCK66" s="627"/>
      <c r="XCM66" s="627"/>
      <c r="XCO66" s="627"/>
      <c r="XCQ66" s="627"/>
      <c r="XCS66" s="627"/>
      <c r="XCU66" s="627"/>
      <c r="XCW66" s="627"/>
      <c r="XCY66" s="627"/>
      <c r="XDA66" s="627"/>
      <c r="XDC66" s="627"/>
      <c r="XDE66" s="627"/>
      <c r="XDG66" s="627"/>
      <c r="XDI66" s="627"/>
      <c r="XDK66" s="627"/>
      <c r="XDM66" s="627"/>
      <c r="XDO66" s="627"/>
      <c r="XDQ66" s="627"/>
      <c r="XDS66" s="627"/>
      <c r="XDU66" s="627"/>
      <c r="XDW66" s="627"/>
      <c r="XDY66" s="627"/>
      <c r="XEA66" s="627"/>
      <c r="XEC66" s="627"/>
      <c r="XEE66" s="627"/>
      <c r="XEG66" s="627"/>
      <c r="XEI66" s="627"/>
      <c r="XEK66" s="627"/>
      <c r="XEM66" s="627"/>
      <c r="XEO66" s="627"/>
      <c r="XEQ66" s="627"/>
      <c r="XES66" s="627"/>
      <c r="XEU66" s="627"/>
      <c r="XEW66" s="627"/>
      <c r="XEY66" s="627"/>
      <c r="XFA66" s="627"/>
      <c r="XFC66" s="627"/>
    </row>
    <row r="67" spans="1:1023 1025:2047 2049:3071 3073:4095 4097:5119 5121:6143 6145:7167 7169:8191 8193:9215 9217:10239 10241:11263 11265:12287 12289:13311 13313:14335 14337:15359 15361:16383" s="1409" customFormat="1" ht="13">
      <c r="A67" s="1548" t="s">
        <v>2483</v>
      </c>
      <c r="B67" s="627"/>
      <c r="C67" s="1547">
        <v>0.23569999999999999</v>
      </c>
      <c r="D67" s="598"/>
      <c r="E67" s="627">
        <f>E$59*$C$67</f>
        <v>22.438639999989025</v>
      </c>
      <c r="G67" s="627">
        <f t="shared" ref="G67:AG67" si="18">G$59*$C$67</f>
        <v>691.23031900000126</v>
      </c>
      <c r="I67" s="627">
        <f t="shared" si="18"/>
        <v>1345.7397918549807</v>
      </c>
      <c r="K67" s="627">
        <f t="shared" si="18"/>
        <v>1984.5242263771599</v>
      </c>
      <c r="M67" s="627">
        <f t="shared" si="18"/>
        <v>2606.0667032358006</v>
      </c>
      <c r="O67" s="627">
        <f t="shared" si="18"/>
        <v>3208.773032923988</v>
      </c>
      <c r="Q67" s="627">
        <f t="shared" si="18"/>
        <v>3790.9684465641767</v>
      </c>
      <c r="S67" s="627">
        <f t="shared" si="18"/>
        <v>4350.8941557671524</v>
      </c>
      <c r="U67" s="627">
        <f t="shared" si="18"/>
        <v>4886.703776584246</v>
      </c>
      <c r="W67" s="627">
        <f t="shared" si="18"/>
        <v>5396.4596124073096</v>
      </c>
      <c r="Y67" s="627">
        <f t="shared" si="18"/>
        <v>5878.1287904827468</v>
      </c>
      <c r="AA67" s="627">
        <f t="shared" si="18"/>
        <v>6329.5792465091326</v>
      </c>
      <c r="AC67" s="627">
        <f t="shared" si="18"/>
        <v>6748.5755515827295</v>
      </c>
      <c r="AE67" s="627">
        <f t="shared" si="18"/>
        <v>7132.7745755463766</v>
      </c>
      <c r="AG67" s="627">
        <f t="shared" si="18"/>
        <v>7479.7209805765451</v>
      </c>
      <c r="AI67" s="627"/>
      <c r="AK67" s="627"/>
      <c r="AM67" s="627"/>
      <c r="AO67" s="627"/>
      <c r="AQ67" s="627"/>
      <c r="AS67" s="627"/>
      <c r="AU67" s="627"/>
      <c r="AW67" s="627"/>
      <c r="AY67" s="627"/>
      <c r="BA67" s="627"/>
      <c r="BC67" s="627"/>
      <c r="BE67" s="627"/>
      <c r="BG67" s="627"/>
      <c r="BI67" s="627"/>
      <c r="BK67" s="627"/>
      <c r="BM67" s="627"/>
      <c r="BO67" s="627"/>
      <c r="BQ67" s="627"/>
      <c r="BS67" s="627"/>
      <c r="BU67" s="627"/>
      <c r="BW67" s="627"/>
      <c r="BY67" s="627"/>
      <c r="CA67" s="627"/>
      <c r="CC67" s="627"/>
      <c r="CE67" s="627"/>
      <c r="CG67" s="627"/>
      <c r="CI67" s="627"/>
      <c r="CK67" s="627"/>
      <c r="CM67" s="627"/>
      <c r="CO67" s="627"/>
      <c r="CQ67" s="627"/>
      <c r="CS67" s="627"/>
      <c r="CU67" s="627"/>
      <c r="CW67" s="627"/>
      <c r="CY67" s="627"/>
      <c r="DA67" s="627"/>
      <c r="DC67" s="627"/>
      <c r="DE67" s="627"/>
      <c r="DG67" s="627"/>
      <c r="DI67" s="627"/>
      <c r="DK67" s="627"/>
      <c r="DM67" s="627"/>
      <c r="DO67" s="627"/>
      <c r="DQ67" s="627"/>
      <c r="DS67" s="627"/>
      <c r="DU67" s="627"/>
      <c r="DW67" s="627"/>
      <c r="DY67" s="627"/>
      <c r="EA67" s="627"/>
      <c r="EC67" s="627"/>
      <c r="EE67" s="627"/>
      <c r="EG67" s="627"/>
      <c r="EI67" s="627"/>
      <c r="EK67" s="627"/>
      <c r="EM67" s="627"/>
      <c r="EO67" s="627"/>
      <c r="EQ67" s="627"/>
      <c r="ES67" s="627"/>
      <c r="EU67" s="627"/>
      <c r="EW67" s="627"/>
      <c r="EY67" s="627"/>
      <c r="FA67" s="627"/>
      <c r="FC67" s="627"/>
      <c r="FE67" s="627"/>
      <c r="FG67" s="627"/>
      <c r="FI67" s="627"/>
      <c r="FK67" s="627"/>
      <c r="FM67" s="627"/>
      <c r="FO67" s="627"/>
      <c r="FQ67" s="627"/>
      <c r="FS67" s="627"/>
      <c r="FU67" s="627"/>
      <c r="FW67" s="627"/>
      <c r="FY67" s="627"/>
      <c r="GA67" s="627"/>
      <c r="GC67" s="627"/>
      <c r="GE67" s="627"/>
      <c r="GG67" s="627"/>
      <c r="GI67" s="627"/>
      <c r="GK67" s="627"/>
      <c r="GM67" s="627"/>
      <c r="GO67" s="627"/>
      <c r="GQ67" s="627"/>
      <c r="GS67" s="627"/>
      <c r="GU67" s="627"/>
      <c r="GW67" s="627"/>
      <c r="GY67" s="627"/>
      <c r="HA67" s="627"/>
      <c r="HC67" s="627"/>
      <c r="HE67" s="627"/>
      <c r="HG67" s="627"/>
      <c r="HI67" s="627"/>
      <c r="HK67" s="627"/>
      <c r="HM67" s="627"/>
      <c r="HO67" s="627"/>
      <c r="HQ67" s="627"/>
      <c r="HS67" s="627"/>
      <c r="HU67" s="627"/>
      <c r="HW67" s="627"/>
      <c r="HY67" s="627"/>
      <c r="IA67" s="627"/>
      <c r="IC67" s="627"/>
      <c r="IE67" s="627"/>
      <c r="IG67" s="627"/>
      <c r="II67" s="627"/>
      <c r="IK67" s="627"/>
      <c r="IM67" s="627"/>
      <c r="IO67" s="627"/>
      <c r="IQ67" s="627"/>
      <c r="IS67" s="627"/>
      <c r="IU67" s="627"/>
      <c r="IW67" s="627"/>
      <c r="IY67" s="627"/>
      <c r="JA67" s="627"/>
      <c r="JC67" s="627"/>
      <c r="JE67" s="627"/>
      <c r="JG67" s="627"/>
      <c r="JI67" s="627"/>
      <c r="JK67" s="627"/>
      <c r="JM67" s="627"/>
      <c r="JO67" s="627"/>
      <c r="JQ67" s="627"/>
      <c r="JS67" s="627"/>
      <c r="JU67" s="627"/>
      <c r="JW67" s="627"/>
      <c r="JY67" s="627"/>
      <c r="KA67" s="627"/>
      <c r="KC67" s="627"/>
      <c r="KE67" s="627"/>
      <c r="KG67" s="627"/>
      <c r="KI67" s="627"/>
      <c r="KK67" s="627"/>
      <c r="KM67" s="627"/>
      <c r="KO67" s="627"/>
      <c r="KQ67" s="627"/>
      <c r="KS67" s="627"/>
      <c r="KU67" s="627"/>
      <c r="KW67" s="627"/>
      <c r="KY67" s="627"/>
      <c r="LA67" s="627"/>
      <c r="LC67" s="627"/>
      <c r="LE67" s="627"/>
      <c r="LG67" s="627"/>
      <c r="LI67" s="627"/>
      <c r="LK67" s="627"/>
      <c r="LM67" s="627"/>
      <c r="LO67" s="627"/>
      <c r="LQ67" s="627"/>
      <c r="LS67" s="627"/>
      <c r="LU67" s="627"/>
      <c r="LW67" s="627"/>
      <c r="LY67" s="627"/>
      <c r="MA67" s="627"/>
      <c r="MC67" s="627"/>
      <c r="ME67" s="627"/>
      <c r="MG67" s="627"/>
      <c r="MI67" s="627"/>
      <c r="MK67" s="627"/>
      <c r="MM67" s="627"/>
      <c r="MO67" s="627"/>
      <c r="MQ67" s="627"/>
      <c r="MS67" s="627"/>
      <c r="MU67" s="627"/>
      <c r="MW67" s="627"/>
      <c r="MY67" s="627"/>
      <c r="NA67" s="627"/>
      <c r="NC67" s="627"/>
      <c r="NE67" s="627"/>
      <c r="NG67" s="627"/>
      <c r="NI67" s="627"/>
      <c r="NK67" s="627"/>
      <c r="NM67" s="627"/>
      <c r="NO67" s="627"/>
      <c r="NQ67" s="627"/>
      <c r="NS67" s="627"/>
      <c r="NU67" s="627"/>
      <c r="NW67" s="627"/>
      <c r="NY67" s="627"/>
      <c r="OA67" s="627"/>
      <c r="OC67" s="627"/>
      <c r="OE67" s="627"/>
      <c r="OG67" s="627"/>
      <c r="OI67" s="627"/>
      <c r="OK67" s="627"/>
      <c r="OM67" s="627"/>
      <c r="OO67" s="627"/>
      <c r="OQ67" s="627"/>
      <c r="OS67" s="627"/>
      <c r="OU67" s="627"/>
      <c r="OW67" s="627"/>
      <c r="OY67" s="627"/>
      <c r="PA67" s="627"/>
      <c r="PC67" s="627"/>
      <c r="PE67" s="627"/>
      <c r="PG67" s="627"/>
      <c r="PI67" s="627"/>
      <c r="PK67" s="627"/>
      <c r="PM67" s="627"/>
      <c r="PO67" s="627"/>
      <c r="PQ67" s="627"/>
      <c r="PS67" s="627"/>
      <c r="PU67" s="627"/>
      <c r="PW67" s="627"/>
      <c r="PY67" s="627"/>
      <c r="QA67" s="627"/>
      <c r="QC67" s="627"/>
      <c r="QE67" s="627"/>
      <c r="QG67" s="627"/>
      <c r="QI67" s="627"/>
      <c r="QK67" s="627"/>
      <c r="QM67" s="627"/>
      <c r="QO67" s="627"/>
      <c r="QQ67" s="627"/>
      <c r="QS67" s="627"/>
      <c r="QU67" s="627"/>
      <c r="QW67" s="627"/>
      <c r="QY67" s="627"/>
      <c r="RA67" s="627"/>
      <c r="RC67" s="627"/>
      <c r="RE67" s="627"/>
      <c r="RG67" s="627"/>
      <c r="RI67" s="627"/>
      <c r="RK67" s="627"/>
      <c r="RM67" s="627"/>
      <c r="RO67" s="627"/>
      <c r="RQ67" s="627"/>
      <c r="RS67" s="627"/>
      <c r="RU67" s="627"/>
      <c r="RW67" s="627"/>
      <c r="RY67" s="627"/>
      <c r="SA67" s="627"/>
      <c r="SC67" s="627"/>
      <c r="SE67" s="627"/>
      <c r="SG67" s="627"/>
      <c r="SI67" s="627"/>
      <c r="SK67" s="627"/>
      <c r="SM67" s="627"/>
      <c r="SO67" s="627"/>
      <c r="SQ67" s="627"/>
      <c r="SS67" s="627"/>
      <c r="SU67" s="627"/>
      <c r="SW67" s="627"/>
      <c r="SY67" s="627"/>
      <c r="TA67" s="627"/>
      <c r="TC67" s="627"/>
      <c r="TE67" s="627"/>
      <c r="TG67" s="627"/>
      <c r="TI67" s="627"/>
      <c r="TK67" s="627"/>
      <c r="TM67" s="627"/>
      <c r="TO67" s="627"/>
      <c r="TQ67" s="627"/>
      <c r="TS67" s="627"/>
      <c r="TU67" s="627"/>
      <c r="TW67" s="627"/>
      <c r="TY67" s="627"/>
      <c r="UA67" s="627"/>
      <c r="UC67" s="627"/>
      <c r="UE67" s="627"/>
      <c r="UG67" s="627"/>
      <c r="UI67" s="627"/>
      <c r="UK67" s="627"/>
      <c r="UM67" s="627"/>
      <c r="UO67" s="627"/>
      <c r="UQ67" s="627"/>
      <c r="US67" s="627"/>
      <c r="UU67" s="627"/>
      <c r="UW67" s="627"/>
      <c r="UY67" s="627"/>
      <c r="VA67" s="627"/>
      <c r="VC67" s="627"/>
      <c r="VE67" s="627"/>
      <c r="VG67" s="627"/>
      <c r="VI67" s="627"/>
      <c r="VK67" s="627"/>
      <c r="VM67" s="627"/>
      <c r="VO67" s="627"/>
      <c r="VQ67" s="627"/>
      <c r="VS67" s="627"/>
      <c r="VU67" s="627"/>
      <c r="VW67" s="627"/>
      <c r="VY67" s="627"/>
      <c r="WA67" s="627"/>
      <c r="WC67" s="627"/>
      <c r="WE67" s="627"/>
      <c r="WG67" s="627"/>
      <c r="WI67" s="627"/>
      <c r="WK67" s="627"/>
      <c r="WM67" s="627"/>
      <c r="WO67" s="627"/>
      <c r="WQ67" s="627"/>
      <c r="WS67" s="627"/>
      <c r="WU67" s="627"/>
      <c r="WW67" s="627"/>
      <c r="WY67" s="627"/>
      <c r="XA67" s="627"/>
      <c r="XC67" s="627"/>
      <c r="XE67" s="627"/>
      <c r="XG67" s="627"/>
      <c r="XI67" s="627"/>
      <c r="XK67" s="627"/>
      <c r="XM67" s="627"/>
      <c r="XO67" s="627"/>
      <c r="XQ67" s="627"/>
      <c r="XS67" s="627"/>
      <c r="XU67" s="627"/>
      <c r="XW67" s="627"/>
      <c r="XY67" s="627"/>
      <c r="YA67" s="627"/>
      <c r="YC67" s="627"/>
      <c r="YE67" s="627"/>
      <c r="YG67" s="627"/>
      <c r="YI67" s="627"/>
      <c r="YK67" s="627"/>
      <c r="YM67" s="627"/>
      <c r="YO67" s="627"/>
      <c r="YQ67" s="627"/>
      <c r="YS67" s="627"/>
      <c r="YU67" s="627"/>
      <c r="YW67" s="627"/>
      <c r="YY67" s="627"/>
      <c r="ZA67" s="627"/>
      <c r="ZC67" s="627"/>
      <c r="ZE67" s="627"/>
      <c r="ZG67" s="627"/>
      <c r="ZI67" s="627"/>
      <c r="ZK67" s="627"/>
      <c r="ZM67" s="627"/>
      <c r="ZO67" s="627"/>
      <c r="ZQ67" s="627"/>
      <c r="ZS67" s="627"/>
      <c r="ZU67" s="627"/>
      <c r="ZW67" s="627"/>
      <c r="ZY67" s="627"/>
      <c r="AAA67" s="627"/>
      <c r="AAC67" s="627"/>
      <c r="AAE67" s="627"/>
      <c r="AAG67" s="627"/>
      <c r="AAI67" s="627"/>
      <c r="AAK67" s="627"/>
      <c r="AAM67" s="627"/>
      <c r="AAO67" s="627"/>
      <c r="AAQ67" s="627"/>
      <c r="AAS67" s="627"/>
      <c r="AAU67" s="627"/>
      <c r="AAW67" s="627"/>
      <c r="AAY67" s="627"/>
      <c r="ABA67" s="627"/>
      <c r="ABC67" s="627"/>
      <c r="ABE67" s="627"/>
      <c r="ABG67" s="627"/>
      <c r="ABI67" s="627"/>
      <c r="ABK67" s="627"/>
      <c r="ABM67" s="627"/>
      <c r="ABO67" s="627"/>
      <c r="ABQ67" s="627"/>
      <c r="ABS67" s="627"/>
      <c r="ABU67" s="627"/>
      <c r="ABW67" s="627"/>
      <c r="ABY67" s="627"/>
      <c r="ACA67" s="627"/>
      <c r="ACC67" s="627"/>
      <c r="ACE67" s="627"/>
      <c r="ACG67" s="627"/>
      <c r="ACI67" s="627"/>
      <c r="ACK67" s="627"/>
      <c r="ACM67" s="627"/>
      <c r="ACO67" s="627"/>
      <c r="ACQ67" s="627"/>
      <c r="ACS67" s="627"/>
      <c r="ACU67" s="627"/>
      <c r="ACW67" s="627"/>
      <c r="ACY67" s="627"/>
      <c r="ADA67" s="627"/>
      <c r="ADC67" s="627"/>
      <c r="ADE67" s="627"/>
      <c r="ADG67" s="627"/>
      <c r="ADI67" s="627"/>
      <c r="ADK67" s="627"/>
      <c r="ADM67" s="627"/>
      <c r="ADO67" s="627"/>
      <c r="ADQ67" s="627"/>
      <c r="ADS67" s="627"/>
      <c r="ADU67" s="627"/>
      <c r="ADW67" s="627"/>
      <c r="ADY67" s="627"/>
      <c r="AEA67" s="627"/>
      <c r="AEC67" s="627"/>
      <c r="AEE67" s="627"/>
      <c r="AEG67" s="627"/>
      <c r="AEI67" s="627"/>
      <c r="AEK67" s="627"/>
      <c r="AEM67" s="627"/>
      <c r="AEO67" s="627"/>
      <c r="AEQ67" s="627"/>
      <c r="AES67" s="627"/>
      <c r="AEU67" s="627"/>
      <c r="AEW67" s="627"/>
      <c r="AEY67" s="627"/>
      <c r="AFA67" s="627"/>
      <c r="AFC67" s="627"/>
      <c r="AFE67" s="627"/>
      <c r="AFG67" s="627"/>
      <c r="AFI67" s="627"/>
      <c r="AFK67" s="627"/>
      <c r="AFM67" s="627"/>
      <c r="AFO67" s="627"/>
      <c r="AFQ67" s="627"/>
      <c r="AFS67" s="627"/>
      <c r="AFU67" s="627"/>
      <c r="AFW67" s="627"/>
      <c r="AFY67" s="627"/>
      <c r="AGA67" s="627"/>
      <c r="AGC67" s="627"/>
      <c r="AGE67" s="627"/>
      <c r="AGG67" s="627"/>
      <c r="AGI67" s="627"/>
      <c r="AGK67" s="627"/>
      <c r="AGM67" s="627"/>
      <c r="AGO67" s="627"/>
      <c r="AGQ67" s="627"/>
      <c r="AGS67" s="627"/>
      <c r="AGU67" s="627"/>
      <c r="AGW67" s="627"/>
      <c r="AGY67" s="627"/>
      <c r="AHA67" s="627"/>
      <c r="AHC67" s="627"/>
      <c r="AHE67" s="627"/>
      <c r="AHG67" s="627"/>
      <c r="AHI67" s="627"/>
      <c r="AHK67" s="627"/>
      <c r="AHM67" s="627"/>
      <c r="AHO67" s="627"/>
      <c r="AHQ67" s="627"/>
      <c r="AHS67" s="627"/>
      <c r="AHU67" s="627"/>
      <c r="AHW67" s="627"/>
      <c r="AHY67" s="627"/>
      <c r="AIA67" s="627"/>
      <c r="AIC67" s="627"/>
      <c r="AIE67" s="627"/>
      <c r="AIG67" s="627"/>
      <c r="AII67" s="627"/>
      <c r="AIK67" s="627"/>
      <c r="AIM67" s="627"/>
      <c r="AIO67" s="627"/>
      <c r="AIQ67" s="627"/>
      <c r="AIS67" s="627"/>
      <c r="AIU67" s="627"/>
      <c r="AIW67" s="627"/>
      <c r="AIY67" s="627"/>
      <c r="AJA67" s="627"/>
      <c r="AJC67" s="627"/>
      <c r="AJE67" s="627"/>
      <c r="AJG67" s="627"/>
      <c r="AJI67" s="627"/>
      <c r="AJK67" s="627"/>
      <c r="AJM67" s="627"/>
      <c r="AJO67" s="627"/>
      <c r="AJQ67" s="627"/>
      <c r="AJS67" s="627"/>
      <c r="AJU67" s="627"/>
      <c r="AJW67" s="627"/>
      <c r="AJY67" s="627"/>
      <c r="AKA67" s="627"/>
      <c r="AKC67" s="627"/>
      <c r="AKE67" s="627"/>
      <c r="AKG67" s="627"/>
      <c r="AKI67" s="627"/>
      <c r="AKK67" s="627"/>
      <c r="AKM67" s="627"/>
      <c r="AKO67" s="627"/>
      <c r="AKQ67" s="627"/>
      <c r="AKS67" s="627"/>
      <c r="AKU67" s="627"/>
      <c r="AKW67" s="627"/>
      <c r="AKY67" s="627"/>
      <c r="ALA67" s="627"/>
      <c r="ALC67" s="627"/>
      <c r="ALE67" s="627"/>
      <c r="ALG67" s="627"/>
      <c r="ALI67" s="627"/>
      <c r="ALK67" s="627"/>
      <c r="ALM67" s="627"/>
      <c r="ALO67" s="627"/>
      <c r="ALQ67" s="627"/>
      <c r="ALS67" s="627"/>
      <c r="ALU67" s="627"/>
      <c r="ALW67" s="627"/>
      <c r="ALY67" s="627"/>
      <c r="AMA67" s="627"/>
      <c r="AMC67" s="627"/>
      <c r="AME67" s="627"/>
      <c r="AMG67" s="627"/>
      <c r="AMI67" s="627"/>
      <c r="AMK67" s="627"/>
      <c r="AMM67" s="627"/>
      <c r="AMO67" s="627"/>
      <c r="AMQ67" s="627"/>
      <c r="AMS67" s="627"/>
      <c r="AMU67" s="627"/>
      <c r="AMW67" s="627"/>
      <c r="AMY67" s="627"/>
      <c r="ANA67" s="627"/>
      <c r="ANC67" s="627"/>
      <c r="ANE67" s="627"/>
      <c r="ANG67" s="627"/>
      <c r="ANI67" s="627"/>
      <c r="ANK67" s="627"/>
      <c r="ANM67" s="627"/>
      <c r="ANO67" s="627"/>
      <c r="ANQ67" s="627"/>
      <c r="ANS67" s="627"/>
      <c r="ANU67" s="627"/>
      <c r="ANW67" s="627"/>
      <c r="ANY67" s="627"/>
      <c r="AOA67" s="627"/>
      <c r="AOC67" s="627"/>
      <c r="AOE67" s="627"/>
      <c r="AOG67" s="627"/>
      <c r="AOI67" s="627"/>
      <c r="AOK67" s="627"/>
      <c r="AOM67" s="627"/>
      <c r="AOO67" s="627"/>
      <c r="AOQ67" s="627"/>
      <c r="AOS67" s="627"/>
      <c r="AOU67" s="627"/>
      <c r="AOW67" s="627"/>
      <c r="AOY67" s="627"/>
      <c r="APA67" s="627"/>
      <c r="APC67" s="627"/>
      <c r="APE67" s="627"/>
      <c r="APG67" s="627"/>
      <c r="API67" s="627"/>
      <c r="APK67" s="627"/>
      <c r="APM67" s="627"/>
      <c r="APO67" s="627"/>
      <c r="APQ67" s="627"/>
      <c r="APS67" s="627"/>
      <c r="APU67" s="627"/>
      <c r="APW67" s="627"/>
      <c r="APY67" s="627"/>
      <c r="AQA67" s="627"/>
      <c r="AQC67" s="627"/>
      <c r="AQE67" s="627"/>
      <c r="AQG67" s="627"/>
      <c r="AQI67" s="627"/>
      <c r="AQK67" s="627"/>
      <c r="AQM67" s="627"/>
      <c r="AQO67" s="627"/>
      <c r="AQQ67" s="627"/>
      <c r="AQS67" s="627"/>
      <c r="AQU67" s="627"/>
      <c r="AQW67" s="627"/>
      <c r="AQY67" s="627"/>
      <c r="ARA67" s="627"/>
      <c r="ARC67" s="627"/>
      <c r="ARE67" s="627"/>
      <c r="ARG67" s="627"/>
      <c r="ARI67" s="627"/>
      <c r="ARK67" s="627"/>
      <c r="ARM67" s="627"/>
      <c r="ARO67" s="627"/>
      <c r="ARQ67" s="627"/>
      <c r="ARS67" s="627"/>
      <c r="ARU67" s="627"/>
      <c r="ARW67" s="627"/>
      <c r="ARY67" s="627"/>
      <c r="ASA67" s="627"/>
      <c r="ASC67" s="627"/>
      <c r="ASE67" s="627"/>
      <c r="ASG67" s="627"/>
      <c r="ASI67" s="627"/>
      <c r="ASK67" s="627"/>
      <c r="ASM67" s="627"/>
      <c r="ASO67" s="627"/>
      <c r="ASQ67" s="627"/>
      <c r="ASS67" s="627"/>
      <c r="ASU67" s="627"/>
      <c r="ASW67" s="627"/>
      <c r="ASY67" s="627"/>
      <c r="ATA67" s="627"/>
      <c r="ATC67" s="627"/>
      <c r="ATE67" s="627"/>
      <c r="ATG67" s="627"/>
      <c r="ATI67" s="627"/>
      <c r="ATK67" s="627"/>
      <c r="ATM67" s="627"/>
      <c r="ATO67" s="627"/>
      <c r="ATQ67" s="627"/>
      <c r="ATS67" s="627"/>
      <c r="ATU67" s="627"/>
      <c r="ATW67" s="627"/>
      <c r="ATY67" s="627"/>
      <c r="AUA67" s="627"/>
      <c r="AUC67" s="627"/>
      <c r="AUE67" s="627"/>
      <c r="AUG67" s="627"/>
      <c r="AUI67" s="627"/>
      <c r="AUK67" s="627"/>
      <c r="AUM67" s="627"/>
      <c r="AUO67" s="627"/>
      <c r="AUQ67" s="627"/>
      <c r="AUS67" s="627"/>
      <c r="AUU67" s="627"/>
      <c r="AUW67" s="627"/>
      <c r="AUY67" s="627"/>
      <c r="AVA67" s="627"/>
      <c r="AVC67" s="627"/>
      <c r="AVE67" s="627"/>
      <c r="AVG67" s="627"/>
      <c r="AVI67" s="627"/>
      <c r="AVK67" s="627"/>
      <c r="AVM67" s="627"/>
      <c r="AVO67" s="627"/>
      <c r="AVQ67" s="627"/>
      <c r="AVS67" s="627"/>
      <c r="AVU67" s="627"/>
      <c r="AVW67" s="627"/>
      <c r="AVY67" s="627"/>
      <c r="AWA67" s="627"/>
      <c r="AWC67" s="627"/>
      <c r="AWE67" s="627"/>
      <c r="AWG67" s="627"/>
      <c r="AWI67" s="627"/>
      <c r="AWK67" s="627"/>
      <c r="AWM67" s="627"/>
      <c r="AWO67" s="627"/>
      <c r="AWQ67" s="627"/>
      <c r="AWS67" s="627"/>
      <c r="AWU67" s="627"/>
      <c r="AWW67" s="627"/>
      <c r="AWY67" s="627"/>
      <c r="AXA67" s="627"/>
      <c r="AXC67" s="627"/>
      <c r="AXE67" s="627"/>
      <c r="AXG67" s="627"/>
      <c r="AXI67" s="627"/>
      <c r="AXK67" s="627"/>
      <c r="AXM67" s="627"/>
      <c r="AXO67" s="627"/>
      <c r="AXQ67" s="627"/>
      <c r="AXS67" s="627"/>
      <c r="AXU67" s="627"/>
      <c r="AXW67" s="627"/>
      <c r="AXY67" s="627"/>
      <c r="AYA67" s="627"/>
      <c r="AYC67" s="627"/>
      <c r="AYE67" s="627"/>
      <c r="AYG67" s="627"/>
      <c r="AYI67" s="627"/>
      <c r="AYK67" s="627"/>
      <c r="AYM67" s="627"/>
      <c r="AYO67" s="627"/>
      <c r="AYQ67" s="627"/>
      <c r="AYS67" s="627"/>
      <c r="AYU67" s="627"/>
      <c r="AYW67" s="627"/>
      <c r="AYY67" s="627"/>
      <c r="AZA67" s="627"/>
      <c r="AZC67" s="627"/>
      <c r="AZE67" s="627"/>
      <c r="AZG67" s="627"/>
      <c r="AZI67" s="627"/>
      <c r="AZK67" s="627"/>
      <c r="AZM67" s="627"/>
      <c r="AZO67" s="627"/>
      <c r="AZQ67" s="627"/>
      <c r="AZS67" s="627"/>
      <c r="AZU67" s="627"/>
      <c r="AZW67" s="627"/>
      <c r="AZY67" s="627"/>
      <c r="BAA67" s="627"/>
      <c r="BAC67" s="627"/>
      <c r="BAE67" s="627"/>
      <c r="BAG67" s="627"/>
      <c r="BAI67" s="627"/>
      <c r="BAK67" s="627"/>
      <c r="BAM67" s="627"/>
      <c r="BAO67" s="627"/>
      <c r="BAQ67" s="627"/>
      <c r="BAS67" s="627"/>
      <c r="BAU67" s="627"/>
      <c r="BAW67" s="627"/>
      <c r="BAY67" s="627"/>
      <c r="BBA67" s="627"/>
      <c r="BBC67" s="627"/>
      <c r="BBE67" s="627"/>
      <c r="BBG67" s="627"/>
      <c r="BBI67" s="627"/>
      <c r="BBK67" s="627"/>
      <c r="BBM67" s="627"/>
      <c r="BBO67" s="627"/>
      <c r="BBQ67" s="627"/>
      <c r="BBS67" s="627"/>
      <c r="BBU67" s="627"/>
      <c r="BBW67" s="627"/>
      <c r="BBY67" s="627"/>
      <c r="BCA67" s="627"/>
      <c r="BCC67" s="627"/>
      <c r="BCE67" s="627"/>
      <c r="BCG67" s="627"/>
      <c r="BCI67" s="627"/>
      <c r="BCK67" s="627"/>
      <c r="BCM67" s="627"/>
      <c r="BCO67" s="627"/>
      <c r="BCQ67" s="627"/>
      <c r="BCS67" s="627"/>
      <c r="BCU67" s="627"/>
      <c r="BCW67" s="627"/>
      <c r="BCY67" s="627"/>
      <c r="BDA67" s="627"/>
      <c r="BDC67" s="627"/>
      <c r="BDE67" s="627"/>
      <c r="BDG67" s="627"/>
      <c r="BDI67" s="627"/>
      <c r="BDK67" s="627"/>
      <c r="BDM67" s="627"/>
      <c r="BDO67" s="627"/>
      <c r="BDQ67" s="627"/>
      <c r="BDS67" s="627"/>
      <c r="BDU67" s="627"/>
      <c r="BDW67" s="627"/>
      <c r="BDY67" s="627"/>
      <c r="BEA67" s="627"/>
      <c r="BEC67" s="627"/>
      <c r="BEE67" s="627"/>
      <c r="BEG67" s="627"/>
      <c r="BEI67" s="627"/>
      <c r="BEK67" s="627"/>
      <c r="BEM67" s="627"/>
      <c r="BEO67" s="627"/>
      <c r="BEQ67" s="627"/>
      <c r="BES67" s="627"/>
      <c r="BEU67" s="627"/>
      <c r="BEW67" s="627"/>
      <c r="BEY67" s="627"/>
      <c r="BFA67" s="627"/>
      <c r="BFC67" s="627"/>
      <c r="BFE67" s="627"/>
      <c r="BFG67" s="627"/>
      <c r="BFI67" s="627"/>
      <c r="BFK67" s="627"/>
      <c r="BFM67" s="627"/>
      <c r="BFO67" s="627"/>
      <c r="BFQ67" s="627"/>
      <c r="BFS67" s="627"/>
      <c r="BFU67" s="627"/>
      <c r="BFW67" s="627"/>
      <c r="BFY67" s="627"/>
      <c r="BGA67" s="627"/>
      <c r="BGC67" s="627"/>
      <c r="BGE67" s="627"/>
      <c r="BGG67" s="627"/>
      <c r="BGI67" s="627"/>
      <c r="BGK67" s="627"/>
      <c r="BGM67" s="627"/>
      <c r="BGO67" s="627"/>
      <c r="BGQ67" s="627"/>
      <c r="BGS67" s="627"/>
      <c r="BGU67" s="627"/>
      <c r="BGW67" s="627"/>
      <c r="BGY67" s="627"/>
      <c r="BHA67" s="627"/>
      <c r="BHC67" s="627"/>
      <c r="BHE67" s="627"/>
      <c r="BHG67" s="627"/>
      <c r="BHI67" s="627"/>
      <c r="BHK67" s="627"/>
      <c r="BHM67" s="627"/>
      <c r="BHO67" s="627"/>
      <c r="BHQ67" s="627"/>
      <c r="BHS67" s="627"/>
      <c r="BHU67" s="627"/>
      <c r="BHW67" s="627"/>
      <c r="BHY67" s="627"/>
      <c r="BIA67" s="627"/>
      <c r="BIC67" s="627"/>
      <c r="BIE67" s="627"/>
      <c r="BIG67" s="627"/>
      <c r="BII67" s="627"/>
      <c r="BIK67" s="627"/>
      <c r="BIM67" s="627"/>
      <c r="BIO67" s="627"/>
      <c r="BIQ67" s="627"/>
      <c r="BIS67" s="627"/>
      <c r="BIU67" s="627"/>
      <c r="BIW67" s="627"/>
      <c r="BIY67" s="627"/>
      <c r="BJA67" s="627"/>
      <c r="BJC67" s="627"/>
      <c r="BJE67" s="627"/>
      <c r="BJG67" s="627"/>
      <c r="BJI67" s="627"/>
      <c r="BJK67" s="627"/>
      <c r="BJM67" s="627"/>
      <c r="BJO67" s="627"/>
      <c r="BJQ67" s="627"/>
      <c r="BJS67" s="627"/>
      <c r="BJU67" s="627"/>
      <c r="BJW67" s="627"/>
      <c r="BJY67" s="627"/>
      <c r="BKA67" s="627"/>
      <c r="BKC67" s="627"/>
      <c r="BKE67" s="627"/>
      <c r="BKG67" s="627"/>
      <c r="BKI67" s="627"/>
      <c r="BKK67" s="627"/>
      <c r="BKM67" s="627"/>
      <c r="BKO67" s="627"/>
      <c r="BKQ67" s="627"/>
      <c r="BKS67" s="627"/>
      <c r="BKU67" s="627"/>
      <c r="BKW67" s="627"/>
      <c r="BKY67" s="627"/>
      <c r="BLA67" s="627"/>
      <c r="BLC67" s="627"/>
      <c r="BLE67" s="627"/>
      <c r="BLG67" s="627"/>
      <c r="BLI67" s="627"/>
      <c r="BLK67" s="627"/>
      <c r="BLM67" s="627"/>
      <c r="BLO67" s="627"/>
      <c r="BLQ67" s="627"/>
      <c r="BLS67" s="627"/>
      <c r="BLU67" s="627"/>
      <c r="BLW67" s="627"/>
      <c r="BLY67" s="627"/>
      <c r="BMA67" s="627"/>
      <c r="BMC67" s="627"/>
      <c r="BME67" s="627"/>
      <c r="BMG67" s="627"/>
      <c r="BMI67" s="627"/>
      <c r="BMK67" s="627"/>
      <c r="BMM67" s="627"/>
      <c r="BMO67" s="627"/>
      <c r="BMQ67" s="627"/>
      <c r="BMS67" s="627"/>
      <c r="BMU67" s="627"/>
      <c r="BMW67" s="627"/>
      <c r="BMY67" s="627"/>
      <c r="BNA67" s="627"/>
      <c r="BNC67" s="627"/>
      <c r="BNE67" s="627"/>
      <c r="BNG67" s="627"/>
      <c r="BNI67" s="627"/>
      <c r="BNK67" s="627"/>
      <c r="BNM67" s="627"/>
      <c r="BNO67" s="627"/>
      <c r="BNQ67" s="627"/>
      <c r="BNS67" s="627"/>
      <c r="BNU67" s="627"/>
      <c r="BNW67" s="627"/>
      <c r="BNY67" s="627"/>
      <c r="BOA67" s="627"/>
      <c r="BOC67" s="627"/>
      <c r="BOE67" s="627"/>
      <c r="BOG67" s="627"/>
      <c r="BOI67" s="627"/>
      <c r="BOK67" s="627"/>
      <c r="BOM67" s="627"/>
      <c r="BOO67" s="627"/>
      <c r="BOQ67" s="627"/>
      <c r="BOS67" s="627"/>
      <c r="BOU67" s="627"/>
      <c r="BOW67" s="627"/>
      <c r="BOY67" s="627"/>
      <c r="BPA67" s="627"/>
      <c r="BPC67" s="627"/>
      <c r="BPE67" s="627"/>
      <c r="BPG67" s="627"/>
      <c r="BPI67" s="627"/>
      <c r="BPK67" s="627"/>
      <c r="BPM67" s="627"/>
      <c r="BPO67" s="627"/>
      <c r="BPQ67" s="627"/>
      <c r="BPS67" s="627"/>
      <c r="BPU67" s="627"/>
      <c r="BPW67" s="627"/>
      <c r="BPY67" s="627"/>
      <c r="BQA67" s="627"/>
      <c r="BQC67" s="627"/>
      <c r="BQE67" s="627"/>
      <c r="BQG67" s="627"/>
      <c r="BQI67" s="627"/>
      <c r="BQK67" s="627"/>
      <c r="BQM67" s="627"/>
      <c r="BQO67" s="627"/>
      <c r="BQQ67" s="627"/>
      <c r="BQS67" s="627"/>
      <c r="BQU67" s="627"/>
      <c r="BQW67" s="627"/>
      <c r="BQY67" s="627"/>
      <c r="BRA67" s="627"/>
      <c r="BRC67" s="627"/>
      <c r="BRE67" s="627"/>
      <c r="BRG67" s="627"/>
      <c r="BRI67" s="627"/>
      <c r="BRK67" s="627"/>
      <c r="BRM67" s="627"/>
      <c r="BRO67" s="627"/>
      <c r="BRQ67" s="627"/>
      <c r="BRS67" s="627"/>
      <c r="BRU67" s="627"/>
      <c r="BRW67" s="627"/>
      <c r="BRY67" s="627"/>
      <c r="BSA67" s="627"/>
      <c r="BSC67" s="627"/>
      <c r="BSE67" s="627"/>
      <c r="BSG67" s="627"/>
      <c r="BSI67" s="627"/>
      <c r="BSK67" s="627"/>
      <c r="BSM67" s="627"/>
      <c r="BSO67" s="627"/>
      <c r="BSQ67" s="627"/>
      <c r="BSS67" s="627"/>
      <c r="BSU67" s="627"/>
      <c r="BSW67" s="627"/>
      <c r="BSY67" s="627"/>
      <c r="BTA67" s="627"/>
      <c r="BTC67" s="627"/>
      <c r="BTE67" s="627"/>
      <c r="BTG67" s="627"/>
      <c r="BTI67" s="627"/>
      <c r="BTK67" s="627"/>
      <c r="BTM67" s="627"/>
      <c r="BTO67" s="627"/>
      <c r="BTQ67" s="627"/>
      <c r="BTS67" s="627"/>
      <c r="BTU67" s="627"/>
      <c r="BTW67" s="627"/>
      <c r="BTY67" s="627"/>
      <c r="BUA67" s="627"/>
      <c r="BUC67" s="627"/>
      <c r="BUE67" s="627"/>
      <c r="BUG67" s="627"/>
      <c r="BUI67" s="627"/>
      <c r="BUK67" s="627"/>
      <c r="BUM67" s="627"/>
      <c r="BUO67" s="627"/>
      <c r="BUQ67" s="627"/>
      <c r="BUS67" s="627"/>
      <c r="BUU67" s="627"/>
      <c r="BUW67" s="627"/>
      <c r="BUY67" s="627"/>
      <c r="BVA67" s="627"/>
      <c r="BVC67" s="627"/>
      <c r="BVE67" s="627"/>
      <c r="BVG67" s="627"/>
      <c r="BVI67" s="627"/>
      <c r="BVK67" s="627"/>
      <c r="BVM67" s="627"/>
      <c r="BVO67" s="627"/>
      <c r="BVQ67" s="627"/>
      <c r="BVS67" s="627"/>
      <c r="BVU67" s="627"/>
      <c r="BVW67" s="627"/>
      <c r="BVY67" s="627"/>
      <c r="BWA67" s="627"/>
      <c r="BWC67" s="627"/>
      <c r="BWE67" s="627"/>
      <c r="BWG67" s="627"/>
      <c r="BWI67" s="627"/>
      <c r="BWK67" s="627"/>
      <c r="BWM67" s="627"/>
      <c r="BWO67" s="627"/>
      <c r="BWQ67" s="627"/>
      <c r="BWS67" s="627"/>
      <c r="BWU67" s="627"/>
      <c r="BWW67" s="627"/>
      <c r="BWY67" s="627"/>
      <c r="BXA67" s="627"/>
      <c r="BXC67" s="627"/>
      <c r="BXE67" s="627"/>
      <c r="BXG67" s="627"/>
      <c r="BXI67" s="627"/>
      <c r="BXK67" s="627"/>
      <c r="BXM67" s="627"/>
      <c r="BXO67" s="627"/>
      <c r="BXQ67" s="627"/>
      <c r="BXS67" s="627"/>
      <c r="BXU67" s="627"/>
      <c r="BXW67" s="627"/>
      <c r="BXY67" s="627"/>
      <c r="BYA67" s="627"/>
      <c r="BYC67" s="627"/>
      <c r="BYE67" s="627"/>
      <c r="BYG67" s="627"/>
      <c r="BYI67" s="627"/>
      <c r="BYK67" s="627"/>
      <c r="BYM67" s="627"/>
      <c r="BYO67" s="627"/>
      <c r="BYQ67" s="627"/>
      <c r="BYS67" s="627"/>
      <c r="BYU67" s="627"/>
      <c r="BYW67" s="627"/>
      <c r="BYY67" s="627"/>
      <c r="BZA67" s="627"/>
      <c r="BZC67" s="627"/>
      <c r="BZE67" s="627"/>
      <c r="BZG67" s="627"/>
      <c r="BZI67" s="627"/>
      <c r="BZK67" s="627"/>
      <c r="BZM67" s="627"/>
      <c r="BZO67" s="627"/>
      <c r="BZQ67" s="627"/>
      <c r="BZS67" s="627"/>
      <c r="BZU67" s="627"/>
      <c r="BZW67" s="627"/>
      <c r="BZY67" s="627"/>
      <c r="CAA67" s="627"/>
      <c r="CAC67" s="627"/>
      <c r="CAE67" s="627"/>
      <c r="CAG67" s="627"/>
      <c r="CAI67" s="627"/>
      <c r="CAK67" s="627"/>
      <c r="CAM67" s="627"/>
      <c r="CAO67" s="627"/>
      <c r="CAQ67" s="627"/>
      <c r="CAS67" s="627"/>
      <c r="CAU67" s="627"/>
      <c r="CAW67" s="627"/>
      <c r="CAY67" s="627"/>
      <c r="CBA67" s="627"/>
      <c r="CBC67" s="627"/>
      <c r="CBE67" s="627"/>
      <c r="CBG67" s="627"/>
      <c r="CBI67" s="627"/>
      <c r="CBK67" s="627"/>
      <c r="CBM67" s="627"/>
      <c r="CBO67" s="627"/>
      <c r="CBQ67" s="627"/>
      <c r="CBS67" s="627"/>
      <c r="CBU67" s="627"/>
      <c r="CBW67" s="627"/>
      <c r="CBY67" s="627"/>
      <c r="CCA67" s="627"/>
      <c r="CCC67" s="627"/>
      <c r="CCE67" s="627"/>
      <c r="CCG67" s="627"/>
      <c r="CCI67" s="627"/>
      <c r="CCK67" s="627"/>
      <c r="CCM67" s="627"/>
      <c r="CCO67" s="627"/>
      <c r="CCQ67" s="627"/>
      <c r="CCS67" s="627"/>
      <c r="CCU67" s="627"/>
      <c r="CCW67" s="627"/>
      <c r="CCY67" s="627"/>
      <c r="CDA67" s="627"/>
      <c r="CDC67" s="627"/>
      <c r="CDE67" s="627"/>
      <c r="CDG67" s="627"/>
      <c r="CDI67" s="627"/>
      <c r="CDK67" s="627"/>
      <c r="CDM67" s="627"/>
      <c r="CDO67" s="627"/>
      <c r="CDQ67" s="627"/>
      <c r="CDS67" s="627"/>
      <c r="CDU67" s="627"/>
      <c r="CDW67" s="627"/>
      <c r="CDY67" s="627"/>
      <c r="CEA67" s="627"/>
      <c r="CEC67" s="627"/>
      <c r="CEE67" s="627"/>
      <c r="CEG67" s="627"/>
      <c r="CEI67" s="627"/>
      <c r="CEK67" s="627"/>
      <c r="CEM67" s="627"/>
      <c r="CEO67" s="627"/>
      <c r="CEQ67" s="627"/>
      <c r="CES67" s="627"/>
      <c r="CEU67" s="627"/>
      <c r="CEW67" s="627"/>
      <c r="CEY67" s="627"/>
      <c r="CFA67" s="627"/>
      <c r="CFC67" s="627"/>
      <c r="CFE67" s="627"/>
      <c r="CFG67" s="627"/>
      <c r="CFI67" s="627"/>
      <c r="CFK67" s="627"/>
      <c r="CFM67" s="627"/>
      <c r="CFO67" s="627"/>
      <c r="CFQ67" s="627"/>
      <c r="CFS67" s="627"/>
      <c r="CFU67" s="627"/>
      <c r="CFW67" s="627"/>
      <c r="CFY67" s="627"/>
      <c r="CGA67" s="627"/>
      <c r="CGC67" s="627"/>
      <c r="CGE67" s="627"/>
      <c r="CGG67" s="627"/>
      <c r="CGI67" s="627"/>
      <c r="CGK67" s="627"/>
      <c r="CGM67" s="627"/>
      <c r="CGO67" s="627"/>
      <c r="CGQ67" s="627"/>
      <c r="CGS67" s="627"/>
      <c r="CGU67" s="627"/>
      <c r="CGW67" s="627"/>
      <c r="CGY67" s="627"/>
      <c r="CHA67" s="627"/>
      <c r="CHC67" s="627"/>
      <c r="CHE67" s="627"/>
      <c r="CHG67" s="627"/>
      <c r="CHI67" s="627"/>
      <c r="CHK67" s="627"/>
      <c r="CHM67" s="627"/>
      <c r="CHO67" s="627"/>
      <c r="CHQ67" s="627"/>
      <c r="CHS67" s="627"/>
      <c r="CHU67" s="627"/>
      <c r="CHW67" s="627"/>
      <c r="CHY67" s="627"/>
      <c r="CIA67" s="627"/>
      <c r="CIC67" s="627"/>
      <c r="CIE67" s="627"/>
      <c r="CIG67" s="627"/>
      <c r="CII67" s="627"/>
      <c r="CIK67" s="627"/>
      <c r="CIM67" s="627"/>
      <c r="CIO67" s="627"/>
      <c r="CIQ67" s="627"/>
      <c r="CIS67" s="627"/>
      <c r="CIU67" s="627"/>
      <c r="CIW67" s="627"/>
      <c r="CIY67" s="627"/>
      <c r="CJA67" s="627"/>
      <c r="CJC67" s="627"/>
      <c r="CJE67" s="627"/>
      <c r="CJG67" s="627"/>
      <c r="CJI67" s="627"/>
      <c r="CJK67" s="627"/>
      <c r="CJM67" s="627"/>
      <c r="CJO67" s="627"/>
      <c r="CJQ67" s="627"/>
      <c r="CJS67" s="627"/>
      <c r="CJU67" s="627"/>
      <c r="CJW67" s="627"/>
      <c r="CJY67" s="627"/>
      <c r="CKA67" s="627"/>
      <c r="CKC67" s="627"/>
      <c r="CKE67" s="627"/>
      <c r="CKG67" s="627"/>
      <c r="CKI67" s="627"/>
      <c r="CKK67" s="627"/>
      <c r="CKM67" s="627"/>
      <c r="CKO67" s="627"/>
      <c r="CKQ67" s="627"/>
      <c r="CKS67" s="627"/>
      <c r="CKU67" s="627"/>
      <c r="CKW67" s="627"/>
      <c r="CKY67" s="627"/>
      <c r="CLA67" s="627"/>
      <c r="CLC67" s="627"/>
      <c r="CLE67" s="627"/>
      <c r="CLG67" s="627"/>
      <c r="CLI67" s="627"/>
      <c r="CLK67" s="627"/>
      <c r="CLM67" s="627"/>
      <c r="CLO67" s="627"/>
      <c r="CLQ67" s="627"/>
      <c r="CLS67" s="627"/>
      <c r="CLU67" s="627"/>
      <c r="CLW67" s="627"/>
      <c r="CLY67" s="627"/>
      <c r="CMA67" s="627"/>
      <c r="CMC67" s="627"/>
      <c r="CME67" s="627"/>
      <c r="CMG67" s="627"/>
      <c r="CMI67" s="627"/>
      <c r="CMK67" s="627"/>
      <c r="CMM67" s="627"/>
      <c r="CMO67" s="627"/>
      <c r="CMQ67" s="627"/>
      <c r="CMS67" s="627"/>
      <c r="CMU67" s="627"/>
      <c r="CMW67" s="627"/>
      <c r="CMY67" s="627"/>
      <c r="CNA67" s="627"/>
      <c r="CNC67" s="627"/>
      <c r="CNE67" s="627"/>
      <c r="CNG67" s="627"/>
      <c r="CNI67" s="627"/>
      <c r="CNK67" s="627"/>
      <c r="CNM67" s="627"/>
      <c r="CNO67" s="627"/>
      <c r="CNQ67" s="627"/>
      <c r="CNS67" s="627"/>
      <c r="CNU67" s="627"/>
      <c r="CNW67" s="627"/>
      <c r="CNY67" s="627"/>
      <c r="COA67" s="627"/>
      <c r="COC67" s="627"/>
      <c r="COE67" s="627"/>
      <c r="COG67" s="627"/>
      <c r="COI67" s="627"/>
      <c r="COK67" s="627"/>
      <c r="COM67" s="627"/>
      <c r="COO67" s="627"/>
      <c r="COQ67" s="627"/>
      <c r="COS67" s="627"/>
      <c r="COU67" s="627"/>
      <c r="COW67" s="627"/>
      <c r="COY67" s="627"/>
      <c r="CPA67" s="627"/>
      <c r="CPC67" s="627"/>
      <c r="CPE67" s="627"/>
      <c r="CPG67" s="627"/>
      <c r="CPI67" s="627"/>
      <c r="CPK67" s="627"/>
      <c r="CPM67" s="627"/>
      <c r="CPO67" s="627"/>
      <c r="CPQ67" s="627"/>
      <c r="CPS67" s="627"/>
      <c r="CPU67" s="627"/>
      <c r="CPW67" s="627"/>
      <c r="CPY67" s="627"/>
      <c r="CQA67" s="627"/>
      <c r="CQC67" s="627"/>
      <c r="CQE67" s="627"/>
      <c r="CQG67" s="627"/>
      <c r="CQI67" s="627"/>
      <c r="CQK67" s="627"/>
      <c r="CQM67" s="627"/>
      <c r="CQO67" s="627"/>
      <c r="CQQ67" s="627"/>
      <c r="CQS67" s="627"/>
      <c r="CQU67" s="627"/>
      <c r="CQW67" s="627"/>
      <c r="CQY67" s="627"/>
      <c r="CRA67" s="627"/>
      <c r="CRC67" s="627"/>
      <c r="CRE67" s="627"/>
      <c r="CRG67" s="627"/>
      <c r="CRI67" s="627"/>
      <c r="CRK67" s="627"/>
      <c r="CRM67" s="627"/>
      <c r="CRO67" s="627"/>
      <c r="CRQ67" s="627"/>
      <c r="CRS67" s="627"/>
      <c r="CRU67" s="627"/>
      <c r="CRW67" s="627"/>
      <c r="CRY67" s="627"/>
      <c r="CSA67" s="627"/>
      <c r="CSC67" s="627"/>
      <c r="CSE67" s="627"/>
      <c r="CSG67" s="627"/>
      <c r="CSI67" s="627"/>
      <c r="CSK67" s="627"/>
      <c r="CSM67" s="627"/>
      <c r="CSO67" s="627"/>
      <c r="CSQ67" s="627"/>
      <c r="CSS67" s="627"/>
      <c r="CSU67" s="627"/>
      <c r="CSW67" s="627"/>
      <c r="CSY67" s="627"/>
      <c r="CTA67" s="627"/>
      <c r="CTC67" s="627"/>
      <c r="CTE67" s="627"/>
      <c r="CTG67" s="627"/>
      <c r="CTI67" s="627"/>
      <c r="CTK67" s="627"/>
      <c r="CTM67" s="627"/>
      <c r="CTO67" s="627"/>
      <c r="CTQ67" s="627"/>
      <c r="CTS67" s="627"/>
      <c r="CTU67" s="627"/>
      <c r="CTW67" s="627"/>
      <c r="CTY67" s="627"/>
      <c r="CUA67" s="627"/>
      <c r="CUC67" s="627"/>
      <c r="CUE67" s="627"/>
      <c r="CUG67" s="627"/>
      <c r="CUI67" s="627"/>
      <c r="CUK67" s="627"/>
      <c r="CUM67" s="627"/>
      <c r="CUO67" s="627"/>
      <c r="CUQ67" s="627"/>
      <c r="CUS67" s="627"/>
      <c r="CUU67" s="627"/>
      <c r="CUW67" s="627"/>
      <c r="CUY67" s="627"/>
      <c r="CVA67" s="627"/>
      <c r="CVC67" s="627"/>
      <c r="CVE67" s="627"/>
      <c r="CVG67" s="627"/>
      <c r="CVI67" s="627"/>
      <c r="CVK67" s="627"/>
      <c r="CVM67" s="627"/>
      <c r="CVO67" s="627"/>
      <c r="CVQ67" s="627"/>
      <c r="CVS67" s="627"/>
      <c r="CVU67" s="627"/>
      <c r="CVW67" s="627"/>
      <c r="CVY67" s="627"/>
      <c r="CWA67" s="627"/>
      <c r="CWC67" s="627"/>
      <c r="CWE67" s="627"/>
      <c r="CWG67" s="627"/>
      <c r="CWI67" s="627"/>
      <c r="CWK67" s="627"/>
      <c r="CWM67" s="627"/>
      <c r="CWO67" s="627"/>
      <c r="CWQ67" s="627"/>
      <c r="CWS67" s="627"/>
      <c r="CWU67" s="627"/>
      <c r="CWW67" s="627"/>
      <c r="CWY67" s="627"/>
      <c r="CXA67" s="627"/>
      <c r="CXC67" s="627"/>
      <c r="CXE67" s="627"/>
      <c r="CXG67" s="627"/>
      <c r="CXI67" s="627"/>
      <c r="CXK67" s="627"/>
      <c r="CXM67" s="627"/>
      <c r="CXO67" s="627"/>
      <c r="CXQ67" s="627"/>
      <c r="CXS67" s="627"/>
      <c r="CXU67" s="627"/>
      <c r="CXW67" s="627"/>
      <c r="CXY67" s="627"/>
      <c r="CYA67" s="627"/>
      <c r="CYC67" s="627"/>
      <c r="CYE67" s="627"/>
      <c r="CYG67" s="627"/>
      <c r="CYI67" s="627"/>
      <c r="CYK67" s="627"/>
      <c r="CYM67" s="627"/>
      <c r="CYO67" s="627"/>
      <c r="CYQ67" s="627"/>
      <c r="CYS67" s="627"/>
      <c r="CYU67" s="627"/>
      <c r="CYW67" s="627"/>
      <c r="CYY67" s="627"/>
      <c r="CZA67" s="627"/>
      <c r="CZC67" s="627"/>
      <c r="CZE67" s="627"/>
      <c r="CZG67" s="627"/>
      <c r="CZI67" s="627"/>
      <c r="CZK67" s="627"/>
      <c r="CZM67" s="627"/>
      <c r="CZO67" s="627"/>
      <c r="CZQ67" s="627"/>
      <c r="CZS67" s="627"/>
      <c r="CZU67" s="627"/>
      <c r="CZW67" s="627"/>
      <c r="CZY67" s="627"/>
      <c r="DAA67" s="627"/>
      <c r="DAC67" s="627"/>
      <c r="DAE67" s="627"/>
      <c r="DAG67" s="627"/>
      <c r="DAI67" s="627"/>
      <c r="DAK67" s="627"/>
      <c r="DAM67" s="627"/>
      <c r="DAO67" s="627"/>
      <c r="DAQ67" s="627"/>
      <c r="DAS67" s="627"/>
      <c r="DAU67" s="627"/>
      <c r="DAW67" s="627"/>
      <c r="DAY67" s="627"/>
      <c r="DBA67" s="627"/>
      <c r="DBC67" s="627"/>
      <c r="DBE67" s="627"/>
      <c r="DBG67" s="627"/>
      <c r="DBI67" s="627"/>
      <c r="DBK67" s="627"/>
      <c r="DBM67" s="627"/>
      <c r="DBO67" s="627"/>
      <c r="DBQ67" s="627"/>
      <c r="DBS67" s="627"/>
      <c r="DBU67" s="627"/>
      <c r="DBW67" s="627"/>
      <c r="DBY67" s="627"/>
      <c r="DCA67" s="627"/>
      <c r="DCC67" s="627"/>
      <c r="DCE67" s="627"/>
      <c r="DCG67" s="627"/>
      <c r="DCI67" s="627"/>
      <c r="DCK67" s="627"/>
      <c r="DCM67" s="627"/>
      <c r="DCO67" s="627"/>
      <c r="DCQ67" s="627"/>
      <c r="DCS67" s="627"/>
      <c r="DCU67" s="627"/>
      <c r="DCW67" s="627"/>
      <c r="DCY67" s="627"/>
      <c r="DDA67" s="627"/>
      <c r="DDC67" s="627"/>
      <c r="DDE67" s="627"/>
      <c r="DDG67" s="627"/>
      <c r="DDI67" s="627"/>
      <c r="DDK67" s="627"/>
      <c r="DDM67" s="627"/>
      <c r="DDO67" s="627"/>
      <c r="DDQ67" s="627"/>
      <c r="DDS67" s="627"/>
      <c r="DDU67" s="627"/>
      <c r="DDW67" s="627"/>
      <c r="DDY67" s="627"/>
      <c r="DEA67" s="627"/>
      <c r="DEC67" s="627"/>
      <c r="DEE67" s="627"/>
      <c r="DEG67" s="627"/>
      <c r="DEI67" s="627"/>
      <c r="DEK67" s="627"/>
      <c r="DEM67" s="627"/>
      <c r="DEO67" s="627"/>
      <c r="DEQ67" s="627"/>
      <c r="DES67" s="627"/>
      <c r="DEU67" s="627"/>
      <c r="DEW67" s="627"/>
      <c r="DEY67" s="627"/>
      <c r="DFA67" s="627"/>
      <c r="DFC67" s="627"/>
      <c r="DFE67" s="627"/>
      <c r="DFG67" s="627"/>
      <c r="DFI67" s="627"/>
      <c r="DFK67" s="627"/>
      <c r="DFM67" s="627"/>
      <c r="DFO67" s="627"/>
      <c r="DFQ67" s="627"/>
      <c r="DFS67" s="627"/>
      <c r="DFU67" s="627"/>
      <c r="DFW67" s="627"/>
      <c r="DFY67" s="627"/>
      <c r="DGA67" s="627"/>
      <c r="DGC67" s="627"/>
      <c r="DGE67" s="627"/>
      <c r="DGG67" s="627"/>
      <c r="DGI67" s="627"/>
      <c r="DGK67" s="627"/>
      <c r="DGM67" s="627"/>
      <c r="DGO67" s="627"/>
      <c r="DGQ67" s="627"/>
      <c r="DGS67" s="627"/>
      <c r="DGU67" s="627"/>
      <c r="DGW67" s="627"/>
      <c r="DGY67" s="627"/>
      <c r="DHA67" s="627"/>
      <c r="DHC67" s="627"/>
      <c r="DHE67" s="627"/>
      <c r="DHG67" s="627"/>
      <c r="DHI67" s="627"/>
      <c r="DHK67" s="627"/>
      <c r="DHM67" s="627"/>
      <c r="DHO67" s="627"/>
      <c r="DHQ67" s="627"/>
      <c r="DHS67" s="627"/>
      <c r="DHU67" s="627"/>
      <c r="DHW67" s="627"/>
      <c r="DHY67" s="627"/>
      <c r="DIA67" s="627"/>
      <c r="DIC67" s="627"/>
      <c r="DIE67" s="627"/>
      <c r="DIG67" s="627"/>
      <c r="DII67" s="627"/>
      <c r="DIK67" s="627"/>
      <c r="DIM67" s="627"/>
      <c r="DIO67" s="627"/>
      <c r="DIQ67" s="627"/>
      <c r="DIS67" s="627"/>
      <c r="DIU67" s="627"/>
      <c r="DIW67" s="627"/>
      <c r="DIY67" s="627"/>
      <c r="DJA67" s="627"/>
      <c r="DJC67" s="627"/>
      <c r="DJE67" s="627"/>
      <c r="DJG67" s="627"/>
      <c r="DJI67" s="627"/>
      <c r="DJK67" s="627"/>
      <c r="DJM67" s="627"/>
      <c r="DJO67" s="627"/>
      <c r="DJQ67" s="627"/>
      <c r="DJS67" s="627"/>
      <c r="DJU67" s="627"/>
      <c r="DJW67" s="627"/>
      <c r="DJY67" s="627"/>
      <c r="DKA67" s="627"/>
      <c r="DKC67" s="627"/>
      <c r="DKE67" s="627"/>
      <c r="DKG67" s="627"/>
      <c r="DKI67" s="627"/>
      <c r="DKK67" s="627"/>
      <c r="DKM67" s="627"/>
      <c r="DKO67" s="627"/>
      <c r="DKQ67" s="627"/>
      <c r="DKS67" s="627"/>
      <c r="DKU67" s="627"/>
      <c r="DKW67" s="627"/>
      <c r="DKY67" s="627"/>
      <c r="DLA67" s="627"/>
      <c r="DLC67" s="627"/>
      <c r="DLE67" s="627"/>
      <c r="DLG67" s="627"/>
      <c r="DLI67" s="627"/>
      <c r="DLK67" s="627"/>
      <c r="DLM67" s="627"/>
      <c r="DLO67" s="627"/>
      <c r="DLQ67" s="627"/>
      <c r="DLS67" s="627"/>
      <c r="DLU67" s="627"/>
      <c r="DLW67" s="627"/>
      <c r="DLY67" s="627"/>
      <c r="DMA67" s="627"/>
      <c r="DMC67" s="627"/>
      <c r="DME67" s="627"/>
      <c r="DMG67" s="627"/>
      <c r="DMI67" s="627"/>
      <c r="DMK67" s="627"/>
      <c r="DMM67" s="627"/>
      <c r="DMO67" s="627"/>
      <c r="DMQ67" s="627"/>
      <c r="DMS67" s="627"/>
      <c r="DMU67" s="627"/>
      <c r="DMW67" s="627"/>
      <c r="DMY67" s="627"/>
      <c r="DNA67" s="627"/>
      <c r="DNC67" s="627"/>
      <c r="DNE67" s="627"/>
      <c r="DNG67" s="627"/>
      <c r="DNI67" s="627"/>
      <c r="DNK67" s="627"/>
      <c r="DNM67" s="627"/>
      <c r="DNO67" s="627"/>
      <c r="DNQ67" s="627"/>
      <c r="DNS67" s="627"/>
      <c r="DNU67" s="627"/>
      <c r="DNW67" s="627"/>
      <c r="DNY67" s="627"/>
      <c r="DOA67" s="627"/>
      <c r="DOC67" s="627"/>
      <c r="DOE67" s="627"/>
      <c r="DOG67" s="627"/>
      <c r="DOI67" s="627"/>
      <c r="DOK67" s="627"/>
      <c r="DOM67" s="627"/>
      <c r="DOO67" s="627"/>
      <c r="DOQ67" s="627"/>
      <c r="DOS67" s="627"/>
      <c r="DOU67" s="627"/>
      <c r="DOW67" s="627"/>
      <c r="DOY67" s="627"/>
      <c r="DPA67" s="627"/>
      <c r="DPC67" s="627"/>
      <c r="DPE67" s="627"/>
      <c r="DPG67" s="627"/>
      <c r="DPI67" s="627"/>
      <c r="DPK67" s="627"/>
      <c r="DPM67" s="627"/>
      <c r="DPO67" s="627"/>
      <c r="DPQ67" s="627"/>
      <c r="DPS67" s="627"/>
      <c r="DPU67" s="627"/>
      <c r="DPW67" s="627"/>
      <c r="DPY67" s="627"/>
      <c r="DQA67" s="627"/>
      <c r="DQC67" s="627"/>
      <c r="DQE67" s="627"/>
      <c r="DQG67" s="627"/>
      <c r="DQI67" s="627"/>
      <c r="DQK67" s="627"/>
      <c r="DQM67" s="627"/>
      <c r="DQO67" s="627"/>
      <c r="DQQ67" s="627"/>
      <c r="DQS67" s="627"/>
      <c r="DQU67" s="627"/>
      <c r="DQW67" s="627"/>
      <c r="DQY67" s="627"/>
      <c r="DRA67" s="627"/>
      <c r="DRC67" s="627"/>
      <c r="DRE67" s="627"/>
      <c r="DRG67" s="627"/>
      <c r="DRI67" s="627"/>
      <c r="DRK67" s="627"/>
      <c r="DRM67" s="627"/>
      <c r="DRO67" s="627"/>
      <c r="DRQ67" s="627"/>
      <c r="DRS67" s="627"/>
      <c r="DRU67" s="627"/>
      <c r="DRW67" s="627"/>
      <c r="DRY67" s="627"/>
      <c r="DSA67" s="627"/>
      <c r="DSC67" s="627"/>
      <c r="DSE67" s="627"/>
      <c r="DSG67" s="627"/>
      <c r="DSI67" s="627"/>
      <c r="DSK67" s="627"/>
      <c r="DSM67" s="627"/>
      <c r="DSO67" s="627"/>
      <c r="DSQ67" s="627"/>
      <c r="DSS67" s="627"/>
      <c r="DSU67" s="627"/>
      <c r="DSW67" s="627"/>
      <c r="DSY67" s="627"/>
      <c r="DTA67" s="627"/>
      <c r="DTC67" s="627"/>
      <c r="DTE67" s="627"/>
      <c r="DTG67" s="627"/>
      <c r="DTI67" s="627"/>
      <c r="DTK67" s="627"/>
      <c r="DTM67" s="627"/>
      <c r="DTO67" s="627"/>
      <c r="DTQ67" s="627"/>
      <c r="DTS67" s="627"/>
      <c r="DTU67" s="627"/>
      <c r="DTW67" s="627"/>
      <c r="DTY67" s="627"/>
      <c r="DUA67" s="627"/>
      <c r="DUC67" s="627"/>
      <c r="DUE67" s="627"/>
      <c r="DUG67" s="627"/>
      <c r="DUI67" s="627"/>
      <c r="DUK67" s="627"/>
      <c r="DUM67" s="627"/>
      <c r="DUO67" s="627"/>
      <c r="DUQ67" s="627"/>
      <c r="DUS67" s="627"/>
      <c r="DUU67" s="627"/>
      <c r="DUW67" s="627"/>
      <c r="DUY67" s="627"/>
      <c r="DVA67" s="627"/>
      <c r="DVC67" s="627"/>
      <c r="DVE67" s="627"/>
      <c r="DVG67" s="627"/>
      <c r="DVI67" s="627"/>
      <c r="DVK67" s="627"/>
      <c r="DVM67" s="627"/>
      <c r="DVO67" s="627"/>
      <c r="DVQ67" s="627"/>
      <c r="DVS67" s="627"/>
      <c r="DVU67" s="627"/>
      <c r="DVW67" s="627"/>
      <c r="DVY67" s="627"/>
      <c r="DWA67" s="627"/>
      <c r="DWC67" s="627"/>
      <c r="DWE67" s="627"/>
      <c r="DWG67" s="627"/>
      <c r="DWI67" s="627"/>
      <c r="DWK67" s="627"/>
      <c r="DWM67" s="627"/>
      <c r="DWO67" s="627"/>
      <c r="DWQ67" s="627"/>
      <c r="DWS67" s="627"/>
      <c r="DWU67" s="627"/>
      <c r="DWW67" s="627"/>
      <c r="DWY67" s="627"/>
      <c r="DXA67" s="627"/>
      <c r="DXC67" s="627"/>
      <c r="DXE67" s="627"/>
      <c r="DXG67" s="627"/>
      <c r="DXI67" s="627"/>
      <c r="DXK67" s="627"/>
      <c r="DXM67" s="627"/>
      <c r="DXO67" s="627"/>
      <c r="DXQ67" s="627"/>
      <c r="DXS67" s="627"/>
      <c r="DXU67" s="627"/>
      <c r="DXW67" s="627"/>
      <c r="DXY67" s="627"/>
      <c r="DYA67" s="627"/>
      <c r="DYC67" s="627"/>
      <c r="DYE67" s="627"/>
      <c r="DYG67" s="627"/>
      <c r="DYI67" s="627"/>
      <c r="DYK67" s="627"/>
      <c r="DYM67" s="627"/>
      <c r="DYO67" s="627"/>
      <c r="DYQ67" s="627"/>
      <c r="DYS67" s="627"/>
      <c r="DYU67" s="627"/>
      <c r="DYW67" s="627"/>
      <c r="DYY67" s="627"/>
      <c r="DZA67" s="627"/>
      <c r="DZC67" s="627"/>
      <c r="DZE67" s="627"/>
      <c r="DZG67" s="627"/>
      <c r="DZI67" s="627"/>
      <c r="DZK67" s="627"/>
      <c r="DZM67" s="627"/>
      <c r="DZO67" s="627"/>
      <c r="DZQ67" s="627"/>
      <c r="DZS67" s="627"/>
      <c r="DZU67" s="627"/>
      <c r="DZW67" s="627"/>
      <c r="DZY67" s="627"/>
      <c r="EAA67" s="627"/>
      <c r="EAC67" s="627"/>
      <c r="EAE67" s="627"/>
      <c r="EAG67" s="627"/>
      <c r="EAI67" s="627"/>
      <c r="EAK67" s="627"/>
      <c r="EAM67" s="627"/>
      <c r="EAO67" s="627"/>
      <c r="EAQ67" s="627"/>
      <c r="EAS67" s="627"/>
      <c r="EAU67" s="627"/>
      <c r="EAW67" s="627"/>
      <c r="EAY67" s="627"/>
      <c r="EBA67" s="627"/>
      <c r="EBC67" s="627"/>
      <c r="EBE67" s="627"/>
      <c r="EBG67" s="627"/>
      <c r="EBI67" s="627"/>
      <c r="EBK67" s="627"/>
      <c r="EBM67" s="627"/>
      <c r="EBO67" s="627"/>
      <c r="EBQ67" s="627"/>
      <c r="EBS67" s="627"/>
      <c r="EBU67" s="627"/>
      <c r="EBW67" s="627"/>
      <c r="EBY67" s="627"/>
      <c r="ECA67" s="627"/>
      <c r="ECC67" s="627"/>
      <c r="ECE67" s="627"/>
      <c r="ECG67" s="627"/>
      <c r="ECI67" s="627"/>
      <c r="ECK67" s="627"/>
      <c r="ECM67" s="627"/>
      <c r="ECO67" s="627"/>
      <c r="ECQ67" s="627"/>
      <c r="ECS67" s="627"/>
      <c r="ECU67" s="627"/>
      <c r="ECW67" s="627"/>
      <c r="ECY67" s="627"/>
      <c r="EDA67" s="627"/>
      <c r="EDC67" s="627"/>
      <c r="EDE67" s="627"/>
      <c r="EDG67" s="627"/>
      <c r="EDI67" s="627"/>
      <c r="EDK67" s="627"/>
      <c r="EDM67" s="627"/>
      <c r="EDO67" s="627"/>
      <c r="EDQ67" s="627"/>
      <c r="EDS67" s="627"/>
      <c r="EDU67" s="627"/>
      <c r="EDW67" s="627"/>
      <c r="EDY67" s="627"/>
      <c r="EEA67" s="627"/>
      <c r="EEC67" s="627"/>
      <c r="EEE67" s="627"/>
      <c r="EEG67" s="627"/>
      <c r="EEI67" s="627"/>
      <c r="EEK67" s="627"/>
      <c r="EEM67" s="627"/>
      <c r="EEO67" s="627"/>
      <c r="EEQ67" s="627"/>
      <c r="EES67" s="627"/>
      <c r="EEU67" s="627"/>
      <c r="EEW67" s="627"/>
      <c r="EEY67" s="627"/>
      <c r="EFA67" s="627"/>
      <c r="EFC67" s="627"/>
      <c r="EFE67" s="627"/>
      <c r="EFG67" s="627"/>
      <c r="EFI67" s="627"/>
      <c r="EFK67" s="627"/>
      <c r="EFM67" s="627"/>
      <c r="EFO67" s="627"/>
      <c r="EFQ67" s="627"/>
      <c r="EFS67" s="627"/>
      <c r="EFU67" s="627"/>
      <c r="EFW67" s="627"/>
      <c r="EFY67" s="627"/>
      <c r="EGA67" s="627"/>
      <c r="EGC67" s="627"/>
      <c r="EGE67" s="627"/>
      <c r="EGG67" s="627"/>
      <c r="EGI67" s="627"/>
      <c r="EGK67" s="627"/>
      <c r="EGM67" s="627"/>
      <c r="EGO67" s="627"/>
      <c r="EGQ67" s="627"/>
      <c r="EGS67" s="627"/>
      <c r="EGU67" s="627"/>
      <c r="EGW67" s="627"/>
      <c r="EGY67" s="627"/>
      <c r="EHA67" s="627"/>
      <c r="EHC67" s="627"/>
      <c r="EHE67" s="627"/>
      <c r="EHG67" s="627"/>
      <c r="EHI67" s="627"/>
      <c r="EHK67" s="627"/>
      <c r="EHM67" s="627"/>
      <c r="EHO67" s="627"/>
      <c r="EHQ67" s="627"/>
      <c r="EHS67" s="627"/>
      <c r="EHU67" s="627"/>
      <c r="EHW67" s="627"/>
      <c r="EHY67" s="627"/>
      <c r="EIA67" s="627"/>
      <c r="EIC67" s="627"/>
      <c r="EIE67" s="627"/>
      <c r="EIG67" s="627"/>
      <c r="EII67" s="627"/>
      <c r="EIK67" s="627"/>
      <c r="EIM67" s="627"/>
      <c r="EIO67" s="627"/>
      <c r="EIQ67" s="627"/>
      <c r="EIS67" s="627"/>
      <c r="EIU67" s="627"/>
      <c r="EIW67" s="627"/>
      <c r="EIY67" s="627"/>
      <c r="EJA67" s="627"/>
      <c r="EJC67" s="627"/>
      <c r="EJE67" s="627"/>
      <c r="EJG67" s="627"/>
      <c r="EJI67" s="627"/>
      <c r="EJK67" s="627"/>
      <c r="EJM67" s="627"/>
      <c r="EJO67" s="627"/>
      <c r="EJQ67" s="627"/>
      <c r="EJS67" s="627"/>
      <c r="EJU67" s="627"/>
      <c r="EJW67" s="627"/>
      <c r="EJY67" s="627"/>
      <c r="EKA67" s="627"/>
      <c r="EKC67" s="627"/>
      <c r="EKE67" s="627"/>
      <c r="EKG67" s="627"/>
      <c r="EKI67" s="627"/>
      <c r="EKK67" s="627"/>
      <c r="EKM67" s="627"/>
      <c r="EKO67" s="627"/>
      <c r="EKQ67" s="627"/>
      <c r="EKS67" s="627"/>
      <c r="EKU67" s="627"/>
      <c r="EKW67" s="627"/>
      <c r="EKY67" s="627"/>
      <c r="ELA67" s="627"/>
      <c r="ELC67" s="627"/>
      <c r="ELE67" s="627"/>
      <c r="ELG67" s="627"/>
      <c r="ELI67" s="627"/>
      <c r="ELK67" s="627"/>
      <c r="ELM67" s="627"/>
      <c r="ELO67" s="627"/>
      <c r="ELQ67" s="627"/>
      <c r="ELS67" s="627"/>
      <c r="ELU67" s="627"/>
      <c r="ELW67" s="627"/>
      <c r="ELY67" s="627"/>
      <c r="EMA67" s="627"/>
      <c r="EMC67" s="627"/>
      <c r="EME67" s="627"/>
      <c r="EMG67" s="627"/>
      <c r="EMI67" s="627"/>
      <c r="EMK67" s="627"/>
      <c r="EMM67" s="627"/>
      <c r="EMO67" s="627"/>
      <c r="EMQ67" s="627"/>
      <c r="EMS67" s="627"/>
      <c r="EMU67" s="627"/>
      <c r="EMW67" s="627"/>
      <c r="EMY67" s="627"/>
      <c r="ENA67" s="627"/>
      <c r="ENC67" s="627"/>
      <c r="ENE67" s="627"/>
      <c r="ENG67" s="627"/>
      <c r="ENI67" s="627"/>
      <c r="ENK67" s="627"/>
      <c r="ENM67" s="627"/>
      <c r="ENO67" s="627"/>
      <c r="ENQ67" s="627"/>
      <c r="ENS67" s="627"/>
      <c r="ENU67" s="627"/>
      <c r="ENW67" s="627"/>
      <c r="ENY67" s="627"/>
      <c r="EOA67" s="627"/>
      <c r="EOC67" s="627"/>
      <c r="EOE67" s="627"/>
      <c r="EOG67" s="627"/>
      <c r="EOI67" s="627"/>
      <c r="EOK67" s="627"/>
      <c r="EOM67" s="627"/>
      <c r="EOO67" s="627"/>
      <c r="EOQ67" s="627"/>
      <c r="EOS67" s="627"/>
      <c r="EOU67" s="627"/>
      <c r="EOW67" s="627"/>
      <c r="EOY67" s="627"/>
      <c r="EPA67" s="627"/>
      <c r="EPC67" s="627"/>
      <c r="EPE67" s="627"/>
      <c r="EPG67" s="627"/>
      <c r="EPI67" s="627"/>
      <c r="EPK67" s="627"/>
      <c r="EPM67" s="627"/>
      <c r="EPO67" s="627"/>
      <c r="EPQ67" s="627"/>
      <c r="EPS67" s="627"/>
      <c r="EPU67" s="627"/>
      <c r="EPW67" s="627"/>
      <c r="EPY67" s="627"/>
      <c r="EQA67" s="627"/>
      <c r="EQC67" s="627"/>
      <c r="EQE67" s="627"/>
      <c r="EQG67" s="627"/>
      <c r="EQI67" s="627"/>
      <c r="EQK67" s="627"/>
      <c r="EQM67" s="627"/>
      <c r="EQO67" s="627"/>
      <c r="EQQ67" s="627"/>
      <c r="EQS67" s="627"/>
      <c r="EQU67" s="627"/>
      <c r="EQW67" s="627"/>
      <c r="EQY67" s="627"/>
      <c r="ERA67" s="627"/>
      <c r="ERC67" s="627"/>
      <c r="ERE67" s="627"/>
      <c r="ERG67" s="627"/>
      <c r="ERI67" s="627"/>
      <c r="ERK67" s="627"/>
      <c r="ERM67" s="627"/>
      <c r="ERO67" s="627"/>
      <c r="ERQ67" s="627"/>
      <c r="ERS67" s="627"/>
      <c r="ERU67" s="627"/>
      <c r="ERW67" s="627"/>
      <c r="ERY67" s="627"/>
      <c r="ESA67" s="627"/>
      <c r="ESC67" s="627"/>
      <c r="ESE67" s="627"/>
      <c r="ESG67" s="627"/>
      <c r="ESI67" s="627"/>
      <c r="ESK67" s="627"/>
      <c r="ESM67" s="627"/>
      <c r="ESO67" s="627"/>
      <c r="ESQ67" s="627"/>
      <c r="ESS67" s="627"/>
      <c r="ESU67" s="627"/>
      <c r="ESW67" s="627"/>
      <c r="ESY67" s="627"/>
      <c r="ETA67" s="627"/>
      <c r="ETC67" s="627"/>
      <c r="ETE67" s="627"/>
      <c r="ETG67" s="627"/>
      <c r="ETI67" s="627"/>
      <c r="ETK67" s="627"/>
      <c r="ETM67" s="627"/>
      <c r="ETO67" s="627"/>
      <c r="ETQ67" s="627"/>
      <c r="ETS67" s="627"/>
      <c r="ETU67" s="627"/>
      <c r="ETW67" s="627"/>
      <c r="ETY67" s="627"/>
      <c r="EUA67" s="627"/>
      <c r="EUC67" s="627"/>
      <c r="EUE67" s="627"/>
      <c r="EUG67" s="627"/>
      <c r="EUI67" s="627"/>
      <c r="EUK67" s="627"/>
      <c r="EUM67" s="627"/>
      <c r="EUO67" s="627"/>
      <c r="EUQ67" s="627"/>
      <c r="EUS67" s="627"/>
      <c r="EUU67" s="627"/>
      <c r="EUW67" s="627"/>
      <c r="EUY67" s="627"/>
      <c r="EVA67" s="627"/>
      <c r="EVC67" s="627"/>
      <c r="EVE67" s="627"/>
      <c r="EVG67" s="627"/>
      <c r="EVI67" s="627"/>
      <c r="EVK67" s="627"/>
      <c r="EVM67" s="627"/>
      <c r="EVO67" s="627"/>
      <c r="EVQ67" s="627"/>
      <c r="EVS67" s="627"/>
      <c r="EVU67" s="627"/>
      <c r="EVW67" s="627"/>
      <c r="EVY67" s="627"/>
      <c r="EWA67" s="627"/>
      <c r="EWC67" s="627"/>
      <c r="EWE67" s="627"/>
      <c r="EWG67" s="627"/>
      <c r="EWI67" s="627"/>
      <c r="EWK67" s="627"/>
      <c r="EWM67" s="627"/>
      <c r="EWO67" s="627"/>
      <c r="EWQ67" s="627"/>
      <c r="EWS67" s="627"/>
      <c r="EWU67" s="627"/>
      <c r="EWW67" s="627"/>
      <c r="EWY67" s="627"/>
      <c r="EXA67" s="627"/>
      <c r="EXC67" s="627"/>
      <c r="EXE67" s="627"/>
      <c r="EXG67" s="627"/>
      <c r="EXI67" s="627"/>
      <c r="EXK67" s="627"/>
      <c r="EXM67" s="627"/>
      <c r="EXO67" s="627"/>
      <c r="EXQ67" s="627"/>
      <c r="EXS67" s="627"/>
      <c r="EXU67" s="627"/>
      <c r="EXW67" s="627"/>
      <c r="EXY67" s="627"/>
      <c r="EYA67" s="627"/>
      <c r="EYC67" s="627"/>
      <c r="EYE67" s="627"/>
      <c r="EYG67" s="627"/>
      <c r="EYI67" s="627"/>
      <c r="EYK67" s="627"/>
      <c r="EYM67" s="627"/>
      <c r="EYO67" s="627"/>
      <c r="EYQ67" s="627"/>
      <c r="EYS67" s="627"/>
      <c r="EYU67" s="627"/>
      <c r="EYW67" s="627"/>
      <c r="EYY67" s="627"/>
      <c r="EZA67" s="627"/>
      <c r="EZC67" s="627"/>
      <c r="EZE67" s="627"/>
      <c r="EZG67" s="627"/>
      <c r="EZI67" s="627"/>
      <c r="EZK67" s="627"/>
      <c r="EZM67" s="627"/>
      <c r="EZO67" s="627"/>
      <c r="EZQ67" s="627"/>
      <c r="EZS67" s="627"/>
      <c r="EZU67" s="627"/>
      <c r="EZW67" s="627"/>
      <c r="EZY67" s="627"/>
      <c r="FAA67" s="627"/>
      <c r="FAC67" s="627"/>
      <c r="FAE67" s="627"/>
      <c r="FAG67" s="627"/>
      <c r="FAI67" s="627"/>
      <c r="FAK67" s="627"/>
      <c r="FAM67" s="627"/>
      <c r="FAO67" s="627"/>
      <c r="FAQ67" s="627"/>
      <c r="FAS67" s="627"/>
      <c r="FAU67" s="627"/>
      <c r="FAW67" s="627"/>
      <c r="FAY67" s="627"/>
      <c r="FBA67" s="627"/>
      <c r="FBC67" s="627"/>
      <c r="FBE67" s="627"/>
      <c r="FBG67" s="627"/>
      <c r="FBI67" s="627"/>
      <c r="FBK67" s="627"/>
      <c r="FBM67" s="627"/>
      <c r="FBO67" s="627"/>
      <c r="FBQ67" s="627"/>
      <c r="FBS67" s="627"/>
      <c r="FBU67" s="627"/>
      <c r="FBW67" s="627"/>
      <c r="FBY67" s="627"/>
      <c r="FCA67" s="627"/>
      <c r="FCC67" s="627"/>
      <c r="FCE67" s="627"/>
      <c r="FCG67" s="627"/>
      <c r="FCI67" s="627"/>
      <c r="FCK67" s="627"/>
      <c r="FCM67" s="627"/>
      <c r="FCO67" s="627"/>
      <c r="FCQ67" s="627"/>
      <c r="FCS67" s="627"/>
      <c r="FCU67" s="627"/>
      <c r="FCW67" s="627"/>
      <c r="FCY67" s="627"/>
      <c r="FDA67" s="627"/>
      <c r="FDC67" s="627"/>
      <c r="FDE67" s="627"/>
      <c r="FDG67" s="627"/>
      <c r="FDI67" s="627"/>
      <c r="FDK67" s="627"/>
      <c r="FDM67" s="627"/>
      <c r="FDO67" s="627"/>
      <c r="FDQ67" s="627"/>
      <c r="FDS67" s="627"/>
      <c r="FDU67" s="627"/>
      <c r="FDW67" s="627"/>
      <c r="FDY67" s="627"/>
      <c r="FEA67" s="627"/>
      <c r="FEC67" s="627"/>
      <c r="FEE67" s="627"/>
      <c r="FEG67" s="627"/>
      <c r="FEI67" s="627"/>
      <c r="FEK67" s="627"/>
      <c r="FEM67" s="627"/>
      <c r="FEO67" s="627"/>
      <c r="FEQ67" s="627"/>
      <c r="FES67" s="627"/>
      <c r="FEU67" s="627"/>
      <c r="FEW67" s="627"/>
      <c r="FEY67" s="627"/>
      <c r="FFA67" s="627"/>
      <c r="FFC67" s="627"/>
      <c r="FFE67" s="627"/>
      <c r="FFG67" s="627"/>
      <c r="FFI67" s="627"/>
      <c r="FFK67" s="627"/>
      <c r="FFM67" s="627"/>
      <c r="FFO67" s="627"/>
      <c r="FFQ67" s="627"/>
      <c r="FFS67" s="627"/>
      <c r="FFU67" s="627"/>
      <c r="FFW67" s="627"/>
      <c r="FFY67" s="627"/>
      <c r="FGA67" s="627"/>
      <c r="FGC67" s="627"/>
      <c r="FGE67" s="627"/>
      <c r="FGG67" s="627"/>
      <c r="FGI67" s="627"/>
      <c r="FGK67" s="627"/>
      <c r="FGM67" s="627"/>
      <c r="FGO67" s="627"/>
      <c r="FGQ67" s="627"/>
      <c r="FGS67" s="627"/>
      <c r="FGU67" s="627"/>
      <c r="FGW67" s="627"/>
      <c r="FGY67" s="627"/>
      <c r="FHA67" s="627"/>
      <c r="FHC67" s="627"/>
      <c r="FHE67" s="627"/>
      <c r="FHG67" s="627"/>
      <c r="FHI67" s="627"/>
      <c r="FHK67" s="627"/>
      <c r="FHM67" s="627"/>
      <c r="FHO67" s="627"/>
      <c r="FHQ67" s="627"/>
      <c r="FHS67" s="627"/>
      <c r="FHU67" s="627"/>
      <c r="FHW67" s="627"/>
      <c r="FHY67" s="627"/>
      <c r="FIA67" s="627"/>
      <c r="FIC67" s="627"/>
      <c r="FIE67" s="627"/>
      <c r="FIG67" s="627"/>
      <c r="FII67" s="627"/>
      <c r="FIK67" s="627"/>
      <c r="FIM67" s="627"/>
      <c r="FIO67" s="627"/>
      <c r="FIQ67" s="627"/>
      <c r="FIS67" s="627"/>
      <c r="FIU67" s="627"/>
      <c r="FIW67" s="627"/>
      <c r="FIY67" s="627"/>
      <c r="FJA67" s="627"/>
      <c r="FJC67" s="627"/>
      <c r="FJE67" s="627"/>
      <c r="FJG67" s="627"/>
      <c r="FJI67" s="627"/>
      <c r="FJK67" s="627"/>
      <c r="FJM67" s="627"/>
      <c r="FJO67" s="627"/>
      <c r="FJQ67" s="627"/>
      <c r="FJS67" s="627"/>
      <c r="FJU67" s="627"/>
      <c r="FJW67" s="627"/>
      <c r="FJY67" s="627"/>
      <c r="FKA67" s="627"/>
      <c r="FKC67" s="627"/>
      <c r="FKE67" s="627"/>
      <c r="FKG67" s="627"/>
      <c r="FKI67" s="627"/>
      <c r="FKK67" s="627"/>
      <c r="FKM67" s="627"/>
      <c r="FKO67" s="627"/>
      <c r="FKQ67" s="627"/>
      <c r="FKS67" s="627"/>
      <c r="FKU67" s="627"/>
      <c r="FKW67" s="627"/>
      <c r="FKY67" s="627"/>
      <c r="FLA67" s="627"/>
      <c r="FLC67" s="627"/>
      <c r="FLE67" s="627"/>
      <c r="FLG67" s="627"/>
      <c r="FLI67" s="627"/>
      <c r="FLK67" s="627"/>
      <c r="FLM67" s="627"/>
      <c r="FLO67" s="627"/>
      <c r="FLQ67" s="627"/>
      <c r="FLS67" s="627"/>
      <c r="FLU67" s="627"/>
      <c r="FLW67" s="627"/>
      <c r="FLY67" s="627"/>
      <c r="FMA67" s="627"/>
      <c r="FMC67" s="627"/>
      <c r="FME67" s="627"/>
      <c r="FMG67" s="627"/>
      <c r="FMI67" s="627"/>
      <c r="FMK67" s="627"/>
      <c r="FMM67" s="627"/>
      <c r="FMO67" s="627"/>
      <c r="FMQ67" s="627"/>
      <c r="FMS67" s="627"/>
      <c r="FMU67" s="627"/>
      <c r="FMW67" s="627"/>
      <c r="FMY67" s="627"/>
      <c r="FNA67" s="627"/>
      <c r="FNC67" s="627"/>
      <c r="FNE67" s="627"/>
      <c r="FNG67" s="627"/>
      <c r="FNI67" s="627"/>
      <c r="FNK67" s="627"/>
      <c r="FNM67" s="627"/>
      <c r="FNO67" s="627"/>
      <c r="FNQ67" s="627"/>
      <c r="FNS67" s="627"/>
      <c r="FNU67" s="627"/>
      <c r="FNW67" s="627"/>
      <c r="FNY67" s="627"/>
      <c r="FOA67" s="627"/>
      <c r="FOC67" s="627"/>
      <c r="FOE67" s="627"/>
      <c r="FOG67" s="627"/>
      <c r="FOI67" s="627"/>
      <c r="FOK67" s="627"/>
      <c r="FOM67" s="627"/>
      <c r="FOO67" s="627"/>
      <c r="FOQ67" s="627"/>
      <c r="FOS67" s="627"/>
      <c r="FOU67" s="627"/>
      <c r="FOW67" s="627"/>
      <c r="FOY67" s="627"/>
      <c r="FPA67" s="627"/>
      <c r="FPC67" s="627"/>
      <c r="FPE67" s="627"/>
      <c r="FPG67" s="627"/>
      <c r="FPI67" s="627"/>
      <c r="FPK67" s="627"/>
      <c r="FPM67" s="627"/>
      <c r="FPO67" s="627"/>
      <c r="FPQ67" s="627"/>
      <c r="FPS67" s="627"/>
      <c r="FPU67" s="627"/>
      <c r="FPW67" s="627"/>
      <c r="FPY67" s="627"/>
      <c r="FQA67" s="627"/>
      <c r="FQC67" s="627"/>
      <c r="FQE67" s="627"/>
      <c r="FQG67" s="627"/>
      <c r="FQI67" s="627"/>
      <c r="FQK67" s="627"/>
      <c r="FQM67" s="627"/>
      <c r="FQO67" s="627"/>
      <c r="FQQ67" s="627"/>
      <c r="FQS67" s="627"/>
      <c r="FQU67" s="627"/>
      <c r="FQW67" s="627"/>
      <c r="FQY67" s="627"/>
      <c r="FRA67" s="627"/>
      <c r="FRC67" s="627"/>
      <c r="FRE67" s="627"/>
      <c r="FRG67" s="627"/>
      <c r="FRI67" s="627"/>
      <c r="FRK67" s="627"/>
      <c r="FRM67" s="627"/>
      <c r="FRO67" s="627"/>
      <c r="FRQ67" s="627"/>
      <c r="FRS67" s="627"/>
      <c r="FRU67" s="627"/>
      <c r="FRW67" s="627"/>
      <c r="FRY67" s="627"/>
      <c r="FSA67" s="627"/>
      <c r="FSC67" s="627"/>
      <c r="FSE67" s="627"/>
      <c r="FSG67" s="627"/>
      <c r="FSI67" s="627"/>
      <c r="FSK67" s="627"/>
      <c r="FSM67" s="627"/>
      <c r="FSO67" s="627"/>
      <c r="FSQ67" s="627"/>
      <c r="FSS67" s="627"/>
      <c r="FSU67" s="627"/>
      <c r="FSW67" s="627"/>
      <c r="FSY67" s="627"/>
      <c r="FTA67" s="627"/>
      <c r="FTC67" s="627"/>
      <c r="FTE67" s="627"/>
      <c r="FTG67" s="627"/>
      <c r="FTI67" s="627"/>
      <c r="FTK67" s="627"/>
      <c r="FTM67" s="627"/>
      <c r="FTO67" s="627"/>
      <c r="FTQ67" s="627"/>
      <c r="FTS67" s="627"/>
      <c r="FTU67" s="627"/>
      <c r="FTW67" s="627"/>
      <c r="FTY67" s="627"/>
      <c r="FUA67" s="627"/>
      <c r="FUC67" s="627"/>
      <c r="FUE67" s="627"/>
      <c r="FUG67" s="627"/>
      <c r="FUI67" s="627"/>
      <c r="FUK67" s="627"/>
      <c r="FUM67" s="627"/>
      <c r="FUO67" s="627"/>
      <c r="FUQ67" s="627"/>
      <c r="FUS67" s="627"/>
      <c r="FUU67" s="627"/>
      <c r="FUW67" s="627"/>
      <c r="FUY67" s="627"/>
      <c r="FVA67" s="627"/>
      <c r="FVC67" s="627"/>
      <c r="FVE67" s="627"/>
      <c r="FVG67" s="627"/>
      <c r="FVI67" s="627"/>
      <c r="FVK67" s="627"/>
      <c r="FVM67" s="627"/>
      <c r="FVO67" s="627"/>
      <c r="FVQ67" s="627"/>
      <c r="FVS67" s="627"/>
      <c r="FVU67" s="627"/>
      <c r="FVW67" s="627"/>
      <c r="FVY67" s="627"/>
      <c r="FWA67" s="627"/>
      <c r="FWC67" s="627"/>
      <c r="FWE67" s="627"/>
      <c r="FWG67" s="627"/>
      <c r="FWI67" s="627"/>
      <c r="FWK67" s="627"/>
      <c r="FWM67" s="627"/>
      <c r="FWO67" s="627"/>
      <c r="FWQ67" s="627"/>
      <c r="FWS67" s="627"/>
      <c r="FWU67" s="627"/>
      <c r="FWW67" s="627"/>
      <c r="FWY67" s="627"/>
      <c r="FXA67" s="627"/>
      <c r="FXC67" s="627"/>
      <c r="FXE67" s="627"/>
      <c r="FXG67" s="627"/>
      <c r="FXI67" s="627"/>
      <c r="FXK67" s="627"/>
      <c r="FXM67" s="627"/>
      <c r="FXO67" s="627"/>
      <c r="FXQ67" s="627"/>
      <c r="FXS67" s="627"/>
      <c r="FXU67" s="627"/>
      <c r="FXW67" s="627"/>
      <c r="FXY67" s="627"/>
      <c r="FYA67" s="627"/>
      <c r="FYC67" s="627"/>
      <c r="FYE67" s="627"/>
      <c r="FYG67" s="627"/>
      <c r="FYI67" s="627"/>
      <c r="FYK67" s="627"/>
      <c r="FYM67" s="627"/>
      <c r="FYO67" s="627"/>
      <c r="FYQ67" s="627"/>
      <c r="FYS67" s="627"/>
      <c r="FYU67" s="627"/>
      <c r="FYW67" s="627"/>
      <c r="FYY67" s="627"/>
      <c r="FZA67" s="627"/>
      <c r="FZC67" s="627"/>
      <c r="FZE67" s="627"/>
      <c r="FZG67" s="627"/>
      <c r="FZI67" s="627"/>
      <c r="FZK67" s="627"/>
      <c r="FZM67" s="627"/>
      <c r="FZO67" s="627"/>
      <c r="FZQ67" s="627"/>
      <c r="FZS67" s="627"/>
      <c r="FZU67" s="627"/>
      <c r="FZW67" s="627"/>
      <c r="FZY67" s="627"/>
      <c r="GAA67" s="627"/>
      <c r="GAC67" s="627"/>
      <c r="GAE67" s="627"/>
      <c r="GAG67" s="627"/>
      <c r="GAI67" s="627"/>
      <c r="GAK67" s="627"/>
      <c r="GAM67" s="627"/>
      <c r="GAO67" s="627"/>
      <c r="GAQ67" s="627"/>
      <c r="GAS67" s="627"/>
      <c r="GAU67" s="627"/>
      <c r="GAW67" s="627"/>
      <c r="GAY67" s="627"/>
      <c r="GBA67" s="627"/>
      <c r="GBC67" s="627"/>
      <c r="GBE67" s="627"/>
      <c r="GBG67" s="627"/>
      <c r="GBI67" s="627"/>
      <c r="GBK67" s="627"/>
      <c r="GBM67" s="627"/>
      <c r="GBO67" s="627"/>
      <c r="GBQ67" s="627"/>
      <c r="GBS67" s="627"/>
      <c r="GBU67" s="627"/>
      <c r="GBW67" s="627"/>
      <c r="GBY67" s="627"/>
      <c r="GCA67" s="627"/>
      <c r="GCC67" s="627"/>
      <c r="GCE67" s="627"/>
      <c r="GCG67" s="627"/>
      <c r="GCI67" s="627"/>
      <c r="GCK67" s="627"/>
      <c r="GCM67" s="627"/>
      <c r="GCO67" s="627"/>
      <c r="GCQ67" s="627"/>
      <c r="GCS67" s="627"/>
      <c r="GCU67" s="627"/>
      <c r="GCW67" s="627"/>
      <c r="GCY67" s="627"/>
      <c r="GDA67" s="627"/>
      <c r="GDC67" s="627"/>
      <c r="GDE67" s="627"/>
      <c r="GDG67" s="627"/>
      <c r="GDI67" s="627"/>
      <c r="GDK67" s="627"/>
      <c r="GDM67" s="627"/>
      <c r="GDO67" s="627"/>
      <c r="GDQ67" s="627"/>
      <c r="GDS67" s="627"/>
      <c r="GDU67" s="627"/>
      <c r="GDW67" s="627"/>
      <c r="GDY67" s="627"/>
      <c r="GEA67" s="627"/>
      <c r="GEC67" s="627"/>
      <c r="GEE67" s="627"/>
      <c r="GEG67" s="627"/>
      <c r="GEI67" s="627"/>
      <c r="GEK67" s="627"/>
      <c r="GEM67" s="627"/>
      <c r="GEO67" s="627"/>
      <c r="GEQ67" s="627"/>
      <c r="GES67" s="627"/>
      <c r="GEU67" s="627"/>
      <c r="GEW67" s="627"/>
      <c r="GEY67" s="627"/>
      <c r="GFA67" s="627"/>
      <c r="GFC67" s="627"/>
      <c r="GFE67" s="627"/>
      <c r="GFG67" s="627"/>
      <c r="GFI67" s="627"/>
      <c r="GFK67" s="627"/>
      <c r="GFM67" s="627"/>
      <c r="GFO67" s="627"/>
      <c r="GFQ67" s="627"/>
      <c r="GFS67" s="627"/>
      <c r="GFU67" s="627"/>
      <c r="GFW67" s="627"/>
      <c r="GFY67" s="627"/>
      <c r="GGA67" s="627"/>
      <c r="GGC67" s="627"/>
      <c r="GGE67" s="627"/>
      <c r="GGG67" s="627"/>
      <c r="GGI67" s="627"/>
      <c r="GGK67" s="627"/>
      <c r="GGM67" s="627"/>
      <c r="GGO67" s="627"/>
      <c r="GGQ67" s="627"/>
      <c r="GGS67" s="627"/>
      <c r="GGU67" s="627"/>
      <c r="GGW67" s="627"/>
      <c r="GGY67" s="627"/>
      <c r="GHA67" s="627"/>
      <c r="GHC67" s="627"/>
      <c r="GHE67" s="627"/>
      <c r="GHG67" s="627"/>
      <c r="GHI67" s="627"/>
      <c r="GHK67" s="627"/>
      <c r="GHM67" s="627"/>
      <c r="GHO67" s="627"/>
      <c r="GHQ67" s="627"/>
      <c r="GHS67" s="627"/>
      <c r="GHU67" s="627"/>
      <c r="GHW67" s="627"/>
      <c r="GHY67" s="627"/>
      <c r="GIA67" s="627"/>
      <c r="GIC67" s="627"/>
      <c r="GIE67" s="627"/>
      <c r="GIG67" s="627"/>
      <c r="GII67" s="627"/>
      <c r="GIK67" s="627"/>
      <c r="GIM67" s="627"/>
      <c r="GIO67" s="627"/>
      <c r="GIQ67" s="627"/>
      <c r="GIS67" s="627"/>
      <c r="GIU67" s="627"/>
      <c r="GIW67" s="627"/>
      <c r="GIY67" s="627"/>
      <c r="GJA67" s="627"/>
      <c r="GJC67" s="627"/>
      <c r="GJE67" s="627"/>
      <c r="GJG67" s="627"/>
      <c r="GJI67" s="627"/>
      <c r="GJK67" s="627"/>
      <c r="GJM67" s="627"/>
      <c r="GJO67" s="627"/>
      <c r="GJQ67" s="627"/>
      <c r="GJS67" s="627"/>
      <c r="GJU67" s="627"/>
      <c r="GJW67" s="627"/>
      <c r="GJY67" s="627"/>
      <c r="GKA67" s="627"/>
      <c r="GKC67" s="627"/>
      <c r="GKE67" s="627"/>
      <c r="GKG67" s="627"/>
      <c r="GKI67" s="627"/>
      <c r="GKK67" s="627"/>
      <c r="GKM67" s="627"/>
      <c r="GKO67" s="627"/>
      <c r="GKQ67" s="627"/>
      <c r="GKS67" s="627"/>
      <c r="GKU67" s="627"/>
      <c r="GKW67" s="627"/>
      <c r="GKY67" s="627"/>
      <c r="GLA67" s="627"/>
      <c r="GLC67" s="627"/>
      <c r="GLE67" s="627"/>
      <c r="GLG67" s="627"/>
      <c r="GLI67" s="627"/>
      <c r="GLK67" s="627"/>
      <c r="GLM67" s="627"/>
      <c r="GLO67" s="627"/>
      <c r="GLQ67" s="627"/>
      <c r="GLS67" s="627"/>
      <c r="GLU67" s="627"/>
      <c r="GLW67" s="627"/>
      <c r="GLY67" s="627"/>
      <c r="GMA67" s="627"/>
      <c r="GMC67" s="627"/>
      <c r="GME67" s="627"/>
      <c r="GMG67" s="627"/>
      <c r="GMI67" s="627"/>
      <c r="GMK67" s="627"/>
      <c r="GMM67" s="627"/>
      <c r="GMO67" s="627"/>
      <c r="GMQ67" s="627"/>
      <c r="GMS67" s="627"/>
      <c r="GMU67" s="627"/>
      <c r="GMW67" s="627"/>
      <c r="GMY67" s="627"/>
      <c r="GNA67" s="627"/>
      <c r="GNC67" s="627"/>
      <c r="GNE67" s="627"/>
      <c r="GNG67" s="627"/>
      <c r="GNI67" s="627"/>
      <c r="GNK67" s="627"/>
      <c r="GNM67" s="627"/>
      <c r="GNO67" s="627"/>
      <c r="GNQ67" s="627"/>
      <c r="GNS67" s="627"/>
      <c r="GNU67" s="627"/>
      <c r="GNW67" s="627"/>
      <c r="GNY67" s="627"/>
      <c r="GOA67" s="627"/>
      <c r="GOC67" s="627"/>
      <c r="GOE67" s="627"/>
      <c r="GOG67" s="627"/>
      <c r="GOI67" s="627"/>
      <c r="GOK67" s="627"/>
      <c r="GOM67" s="627"/>
      <c r="GOO67" s="627"/>
      <c r="GOQ67" s="627"/>
      <c r="GOS67" s="627"/>
      <c r="GOU67" s="627"/>
      <c r="GOW67" s="627"/>
      <c r="GOY67" s="627"/>
      <c r="GPA67" s="627"/>
      <c r="GPC67" s="627"/>
      <c r="GPE67" s="627"/>
      <c r="GPG67" s="627"/>
      <c r="GPI67" s="627"/>
      <c r="GPK67" s="627"/>
      <c r="GPM67" s="627"/>
      <c r="GPO67" s="627"/>
      <c r="GPQ67" s="627"/>
      <c r="GPS67" s="627"/>
      <c r="GPU67" s="627"/>
      <c r="GPW67" s="627"/>
      <c r="GPY67" s="627"/>
      <c r="GQA67" s="627"/>
      <c r="GQC67" s="627"/>
      <c r="GQE67" s="627"/>
      <c r="GQG67" s="627"/>
      <c r="GQI67" s="627"/>
      <c r="GQK67" s="627"/>
      <c r="GQM67" s="627"/>
      <c r="GQO67" s="627"/>
      <c r="GQQ67" s="627"/>
      <c r="GQS67" s="627"/>
      <c r="GQU67" s="627"/>
      <c r="GQW67" s="627"/>
      <c r="GQY67" s="627"/>
      <c r="GRA67" s="627"/>
      <c r="GRC67" s="627"/>
      <c r="GRE67" s="627"/>
      <c r="GRG67" s="627"/>
      <c r="GRI67" s="627"/>
      <c r="GRK67" s="627"/>
      <c r="GRM67" s="627"/>
      <c r="GRO67" s="627"/>
      <c r="GRQ67" s="627"/>
      <c r="GRS67" s="627"/>
      <c r="GRU67" s="627"/>
      <c r="GRW67" s="627"/>
      <c r="GRY67" s="627"/>
      <c r="GSA67" s="627"/>
      <c r="GSC67" s="627"/>
      <c r="GSE67" s="627"/>
      <c r="GSG67" s="627"/>
      <c r="GSI67" s="627"/>
      <c r="GSK67" s="627"/>
      <c r="GSM67" s="627"/>
      <c r="GSO67" s="627"/>
      <c r="GSQ67" s="627"/>
      <c r="GSS67" s="627"/>
      <c r="GSU67" s="627"/>
      <c r="GSW67" s="627"/>
      <c r="GSY67" s="627"/>
      <c r="GTA67" s="627"/>
      <c r="GTC67" s="627"/>
      <c r="GTE67" s="627"/>
      <c r="GTG67" s="627"/>
      <c r="GTI67" s="627"/>
      <c r="GTK67" s="627"/>
      <c r="GTM67" s="627"/>
      <c r="GTO67" s="627"/>
      <c r="GTQ67" s="627"/>
      <c r="GTS67" s="627"/>
      <c r="GTU67" s="627"/>
      <c r="GTW67" s="627"/>
      <c r="GTY67" s="627"/>
      <c r="GUA67" s="627"/>
      <c r="GUC67" s="627"/>
      <c r="GUE67" s="627"/>
      <c r="GUG67" s="627"/>
      <c r="GUI67" s="627"/>
      <c r="GUK67" s="627"/>
      <c r="GUM67" s="627"/>
      <c r="GUO67" s="627"/>
      <c r="GUQ67" s="627"/>
      <c r="GUS67" s="627"/>
      <c r="GUU67" s="627"/>
      <c r="GUW67" s="627"/>
      <c r="GUY67" s="627"/>
      <c r="GVA67" s="627"/>
      <c r="GVC67" s="627"/>
      <c r="GVE67" s="627"/>
      <c r="GVG67" s="627"/>
      <c r="GVI67" s="627"/>
      <c r="GVK67" s="627"/>
      <c r="GVM67" s="627"/>
      <c r="GVO67" s="627"/>
      <c r="GVQ67" s="627"/>
      <c r="GVS67" s="627"/>
      <c r="GVU67" s="627"/>
      <c r="GVW67" s="627"/>
      <c r="GVY67" s="627"/>
      <c r="GWA67" s="627"/>
      <c r="GWC67" s="627"/>
      <c r="GWE67" s="627"/>
      <c r="GWG67" s="627"/>
      <c r="GWI67" s="627"/>
      <c r="GWK67" s="627"/>
      <c r="GWM67" s="627"/>
      <c r="GWO67" s="627"/>
      <c r="GWQ67" s="627"/>
      <c r="GWS67" s="627"/>
      <c r="GWU67" s="627"/>
      <c r="GWW67" s="627"/>
      <c r="GWY67" s="627"/>
      <c r="GXA67" s="627"/>
      <c r="GXC67" s="627"/>
      <c r="GXE67" s="627"/>
      <c r="GXG67" s="627"/>
      <c r="GXI67" s="627"/>
      <c r="GXK67" s="627"/>
      <c r="GXM67" s="627"/>
      <c r="GXO67" s="627"/>
      <c r="GXQ67" s="627"/>
      <c r="GXS67" s="627"/>
      <c r="GXU67" s="627"/>
      <c r="GXW67" s="627"/>
      <c r="GXY67" s="627"/>
      <c r="GYA67" s="627"/>
      <c r="GYC67" s="627"/>
      <c r="GYE67" s="627"/>
      <c r="GYG67" s="627"/>
      <c r="GYI67" s="627"/>
      <c r="GYK67" s="627"/>
      <c r="GYM67" s="627"/>
      <c r="GYO67" s="627"/>
      <c r="GYQ67" s="627"/>
      <c r="GYS67" s="627"/>
      <c r="GYU67" s="627"/>
      <c r="GYW67" s="627"/>
      <c r="GYY67" s="627"/>
      <c r="GZA67" s="627"/>
      <c r="GZC67" s="627"/>
      <c r="GZE67" s="627"/>
      <c r="GZG67" s="627"/>
      <c r="GZI67" s="627"/>
      <c r="GZK67" s="627"/>
      <c r="GZM67" s="627"/>
      <c r="GZO67" s="627"/>
      <c r="GZQ67" s="627"/>
      <c r="GZS67" s="627"/>
      <c r="GZU67" s="627"/>
      <c r="GZW67" s="627"/>
      <c r="GZY67" s="627"/>
      <c r="HAA67" s="627"/>
      <c r="HAC67" s="627"/>
      <c r="HAE67" s="627"/>
      <c r="HAG67" s="627"/>
      <c r="HAI67" s="627"/>
      <c r="HAK67" s="627"/>
      <c r="HAM67" s="627"/>
      <c r="HAO67" s="627"/>
      <c r="HAQ67" s="627"/>
      <c r="HAS67" s="627"/>
      <c r="HAU67" s="627"/>
      <c r="HAW67" s="627"/>
      <c r="HAY67" s="627"/>
      <c r="HBA67" s="627"/>
      <c r="HBC67" s="627"/>
      <c r="HBE67" s="627"/>
      <c r="HBG67" s="627"/>
      <c r="HBI67" s="627"/>
      <c r="HBK67" s="627"/>
      <c r="HBM67" s="627"/>
      <c r="HBO67" s="627"/>
      <c r="HBQ67" s="627"/>
      <c r="HBS67" s="627"/>
      <c r="HBU67" s="627"/>
      <c r="HBW67" s="627"/>
      <c r="HBY67" s="627"/>
      <c r="HCA67" s="627"/>
      <c r="HCC67" s="627"/>
      <c r="HCE67" s="627"/>
      <c r="HCG67" s="627"/>
      <c r="HCI67" s="627"/>
      <c r="HCK67" s="627"/>
      <c r="HCM67" s="627"/>
      <c r="HCO67" s="627"/>
      <c r="HCQ67" s="627"/>
      <c r="HCS67" s="627"/>
      <c r="HCU67" s="627"/>
      <c r="HCW67" s="627"/>
      <c r="HCY67" s="627"/>
      <c r="HDA67" s="627"/>
      <c r="HDC67" s="627"/>
      <c r="HDE67" s="627"/>
      <c r="HDG67" s="627"/>
      <c r="HDI67" s="627"/>
      <c r="HDK67" s="627"/>
      <c r="HDM67" s="627"/>
      <c r="HDO67" s="627"/>
      <c r="HDQ67" s="627"/>
      <c r="HDS67" s="627"/>
      <c r="HDU67" s="627"/>
      <c r="HDW67" s="627"/>
      <c r="HDY67" s="627"/>
      <c r="HEA67" s="627"/>
      <c r="HEC67" s="627"/>
      <c r="HEE67" s="627"/>
      <c r="HEG67" s="627"/>
      <c r="HEI67" s="627"/>
      <c r="HEK67" s="627"/>
      <c r="HEM67" s="627"/>
      <c r="HEO67" s="627"/>
      <c r="HEQ67" s="627"/>
      <c r="HES67" s="627"/>
      <c r="HEU67" s="627"/>
      <c r="HEW67" s="627"/>
      <c r="HEY67" s="627"/>
      <c r="HFA67" s="627"/>
      <c r="HFC67" s="627"/>
      <c r="HFE67" s="627"/>
      <c r="HFG67" s="627"/>
      <c r="HFI67" s="627"/>
      <c r="HFK67" s="627"/>
      <c r="HFM67" s="627"/>
      <c r="HFO67" s="627"/>
      <c r="HFQ67" s="627"/>
      <c r="HFS67" s="627"/>
      <c r="HFU67" s="627"/>
      <c r="HFW67" s="627"/>
      <c r="HFY67" s="627"/>
      <c r="HGA67" s="627"/>
      <c r="HGC67" s="627"/>
      <c r="HGE67" s="627"/>
      <c r="HGG67" s="627"/>
      <c r="HGI67" s="627"/>
      <c r="HGK67" s="627"/>
      <c r="HGM67" s="627"/>
      <c r="HGO67" s="627"/>
      <c r="HGQ67" s="627"/>
      <c r="HGS67" s="627"/>
      <c r="HGU67" s="627"/>
      <c r="HGW67" s="627"/>
      <c r="HGY67" s="627"/>
      <c r="HHA67" s="627"/>
      <c r="HHC67" s="627"/>
      <c r="HHE67" s="627"/>
      <c r="HHG67" s="627"/>
      <c r="HHI67" s="627"/>
      <c r="HHK67" s="627"/>
      <c r="HHM67" s="627"/>
      <c r="HHO67" s="627"/>
      <c r="HHQ67" s="627"/>
      <c r="HHS67" s="627"/>
      <c r="HHU67" s="627"/>
      <c r="HHW67" s="627"/>
      <c r="HHY67" s="627"/>
      <c r="HIA67" s="627"/>
      <c r="HIC67" s="627"/>
      <c r="HIE67" s="627"/>
      <c r="HIG67" s="627"/>
      <c r="HII67" s="627"/>
      <c r="HIK67" s="627"/>
      <c r="HIM67" s="627"/>
      <c r="HIO67" s="627"/>
      <c r="HIQ67" s="627"/>
      <c r="HIS67" s="627"/>
      <c r="HIU67" s="627"/>
      <c r="HIW67" s="627"/>
      <c r="HIY67" s="627"/>
      <c r="HJA67" s="627"/>
      <c r="HJC67" s="627"/>
      <c r="HJE67" s="627"/>
      <c r="HJG67" s="627"/>
      <c r="HJI67" s="627"/>
      <c r="HJK67" s="627"/>
      <c r="HJM67" s="627"/>
      <c r="HJO67" s="627"/>
      <c r="HJQ67" s="627"/>
      <c r="HJS67" s="627"/>
      <c r="HJU67" s="627"/>
      <c r="HJW67" s="627"/>
      <c r="HJY67" s="627"/>
      <c r="HKA67" s="627"/>
      <c r="HKC67" s="627"/>
      <c r="HKE67" s="627"/>
      <c r="HKG67" s="627"/>
      <c r="HKI67" s="627"/>
      <c r="HKK67" s="627"/>
      <c r="HKM67" s="627"/>
      <c r="HKO67" s="627"/>
      <c r="HKQ67" s="627"/>
      <c r="HKS67" s="627"/>
      <c r="HKU67" s="627"/>
      <c r="HKW67" s="627"/>
      <c r="HKY67" s="627"/>
      <c r="HLA67" s="627"/>
      <c r="HLC67" s="627"/>
      <c r="HLE67" s="627"/>
      <c r="HLG67" s="627"/>
      <c r="HLI67" s="627"/>
      <c r="HLK67" s="627"/>
      <c r="HLM67" s="627"/>
      <c r="HLO67" s="627"/>
      <c r="HLQ67" s="627"/>
      <c r="HLS67" s="627"/>
      <c r="HLU67" s="627"/>
      <c r="HLW67" s="627"/>
      <c r="HLY67" s="627"/>
      <c r="HMA67" s="627"/>
      <c r="HMC67" s="627"/>
      <c r="HME67" s="627"/>
      <c r="HMG67" s="627"/>
      <c r="HMI67" s="627"/>
      <c r="HMK67" s="627"/>
      <c r="HMM67" s="627"/>
      <c r="HMO67" s="627"/>
      <c r="HMQ67" s="627"/>
      <c r="HMS67" s="627"/>
      <c r="HMU67" s="627"/>
      <c r="HMW67" s="627"/>
      <c r="HMY67" s="627"/>
      <c r="HNA67" s="627"/>
      <c r="HNC67" s="627"/>
      <c r="HNE67" s="627"/>
      <c r="HNG67" s="627"/>
      <c r="HNI67" s="627"/>
      <c r="HNK67" s="627"/>
      <c r="HNM67" s="627"/>
      <c r="HNO67" s="627"/>
      <c r="HNQ67" s="627"/>
      <c r="HNS67" s="627"/>
      <c r="HNU67" s="627"/>
      <c r="HNW67" s="627"/>
      <c r="HNY67" s="627"/>
      <c r="HOA67" s="627"/>
      <c r="HOC67" s="627"/>
      <c r="HOE67" s="627"/>
      <c r="HOG67" s="627"/>
      <c r="HOI67" s="627"/>
      <c r="HOK67" s="627"/>
      <c r="HOM67" s="627"/>
      <c r="HOO67" s="627"/>
      <c r="HOQ67" s="627"/>
      <c r="HOS67" s="627"/>
      <c r="HOU67" s="627"/>
      <c r="HOW67" s="627"/>
      <c r="HOY67" s="627"/>
      <c r="HPA67" s="627"/>
      <c r="HPC67" s="627"/>
      <c r="HPE67" s="627"/>
      <c r="HPG67" s="627"/>
      <c r="HPI67" s="627"/>
      <c r="HPK67" s="627"/>
      <c r="HPM67" s="627"/>
      <c r="HPO67" s="627"/>
      <c r="HPQ67" s="627"/>
      <c r="HPS67" s="627"/>
      <c r="HPU67" s="627"/>
      <c r="HPW67" s="627"/>
      <c r="HPY67" s="627"/>
      <c r="HQA67" s="627"/>
      <c r="HQC67" s="627"/>
      <c r="HQE67" s="627"/>
      <c r="HQG67" s="627"/>
      <c r="HQI67" s="627"/>
      <c r="HQK67" s="627"/>
      <c r="HQM67" s="627"/>
      <c r="HQO67" s="627"/>
      <c r="HQQ67" s="627"/>
      <c r="HQS67" s="627"/>
      <c r="HQU67" s="627"/>
      <c r="HQW67" s="627"/>
      <c r="HQY67" s="627"/>
      <c r="HRA67" s="627"/>
      <c r="HRC67" s="627"/>
      <c r="HRE67" s="627"/>
      <c r="HRG67" s="627"/>
      <c r="HRI67" s="627"/>
      <c r="HRK67" s="627"/>
      <c r="HRM67" s="627"/>
      <c r="HRO67" s="627"/>
      <c r="HRQ67" s="627"/>
      <c r="HRS67" s="627"/>
      <c r="HRU67" s="627"/>
      <c r="HRW67" s="627"/>
      <c r="HRY67" s="627"/>
      <c r="HSA67" s="627"/>
      <c r="HSC67" s="627"/>
      <c r="HSE67" s="627"/>
      <c r="HSG67" s="627"/>
      <c r="HSI67" s="627"/>
      <c r="HSK67" s="627"/>
      <c r="HSM67" s="627"/>
      <c r="HSO67" s="627"/>
      <c r="HSQ67" s="627"/>
      <c r="HSS67" s="627"/>
      <c r="HSU67" s="627"/>
      <c r="HSW67" s="627"/>
      <c r="HSY67" s="627"/>
      <c r="HTA67" s="627"/>
      <c r="HTC67" s="627"/>
      <c r="HTE67" s="627"/>
      <c r="HTG67" s="627"/>
      <c r="HTI67" s="627"/>
      <c r="HTK67" s="627"/>
      <c r="HTM67" s="627"/>
      <c r="HTO67" s="627"/>
      <c r="HTQ67" s="627"/>
      <c r="HTS67" s="627"/>
      <c r="HTU67" s="627"/>
      <c r="HTW67" s="627"/>
      <c r="HTY67" s="627"/>
      <c r="HUA67" s="627"/>
      <c r="HUC67" s="627"/>
      <c r="HUE67" s="627"/>
      <c r="HUG67" s="627"/>
      <c r="HUI67" s="627"/>
      <c r="HUK67" s="627"/>
      <c r="HUM67" s="627"/>
      <c r="HUO67" s="627"/>
      <c r="HUQ67" s="627"/>
      <c r="HUS67" s="627"/>
      <c r="HUU67" s="627"/>
      <c r="HUW67" s="627"/>
      <c r="HUY67" s="627"/>
      <c r="HVA67" s="627"/>
      <c r="HVC67" s="627"/>
      <c r="HVE67" s="627"/>
      <c r="HVG67" s="627"/>
      <c r="HVI67" s="627"/>
      <c r="HVK67" s="627"/>
      <c r="HVM67" s="627"/>
      <c r="HVO67" s="627"/>
      <c r="HVQ67" s="627"/>
      <c r="HVS67" s="627"/>
      <c r="HVU67" s="627"/>
      <c r="HVW67" s="627"/>
      <c r="HVY67" s="627"/>
      <c r="HWA67" s="627"/>
      <c r="HWC67" s="627"/>
      <c r="HWE67" s="627"/>
      <c r="HWG67" s="627"/>
      <c r="HWI67" s="627"/>
      <c r="HWK67" s="627"/>
      <c r="HWM67" s="627"/>
      <c r="HWO67" s="627"/>
      <c r="HWQ67" s="627"/>
      <c r="HWS67" s="627"/>
      <c r="HWU67" s="627"/>
      <c r="HWW67" s="627"/>
      <c r="HWY67" s="627"/>
      <c r="HXA67" s="627"/>
      <c r="HXC67" s="627"/>
      <c r="HXE67" s="627"/>
      <c r="HXG67" s="627"/>
      <c r="HXI67" s="627"/>
      <c r="HXK67" s="627"/>
      <c r="HXM67" s="627"/>
      <c r="HXO67" s="627"/>
      <c r="HXQ67" s="627"/>
      <c r="HXS67" s="627"/>
      <c r="HXU67" s="627"/>
      <c r="HXW67" s="627"/>
      <c r="HXY67" s="627"/>
      <c r="HYA67" s="627"/>
      <c r="HYC67" s="627"/>
      <c r="HYE67" s="627"/>
      <c r="HYG67" s="627"/>
      <c r="HYI67" s="627"/>
      <c r="HYK67" s="627"/>
      <c r="HYM67" s="627"/>
      <c r="HYO67" s="627"/>
      <c r="HYQ67" s="627"/>
      <c r="HYS67" s="627"/>
      <c r="HYU67" s="627"/>
      <c r="HYW67" s="627"/>
      <c r="HYY67" s="627"/>
      <c r="HZA67" s="627"/>
      <c r="HZC67" s="627"/>
      <c r="HZE67" s="627"/>
      <c r="HZG67" s="627"/>
      <c r="HZI67" s="627"/>
      <c r="HZK67" s="627"/>
      <c r="HZM67" s="627"/>
      <c r="HZO67" s="627"/>
      <c r="HZQ67" s="627"/>
      <c r="HZS67" s="627"/>
      <c r="HZU67" s="627"/>
      <c r="HZW67" s="627"/>
      <c r="HZY67" s="627"/>
      <c r="IAA67" s="627"/>
      <c r="IAC67" s="627"/>
      <c r="IAE67" s="627"/>
      <c r="IAG67" s="627"/>
      <c r="IAI67" s="627"/>
      <c r="IAK67" s="627"/>
      <c r="IAM67" s="627"/>
      <c r="IAO67" s="627"/>
      <c r="IAQ67" s="627"/>
      <c r="IAS67" s="627"/>
      <c r="IAU67" s="627"/>
      <c r="IAW67" s="627"/>
      <c r="IAY67" s="627"/>
      <c r="IBA67" s="627"/>
      <c r="IBC67" s="627"/>
      <c r="IBE67" s="627"/>
      <c r="IBG67" s="627"/>
      <c r="IBI67" s="627"/>
      <c r="IBK67" s="627"/>
      <c r="IBM67" s="627"/>
      <c r="IBO67" s="627"/>
      <c r="IBQ67" s="627"/>
      <c r="IBS67" s="627"/>
      <c r="IBU67" s="627"/>
      <c r="IBW67" s="627"/>
      <c r="IBY67" s="627"/>
      <c r="ICA67" s="627"/>
      <c r="ICC67" s="627"/>
      <c r="ICE67" s="627"/>
      <c r="ICG67" s="627"/>
      <c r="ICI67" s="627"/>
      <c r="ICK67" s="627"/>
      <c r="ICM67" s="627"/>
      <c r="ICO67" s="627"/>
      <c r="ICQ67" s="627"/>
      <c r="ICS67" s="627"/>
      <c r="ICU67" s="627"/>
      <c r="ICW67" s="627"/>
      <c r="ICY67" s="627"/>
      <c r="IDA67" s="627"/>
      <c r="IDC67" s="627"/>
      <c r="IDE67" s="627"/>
      <c r="IDG67" s="627"/>
      <c r="IDI67" s="627"/>
      <c r="IDK67" s="627"/>
      <c r="IDM67" s="627"/>
      <c r="IDO67" s="627"/>
      <c r="IDQ67" s="627"/>
      <c r="IDS67" s="627"/>
      <c r="IDU67" s="627"/>
      <c r="IDW67" s="627"/>
      <c r="IDY67" s="627"/>
      <c r="IEA67" s="627"/>
      <c r="IEC67" s="627"/>
      <c r="IEE67" s="627"/>
      <c r="IEG67" s="627"/>
      <c r="IEI67" s="627"/>
      <c r="IEK67" s="627"/>
      <c r="IEM67" s="627"/>
      <c r="IEO67" s="627"/>
      <c r="IEQ67" s="627"/>
      <c r="IES67" s="627"/>
      <c r="IEU67" s="627"/>
      <c r="IEW67" s="627"/>
      <c r="IEY67" s="627"/>
      <c r="IFA67" s="627"/>
      <c r="IFC67" s="627"/>
      <c r="IFE67" s="627"/>
      <c r="IFG67" s="627"/>
      <c r="IFI67" s="627"/>
      <c r="IFK67" s="627"/>
      <c r="IFM67" s="627"/>
      <c r="IFO67" s="627"/>
      <c r="IFQ67" s="627"/>
      <c r="IFS67" s="627"/>
      <c r="IFU67" s="627"/>
      <c r="IFW67" s="627"/>
      <c r="IFY67" s="627"/>
      <c r="IGA67" s="627"/>
      <c r="IGC67" s="627"/>
      <c r="IGE67" s="627"/>
      <c r="IGG67" s="627"/>
      <c r="IGI67" s="627"/>
      <c r="IGK67" s="627"/>
      <c r="IGM67" s="627"/>
      <c r="IGO67" s="627"/>
      <c r="IGQ67" s="627"/>
      <c r="IGS67" s="627"/>
      <c r="IGU67" s="627"/>
      <c r="IGW67" s="627"/>
      <c r="IGY67" s="627"/>
      <c r="IHA67" s="627"/>
      <c r="IHC67" s="627"/>
      <c r="IHE67" s="627"/>
      <c r="IHG67" s="627"/>
      <c r="IHI67" s="627"/>
      <c r="IHK67" s="627"/>
      <c r="IHM67" s="627"/>
      <c r="IHO67" s="627"/>
      <c r="IHQ67" s="627"/>
      <c r="IHS67" s="627"/>
      <c r="IHU67" s="627"/>
      <c r="IHW67" s="627"/>
      <c r="IHY67" s="627"/>
      <c r="IIA67" s="627"/>
      <c r="IIC67" s="627"/>
      <c r="IIE67" s="627"/>
      <c r="IIG67" s="627"/>
      <c r="III67" s="627"/>
      <c r="IIK67" s="627"/>
      <c r="IIM67" s="627"/>
      <c r="IIO67" s="627"/>
      <c r="IIQ67" s="627"/>
      <c r="IIS67" s="627"/>
      <c r="IIU67" s="627"/>
      <c r="IIW67" s="627"/>
      <c r="IIY67" s="627"/>
      <c r="IJA67" s="627"/>
      <c r="IJC67" s="627"/>
      <c r="IJE67" s="627"/>
      <c r="IJG67" s="627"/>
      <c r="IJI67" s="627"/>
      <c r="IJK67" s="627"/>
      <c r="IJM67" s="627"/>
      <c r="IJO67" s="627"/>
      <c r="IJQ67" s="627"/>
      <c r="IJS67" s="627"/>
      <c r="IJU67" s="627"/>
      <c r="IJW67" s="627"/>
      <c r="IJY67" s="627"/>
      <c r="IKA67" s="627"/>
      <c r="IKC67" s="627"/>
      <c r="IKE67" s="627"/>
      <c r="IKG67" s="627"/>
      <c r="IKI67" s="627"/>
      <c r="IKK67" s="627"/>
      <c r="IKM67" s="627"/>
      <c r="IKO67" s="627"/>
      <c r="IKQ67" s="627"/>
      <c r="IKS67" s="627"/>
      <c r="IKU67" s="627"/>
      <c r="IKW67" s="627"/>
      <c r="IKY67" s="627"/>
      <c r="ILA67" s="627"/>
      <c r="ILC67" s="627"/>
      <c r="ILE67" s="627"/>
      <c r="ILG67" s="627"/>
      <c r="ILI67" s="627"/>
      <c r="ILK67" s="627"/>
      <c r="ILM67" s="627"/>
      <c r="ILO67" s="627"/>
      <c r="ILQ67" s="627"/>
      <c r="ILS67" s="627"/>
      <c r="ILU67" s="627"/>
      <c r="ILW67" s="627"/>
      <c r="ILY67" s="627"/>
      <c r="IMA67" s="627"/>
      <c r="IMC67" s="627"/>
      <c r="IME67" s="627"/>
      <c r="IMG67" s="627"/>
      <c r="IMI67" s="627"/>
      <c r="IMK67" s="627"/>
      <c r="IMM67" s="627"/>
      <c r="IMO67" s="627"/>
      <c r="IMQ67" s="627"/>
      <c r="IMS67" s="627"/>
      <c r="IMU67" s="627"/>
      <c r="IMW67" s="627"/>
      <c r="IMY67" s="627"/>
      <c r="INA67" s="627"/>
      <c r="INC67" s="627"/>
      <c r="INE67" s="627"/>
      <c r="ING67" s="627"/>
      <c r="INI67" s="627"/>
      <c r="INK67" s="627"/>
      <c r="INM67" s="627"/>
      <c r="INO67" s="627"/>
      <c r="INQ67" s="627"/>
      <c r="INS67" s="627"/>
      <c r="INU67" s="627"/>
      <c r="INW67" s="627"/>
      <c r="INY67" s="627"/>
      <c r="IOA67" s="627"/>
      <c r="IOC67" s="627"/>
      <c r="IOE67" s="627"/>
      <c r="IOG67" s="627"/>
      <c r="IOI67" s="627"/>
      <c r="IOK67" s="627"/>
      <c r="IOM67" s="627"/>
      <c r="IOO67" s="627"/>
      <c r="IOQ67" s="627"/>
      <c r="IOS67" s="627"/>
      <c r="IOU67" s="627"/>
      <c r="IOW67" s="627"/>
      <c r="IOY67" s="627"/>
      <c r="IPA67" s="627"/>
      <c r="IPC67" s="627"/>
      <c r="IPE67" s="627"/>
      <c r="IPG67" s="627"/>
      <c r="IPI67" s="627"/>
      <c r="IPK67" s="627"/>
      <c r="IPM67" s="627"/>
      <c r="IPO67" s="627"/>
      <c r="IPQ67" s="627"/>
      <c r="IPS67" s="627"/>
      <c r="IPU67" s="627"/>
      <c r="IPW67" s="627"/>
      <c r="IPY67" s="627"/>
      <c r="IQA67" s="627"/>
      <c r="IQC67" s="627"/>
      <c r="IQE67" s="627"/>
      <c r="IQG67" s="627"/>
      <c r="IQI67" s="627"/>
      <c r="IQK67" s="627"/>
      <c r="IQM67" s="627"/>
      <c r="IQO67" s="627"/>
      <c r="IQQ67" s="627"/>
      <c r="IQS67" s="627"/>
      <c r="IQU67" s="627"/>
      <c r="IQW67" s="627"/>
      <c r="IQY67" s="627"/>
      <c r="IRA67" s="627"/>
      <c r="IRC67" s="627"/>
      <c r="IRE67" s="627"/>
      <c r="IRG67" s="627"/>
      <c r="IRI67" s="627"/>
      <c r="IRK67" s="627"/>
      <c r="IRM67" s="627"/>
      <c r="IRO67" s="627"/>
      <c r="IRQ67" s="627"/>
      <c r="IRS67" s="627"/>
      <c r="IRU67" s="627"/>
      <c r="IRW67" s="627"/>
      <c r="IRY67" s="627"/>
      <c r="ISA67" s="627"/>
      <c r="ISC67" s="627"/>
      <c r="ISE67" s="627"/>
      <c r="ISG67" s="627"/>
      <c r="ISI67" s="627"/>
      <c r="ISK67" s="627"/>
      <c r="ISM67" s="627"/>
      <c r="ISO67" s="627"/>
      <c r="ISQ67" s="627"/>
      <c r="ISS67" s="627"/>
      <c r="ISU67" s="627"/>
      <c r="ISW67" s="627"/>
      <c r="ISY67" s="627"/>
      <c r="ITA67" s="627"/>
      <c r="ITC67" s="627"/>
      <c r="ITE67" s="627"/>
      <c r="ITG67" s="627"/>
      <c r="ITI67" s="627"/>
      <c r="ITK67" s="627"/>
      <c r="ITM67" s="627"/>
      <c r="ITO67" s="627"/>
      <c r="ITQ67" s="627"/>
      <c r="ITS67" s="627"/>
      <c r="ITU67" s="627"/>
      <c r="ITW67" s="627"/>
      <c r="ITY67" s="627"/>
      <c r="IUA67" s="627"/>
      <c r="IUC67" s="627"/>
      <c r="IUE67" s="627"/>
      <c r="IUG67" s="627"/>
      <c r="IUI67" s="627"/>
      <c r="IUK67" s="627"/>
      <c r="IUM67" s="627"/>
      <c r="IUO67" s="627"/>
      <c r="IUQ67" s="627"/>
      <c r="IUS67" s="627"/>
      <c r="IUU67" s="627"/>
      <c r="IUW67" s="627"/>
      <c r="IUY67" s="627"/>
      <c r="IVA67" s="627"/>
      <c r="IVC67" s="627"/>
      <c r="IVE67" s="627"/>
      <c r="IVG67" s="627"/>
      <c r="IVI67" s="627"/>
      <c r="IVK67" s="627"/>
      <c r="IVM67" s="627"/>
      <c r="IVO67" s="627"/>
      <c r="IVQ67" s="627"/>
      <c r="IVS67" s="627"/>
      <c r="IVU67" s="627"/>
      <c r="IVW67" s="627"/>
      <c r="IVY67" s="627"/>
      <c r="IWA67" s="627"/>
      <c r="IWC67" s="627"/>
      <c r="IWE67" s="627"/>
      <c r="IWG67" s="627"/>
      <c r="IWI67" s="627"/>
      <c r="IWK67" s="627"/>
      <c r="IWM67" s="627"/>
      <c r="IWO67" s="627"/>
      <c r="IWQ67" s="627"/>
      <c r="IWS67" s="627"/>
      <c r="IWU67" s="627"/>
      <c r="IWW67" s="627"/>
      <c r="IWY67" s="627"/>
      <c r="IXA67" s="627"/>
      <c r="IXC67" s="627"/>
      <c r="IXE67" s="627"/>
      <c r="IXG67" s="627"/>
      <c r="IXI67" s="627"/>
      <c r="IXK67" s="627"/>
      <c r="IXM67" s="627"/>
      <c r="IXO67" s="627"/>
      <c r="IXQ67" s="627"/>
      <c r="IXS67" s="627"/>
      <c r="IXU67" s="627"/>
      <c r="IXW67" s="627"/>
      <c r="IXY67" s="627"/>
      <c r="IYA67" s="627"/>
      <c r="IYC67" s="627"/>
      <c r="IYE67" s="627"/>
      <c r="IYG67" s="627"/>
      <c r="IYI67" s="627"/>
      <c r="IYK67" s="627"/>
      <c r="IYM67" s="627"/>
      <c r="IYO67" s="627"/>
      <c r="IYQ67" s="627"/>
      <c r="IYS67" s="627"/>
      <c r="IYU67" s="627"/>
      <c r="IYW67" s="627"/>
      <c r="IYY67" s="627"/>
      <c r="IZA67" s="627"/>
      <c r="IZC67" s="627"/>
      <c r="IZE67" s="627"/>
      <c r="IZG67" s="627"/>
      <c r="IZI67" s="627"/>
      <c r="IZK67" s="627"/>
      <c r="IZM67" s="627"/>
      <c r="IZO67" s="627"/>
      <c r="IZQ67" s="627"/>
      <c r="IZS67" s="627"/>
      <c r="IZU67" s="627"/>
      <c r="IZW67" s="627"/>
      <c r="IZY67" s="627"/>
      <c r="JAA67" s="627"/>
      <c r="JAC67" s="627"/>
      <c r="JAE67" s="627"/>
      <c r="JAG67" s="627"/>
      <c r="JAI67" s="627"/>
      <c r="JAK67" s="627"/>
      <c r="JAM67" s="627"/>
      <c r="JAO67" s="627"/>
      <c r="JAQ67" s="627"/>
      <c r="JAS67" s="627"/>
      <c r="JAU67" s="627"/>
      <c r="JAW67" s="627"/>
      <c r="JAY67" s="627"/>
      <c r="JBA67" s="627"/>
      <c r="JBC67" s="627"/>
      <c r="JBE67" s="627"/>
      <c r="JBG67" s="627"/>
      <c r="JBI67" s="627"/>
      <c r="JBK67" s="627"/>
      <c r="JBM67" s="627"/>
      <c r="JBO67" s="627"/>
      <c r="JBQ67" s="627"/>
      <c r="JBS67" s="627"/>
      <c r="JBU67" s="627"/>
      <c r="JBW67" s="627"/>
      <c r="JBY67" s="627"/>
      <c r="JCA67" s="627"/>
      <c r="JCC67" s="627"/>
      <c r="JCE67" s="627"/>
      <c r="JCG67" s="627"/>
      <c r="JCI67" s="627"/>
      <c r="JCK67" s="627"/>
      <c r="JCM67" s="627"/>
      <c r="JCO67" s="627"/>
      <c r="JCQ67" s="627"/>
      <c r="JCS67" s="627"/>
      <c r="JCU67" s="627"/>
      <c r="JCW67" s="627"/>
      <c r="JCY67" s="627"/>
      <c r="JDA67" s="627"/>
      <c r="JDC67" s="627"/>
      <c r="JDE67" s="627"/>
      <c r="JDG67" s="627"/>
      <c r="JDI67" s="627"/>
      <c r="JDK67" s="627"/>
      <c r="JDM67" s="627"/>
      <c r="JDO67" s="627"/>
      <c r="JDQ67" s="627"/>
      <c r="JDS67" s="627"/>
      <c r="JDU67" s="627"/>
      <c r="JDW67" s="627"/>
      <c r="JDY67" s="627"/>
      <c r="JEA67" s="627"/>
      <c r="JEC67" s="627"/>
      <c r="JEE67" s="627"/>
      <c r="JEG67" s="627"/>
      <c r="JEI67" s="627"/>
      <c r="JEK67" s="627"/>
      <c r="JEM67" s="627"/>
      <c r="JEO67" s="627"/>
      <c r="JEQ67" s="627"/>
      <c r="JES67" s="627"/>
      <c r="JEU67" s="627"/>
      <c r="JEW67" s="627"/>
      <c r="JEY67" s="627"/>
      <c r="JFA67" s="627"/>
      <c r="JFC67" s="627"/>
      <c r="JFE67" s="627"/>
      <c r="JFG67" s="627"/>
      <c r="JFI67" s="627"/>
      <c r="JFK67" s="627"/>
      <c r="JFM67" s="627"/>
      <c r="JFO67" s="627"/>
      <c r="JFQ67" s="627"/>
      <c r="JFS67" s="627"/>
      <c r="JFU67" s="627"/>
      <c r="JFW67" s="627"/>
      <c r="JFY67" s="627"/>
      <c r="JGA67" s="627"/>
      <c r="JGC67" s="627"/>
      <c r="JGE67" s="627"/>
      <c r="JGG67" s="627"/>
      <c r="JGI67" s="627"/>
      <c r="JGK67" s="627"/>
      <c r="JGM67" s="627"/>
      <c r="JGO67" s="627"/>
      <c r="JGQ67" s="627"/>
      <c r="JGS67" s="627"/>
      <c r="JGU67" s="627"/>
      <c r="JGW67" s="627"/>
      <c r="JGY67" s="627"/>
      <c r="JHA67" s="627"/>
      <c r="JHC67" s="627"/>
      <c r="JHE67" s="627"/>
      <c r="JHG67" s="627"/>
      <c r="JHI67" s="627"/>
      <c r="JHK67" s="627"/>
      <c r="JHM67" s="627"/>
      <c r="JHO67" s="627"/>
      <c r="JHQ67" s="627"/>
      <c r="JHS67" s="627"/>
      <c r="JHU67" s="627"/>
      <c r="JHW67" s="627"/>
      <c r="JHY67" s="627"/>
      <c r="JIA67" s="627"/>
      <c r="JIC67" s="627"/>
      <c r="JIE67" s="627"/>
      <c r="JIG67" s="627"/>
      <c r="JII67" s="627"/>
      <c r="JIK67" s="627"/>
      <c r="JIM67" s="627"/>
      <c r="JIO67" s="627"/>
      <c r="JIQ67" s="627"/>
      <c r="JIS67" s="627"/>
      <c r="JIU67" s="627"/>
      <c r="JIW67" s="627"/>
      <c r="JIY67" s="627"/>
      <c r="JJA67" s="627"/>
      <c r="JJC67" s="627"/>
      <c r="JJE67" s="627"/>
      <c r="JJG67" s="627"/>
      <c r="JJI67" s="627"/>
      <c r="JJK67" s="627"/>
      <c r="JJM67" s="627"/>
      <c r="JJO67" s="627"/>
      <c r="JJQ67" s="627"/>
      <c r="JJS67" s="627"/>
      <c r="JJU67" s="627"/>
      <c r="JJW67" s="627"/>
      <c r="JJY67" s="627"/>
      <c r="JKA67" s="627"/>
      <c r="JKC67" s="627"/>
      <c r="JKE67" s="627"/>
      <c r="JKG67" s="627"/>
      <c r="JKI67" s="627"/>
      <c r="JKK67" s="627"/>
      <c r="JKM67" s="627"/>
      <c r="JKO67" s="627"/>
      <c r="JKQ67" s="627"/>
      <c r="JKS67" s="627"/>
      <c r="JKU67" s="627"/>
      <c r="JKW67" s="627"/>
      <c r="JKY67" s="627"/>
      <c r="JLA67" s="627"/>
      <c r="JLC67" s="627"/>
      <c r="JLE67" s="627"/>
      <c r="JLG67" s="627"/>
      <c r="JLI67" s="627"/>
      <c r="JLK67" s="627"/>
      <c r="JLM67" s="627"/>
      <c r="JLO67" s="627"/>
      <c r="JLQ67" s="627"/>
      <c r="JLS67" s="627"/>
      <c r="JLU67" s="627"/>
      <c r="JLW67" s="627"/>
      <c r="JLY67" s="627"/>
      <c r="JMA67" s="627"/>
      <c r="JMC67" s="627"/>
      <c r="JME67" s="627"/>
      <c r="JMG67" s="627"/>
      <c r="JMI67" s="627"/>
      <c r="JMK67" s="627"/>
      <c r="JMM67" s="627"/>
      <c r="JMO67" s="627"/>
      <c r="JMQ67" s="627"/>
      <c r="JMS67" s="627"/>
      <c r="JMU67" s="627"/>
      <c r="JMW67" s="627"/>
      <c r="JMY67" s="627"/>
      <c r="JNA67" s="627"/>
      <c r="JNC67" s="627"/>
      <c r="JNE67" s="627"/>
      <c r="JNG67" s="627"/>
      <c r="JNI67" s="627"/>
      <c r="JNK67" s="627"/>
      <c r="JNM67" s="627"/>
      <c r="JNO67" s="627"/>
      <c r="JNQ67" s="627"/>
      <c r="JNS67" s="627"/>
      <c r="JNU67" s="627"/>
      <c r="JNW67" s="627"/>
      <c r="JNY67" s="627"/>
      <c r="JOA67" s="627"/>
      <c r="JOC67" s="627"/>
      <c r="JOE67" s="627"/>
      <c r="JOG67" s="627"/>
      <c r="JOI67" s="627"/>
      <c r="JOK67" s="627"/>
      <c r="JOM67" s="627"/>
      <c r="JOO67" s="627"/>
      <c r="JOQ67" s="627"/>
      <c r="JOS67" s="627"/>
      <c r="JOU67" s="627"/>
      <c r="JOW67" s="627"/>
      <c r="JOY67" s="627"/>
      <c r="JPA67" s="627"/>
      <c r="JPC67" s="627"/>
      <c r="JPE67" s="627"/>
      <c r="JPG67" s="627"/>
      <c r="JPI67" s="627"/>
      <c r="JPK67" s="627"/>
      <c r="JPM67" s="627"/>
      <c r="JPO67" s="627"/>
      <c r="JPQ67" s="627"/>
      <c r="JPS67" s="627"/>
      <c r="JPU67" s="627"/>
      <c r="JPW67" s="627"/>
      <c r="JPY67" s="627"/>
      <c r="JQA67" s="627"/>
      <c r="JQC67" s="627"/>
      <c r="JQE67" s="627"/>
      <c r="JQG67" s="627"/>
      <c r="JQI67" s="627"/>
      <c r="JQK67" s="627"/>
      <c r="JQM67" s="627"/>
      <c r="JQO67" s="627"/>
      <c r="JQQ67" s="627"/>
      <c r="JQS67" s="627"/>
      <c r="JQU67" s="627"/>
      <c r="JQW67" s="627"/>
      <c r="JQY67" s="627"/>
      <c r="JRA67" s="627"/>
      <c r="JRC67" s="627"/>
      <c r="JRE67" s="627"/>
      <c r="JRG67" s="627"/>
      <c r="JRI67" s="627"/>
      <c r="JRK67" s="627"/>
      <c r="JRM67" s="627"/>
      <c r="JRO67" s="627"/>
      <c r="JRQ67" s="627"/>
      <c r="JRS67" s="627"/>
      <c r="JRU67" s="627"/>
      <c r="JRW67" s="627"/>
      <c r="JRY67" s="627"/>
      <c r="JSA67" s="627"/>
      <c r="JSC67" s="627"/>
      <c r="JSE67" s="627"/>
      <c r="JSG67" s="627"/>
      <c r="JSI67" s="627"/>
      <c r="JSK67" s="627"/>
      <c r="JSM67" s="627"/>
      <c r="JSO67" s="627"/>
      <c r="JSQ67" s="627"/>
      <c r="JSS67" s="627"/>
      <c r="JSU67" s="627"/>
      <c r="JSW67" s="627"/>
      <c r="JSY67" s="627"/>
      <c r="JTA67" s="627"/>
      <c r="JTC67" s="627"/>
      <c r="JTE67" s="627"/>
      <c r="JTG67" s="627"/>
      <c r="JTI67" s="627"/>
      <c r="JTK67" s="627"/>
      <c r="JTM67" s="627"/>
      <c r="JTO67" s="627"/>
      <c r="JTQ67" s="627"/>
      <c r="JTS67" s="627"/>
      <c r="JTU67" s="627"/>
      <c r="JTW67" s="627"/>
      <c r="JTY67" s="627"/>
      <c r="JUA67" s="627"/>
      <c r="JUC67" s="627"/>
      <c r="JUE67" s="627"/>
      <c r="JUG67" s="627"/>
      <c r="JUI67" s="627"/>
      <c r="JUK67" s="627"/>
      <c r="JUM67" s="627"/>
      <c r="JUO67" s="627"/>
      <c r="JUQ67" s="627"/>
      <c r="JUS67" s="627"/>
      <c r="JUU67" s="627"/>
      <c r="JUW67" s="627"/>
      <c r="JUY67" s="627"/>
      <c r="JVA67" s="627"/>
      <c r="JVC67" s="627"/>
      <c r="JVE67" s="627"/>
      <c r="JVG67" s="627"/>
      <c r="JVI67" s="627"/>
      <c r="JVK67" s="627"/>
      <c r="JVM67" s="627"/>
      <c r="JVO67" s="627"/>
      <c r="JVQ67" s="627"/>
      <c r="JVS67" s="627"/>
      <c r="JVU67" s="627"/>
      <c r="JVW67" s="627"/>
      <c r="JVY67" s="627"/>
      <c r="JWA67" s="627"/>
      <c r="JWC67" s="627"/>
      <c r="JWE67" s="627"/>
      <c r="JWG67" s="627"/>
      <c r="JWI67" s="627"/>
      <c r="JWK67" s="627"/>
      <c r="JWM67" s="627"/>
      <c r="JWO67" s="627"/>
      <c r="JWQ67" s="627"/>
      <c r="JWS67" s="627"/>
      <c r="JWU67" s="627"/>
      <c r="JWW67" s="627"/>
      <c r="JWY67" s="627"/>
      <c r="JXA67" s="627"/>
      <c r="JXC67" s="627"/>
      <c r="JXE67" s="627"/>
      <c r="JXG67" s="627"/>
      <c r="JXI67" s="627"/>
      <c r="JXK67" s="627"/>
      <c r="JXM67" s="627"/>
      <c r="JXO67" s="627"/>
      <c r="JXQ67" s="627"/>
      <c r="JXS67" s="627"/>
      <c r="JXU67" s="627"/>
      <c r="JXW67" s="627"/>
      <c r="JXY67" s="627"/>
      <c r="JYA67" s="627"/>
      <c r="JYC67" s="627"/>
      <c r="JYE67" s="627"/>
      <c r="JYG67" s="627"/>
      <c r="JYI67" s="627"/>
      <c r="JYK67" s="627"/>
      <c r="JYM67" s="627"/>
      <c r="JYO67" s="627"/>
      <c r="JYQ67" s="627"/>
      <c r="JYS67" s="627"/>
      <c r="JYU67" s="627"/>
      <c r="JYW67" s="627"/>
      <c r="JYY67" s="627"/>
      <c r="JZA67" s="627"/>
      <c r="JZC67" s="627"/>
      <c r="JZE67" s="627"/>
      <c r="JZG67" s="627"/>
      <c r="JZI67" s="627"/>
      <c r="JZK67" s="627"/>
      <c r="JZM67" s="627"/>
      <c r="JZO67" s="627"/>
      <c r="JZQ67" s="627"/>
      <c r="JZS67" s="627"/>
      <c r="JZU67" s="627"/>
      <c r="JZW67" s="627"/>
      <c r="JZY67" s="627"/>
      <c r="KAA67" s="627"/>
      <c r="KAC67" s="627"/>
      <c r="KAE67" s="627"/>
      <c r="KAG67" s="627"/>
      <c r="KAI67" s="627"/>
      <c r="KAK67" s="627"/>
      <c r="KAM67" s="627"/>
      <c r="KAO67" s="627"/>
      <c r="KAQ67" s="627"/>
      <c r="KAS67" s="627"/>
      <c r="KAU67" s="627"/>
      <c r="KAW67" s="627"/>
      <c r="KAY67" s="627"/>
      <c r="KBA67" s="627"/>
      <c r="KBC67" s="627"/>
      <c r="KBE67" s="627"/>
      <c r="KBG67" s="627"/>
      <c r="KBI67" s="627"/>
      <c r="KBK67" s="627"/>
      <c r="KBM67" s="627"/>
      <c r="KBO67" s="627"/>
      <c r="KBQ67" s="627"/>
      <c r="KBS67" s="627"/>
      <c r="KBU67" s="627"/>
      <c r="KBW67" s="627"/>
      <c r="KBY67" s="627"/>
      <c r="KCA67" s="627"/>
      <c r="KCC67" s="627"/>
      <c r="KCE67" s="627"/>
      <c r="KCG67" s="627"/>
      <c r="KCI67" s="627"/>
      <c r="KCK67" s="627"/>
      <c r="KCM67" s="627"/>
      <c r="KCO67" s="627"/>
      <c r="KCQ67" s="627"/>
      <c r="KCS67" s="627"/>
      <c r="KCU67" s="627"/>
      <c r="KCW67" s="627"/>
      <c r="KCY67" s="627"/>
      <c r="KDA67" s="627"/>
      <c r="KDC67" s="627"/>
      <c r="KDE67" s="627"/>
      <c r="KDG67" s="627"/>
      <c r="KDI67" s="627"/>
      <c r="KDK67" s="627"/>
      <c r="KDM67" s="627"/>
      <c r="KDO67" s="627"/>
      <c r="KDQ67" s="627"/>
      <c r="KDS67" s="627"/>
      <c r="KDU67" s="627"/>
      <c r="KDW67" s="627"/>
      <c r="KDY67" s="627"/>
      <c r="KEA67" s="627"/>
      <c r="KEC67" s="627"/>
      <c r="KEE67" s="627"/>
      <c r="KEG67" s="627"/>
      <c r="KEI67" s="627"/>
      <c r="KEK67" s="627"/>
      <c r="KEM67" s="627"/>
      <c r="KEO67" s="627"/>
      <c r="KEQ67" s="627"/>
      <c r="KES67" s="627"/>
      <c r="KEU67" s="627"/>
      <c r="KEW67" s="627"/>
      <c r="KEY67" s="627"/>
      <c r="KFA67" s="627"/>
      <c r="KFC67" s="627"/>
      <c r="KFE67" s="627"/>
      <c r="KFG67" s="627"/>
      <c r="KFI67" s="627"/>
      <c r="KFK67" s="627"/>
      <c r="KFM67" s="627"/>
      <c r="KFO67" s="627"/>
      <c r="KFQ67" s="627"/>
      <c r="KFS67" s="627"/>
      <c r="KFU67" s="627"/>
      <c r="KFW67" s="627"/>
      <c r="KFY67" s="627"/>
      <c r="KGA67" s="627"/>
      <c r="KGC67" s="627"/>
      <c r="KGE67" s="627"/>
      <c r="KGG67" s="627"/>
      <c r="KGI67" s="627"/>
      <c r="KGK67" s="627"/>
      <c r="KGM67" s="627"/>
      <c r="KGO67" s="627"/>
      <c r="KGQ67" s="627"/>
      <c r="KGS67" s="627"/>
      <c r="KGU67" s="627"/>
      <c r="KGW67" s="627"/>
      <c r="KGY67" s="627"/>
      <c r="KHA67" s="627"/>
      <c r="KHC67" s="627"/>
      <c r="KHE67" s="627"/>
      <c r="KHG67" s="627"/>
      <c r="KHI67" s="627"/>
      <c r="KHK67" s="627"/>
      <c r="KHM67" s="627"/>
      <c r="KHO67" s="627"/>
      <c r="KHQ67" s="627"/>
      <c r="KHS67" s="627"/>
      <c r="KHU67" s="627"/>
      <c r="KHW67" s="627"/>
      <c r="KHY67" s="627"/>
      <c r="KIA67" s="627"/>
      <c r="KIC67" s="627"/>
      <c r="KIE67" s="627"/>
      <c r="KIG67" s="627"/>
      <c r="KII67" s="627"/>
      <c r="KIK67" s="627"/>
      <c r="KIM67" s="627"/>
      <c r="KIO67" s="627"/>
      <c r="KIQ67" s="627"/>
      <c r="KIS67" s="627"/>
      <c r="KIU67" s="627"/>
      <c r="KIW67" s="627"/>
      <c r="KIY67" s="627"/>
      <c r="KJA67" s="627"/>
      <c r="KJC67" s="627"/>
      <c r="KJE67" s="627"/>
      <c r="KJG67" s="627"/>
      <c r="KJI67" s="627"/>
      <c r="KJK67" s="627"/>
      <c r="KJM67" s="627"/>
      <c r="KJO67" s="627"/>
      <c r="KJQ67" s="627"/>
      <c r="KJS67" s="627"/>
      <c r="KJU67" s="627"/>
      <c r="KJW67" s="627"/>
      <c r="KJY67" s="627"/>
      <c r="KKA67" s="627"/>
      <c r="KKC67" s="627"/>
      <c r="KKE67" s="627"/>
      <c r="KKG67" s="627"/>
      <c r="KKI67" s="627"/>
      <c r="KKK67" s="627"/>
      <c r="KKM67" s="627"/>
      <c r="KKO67" s="627"/>
      <c r="KKQ67" s="627"/>
      <c r="KKS67" s="627"/>
      <c r="KKU67" s="627"/>
      <c r="KKW67" s="627"/>
      <c r="KKY67" s="627"/>
      <c r="KLA67" s="627"/>
      <c r="KLC67" s="627"/>
      <c r="KLE67" s="627"/>
      <c r="KLG67" s="627"/>
      <c r="KLI67" s="627"/>
      <c r="KLK67" s="627"/>
      <c r="KLM67" s="627"/>
      <c r="KLO67" s="627"/>
      <c r="KLQ67" s="627"/>
      <c r="KLS67" s="627"/>
      <c r="KLU67" s="627"/>
      <c r="KLW67" s="627"/>
      <c r="KLY67" s="627"/>
      <c r="KMA67" s="627"/>
      <c r="KMC67" s="627"/>
      <c r="KME67" s="627"/>
      <c r="KMG67" s="627"/>
      <c r="KMI67" s="627"/>
      <c r="KMK67" s="627"/>
      <c r="KMM67" s="627"/>
      <c r="KMO67" s="627"/>
      <c r="KMQ67" s="627"/>
      <c r="KMS67" s="627"/>
      <c r="KMU67" s="627"/>
      <c r="KMW67" s="627"/>
      <c r="KMY67" s="627"/>
      <c r="KNA67" s="627"/>
      <c r="KNC67" s="627"/>
      <c r="KNE67" s="627"/>
      <c r="KNG67" s="627"/>
      <c r="KNI67" s="627"/>
      <c r="KNK67" s="627"/>
      <c r="KNM67" s="627"/>
      <c r="KNO67" s="627"/>
      <c r="KNQ67" s="627"/>
      <c r="KNS67" s="627"/>
      <c r="KNU67" s="627"/>
      <c r="KNW67" s="627"/>
      <c r="KNY67" s="627"/>
      <c r="KOA67" s="627"/>
      <c r="KOC67" s="627"/>
      <c r="KOE67" s="627"/>
      <c r="KOG67" s="627"/>
      <c r="KOI67" s="627"/>
      <c r="KOK67" s="627"/>
      <c r="KOM67" s="627"/>
      <c r="KOO67" s="627"/>
      <c r="KOQ67" s="627"/>
      <c r="KOS67" s="627"/>
      <c r="KOU67" s="627"/>
      <c r="KOW67" s="627"/>
      <c r="KOY67" s="627"/>
      <c r="KPA67" s="627"/>
      <c r="KPC67" s="627"/>
      <c r="KPE67" s="627"/>
      <c r="KPG67" s="627"/>
      <c r="KPI67" s="627"/>
      <c r="KPK67" s="627"/>
      <c r="KPM67" s="627"/>
      <c r="KPO67" s="627"/>
      <c r="KPQ67" s="627"/>
      <c r="KPS67" s="627"/>
      <c r="KPU67" s="627"/>
      <c r="KPW67" s="627"/>
      <c r="KPY67" s="627"/>
      <c r="KQA67" s="627"/>
      <c r="KQC67" s="627"/>
      <c r="KQE67" s="627"/>
      <c r="KQG67" s="627"/>
      <c r="KQI67" s="627"/>
      <c r="KQK67" s="627"/>
      <c r="KQM67" s="627"/>
      <c r="KQO67" s="627"/>
      <c r="KQQ67" s="627"/>
      <c r="KQS67" s="627"/>
      <c r="KQU67" s="627"/>
      <c r="KQW67" s="627"/>
      <c r="KQY67" s="627"/>
      <c r="KRA67" s="627"/>
      <c r="KRC67" s="627"/>
      <c r="KRE67" s="627"/>
      <c r="KRG67" s="627"/>
      <c r="KRI67" s="627"/>
      <c r="KRK67" s="627"/>
      <c r="KRM67" s="627"/>
      <c r="KRO67" s="627"/>
      <c r="KRQ67" s="627"/>
      <c r="KRS67" s="627"/>
      <c r="KRU67" s="627"/>
      <c r="KRW67" s="627"/>
      <c r="KRY67" s="627"/>
      <c r="KSA67" s="627"/>
      <c r="KSC67" s="627"/>
      <c r="KSE67" s="627"/>
      <c r="KSG67" s="627"/>
      <c r="KSI67" s="627"/>
      <c r="KSK67" s="627"/>
      <c r="KSM67" s="627"/>
      <c r="KSO67" s="627"/>
      <c r="KSQ67" s="627"/>
      <c r="KSS67" s="627"/>
      <c r="KSU67" s="627"/>
      <c r="KSW67" s="627"/>
      <c r="KSY67" s="627"/>
      <c r="KTA67" s="627"/>
      <c r="KTC67" s="627"/>
      <c r="KTE67" s="627"/>
      <c r="KTG67" s="627"/>
      <c r="KTI67" s="627"/>
      <c r="KTK67" s="627"/>
      <c r="KTM67" s="627"/>
      <c r="KTO67" s="627"/>
      <c r="KTQ67" s="627"/>
      <c r="KTS67" s="627"/>
      <c r="KTU67" s="627"/>
      <c r="KTW67" s="627"/>
      <c r="KTY67" s="627"/>
      <c r="KUA67" s="627"/>
      <c r="KUC67" s="627"/>
      <c r="KUE67" s="627"/>
      <c r="KUG67" s="627"/>
      <c r="KUI67" s="627"/>
      <c r="KUK67" s="627"/>
      <c r="KUM67" s="627"/>
      <c r="KUO67" s="627"/>
      <c r="KUQ67" s="627"/>
      <c r="KUS67" s="627"/>
      <c r="KUU67" s="627"/>
      <c r="KUW67" s="627"/>
      <c r="KUY67" s="627"/>
      <c r="KVA67" s="627"/>
      <c r="KVC67" s="627"/>
      <c r="KVE67" s="627"/>
      <c r="KVG67" s="627"/>
      <c r="KVI67" s="627"/>
      <c r="KVK67" s="627"/>
      <c r="KVM67" s="627"/>
      <c r="KVO67" s="627"/>
      <c r="KVQ67" s="627"/>
      <c r="KVS67" s="627"/>
      <c r="KVU67" s="627"/>
      <c r="KVW67" s="627"/>
      <c r="KVY67" s="627"/>
      <c r="KWA67" s="627"/>
      <c r="KWC67" s="627"/>
      <c r="KWE67" s="627"/>
      <c r="KWG67" s="627"/>
      <c r="KWI67" s="627"/>
      <c r="KWK67" s="627"/>
      <c r="KWM67" s="627"/>
      <c r="KWO67" s="627"/>
      <c r="KWQ67" s="627"/>
      <c r="KWS67" s="627"/>
      <c r="KWU67" s="627"/>
      <c r="KWW67" s="627"/>
      <c r="KWY67" s="627"/>
      <c r="KXA67" s="627"/>
      <c r="KXC67" s="627"/>
      <c r="KXE67" s="627"/>
      <c r="KXG67" s="627"/>
      <c r="KXI67" s="627"/>
      <c r="KXK67" s="627"/>
      <c r="KXM67" s="627"/>
      <c r="KXO67" s="627"/>
      <c r="KXQ67" s="627"/>
      <c r="KXS67" s="627"/>
      <c r="KXU67" s="627"/>
      <c r="KXW67" s="627"/>
      <c r="KXY67" s="627"/>
      <c r="KYA67" s="627"/>
      <c r="KYC67" s="627"/>
      <c r="KYE67" s="627"/>
      <c r="KYG67" s="627"/>
      <c r="KYI67" s="627"/>
      <c r="KYK67" s="627"/>
      <c r="KYM67" s="627"/>
      <c r="KYO67" s="627"/>
      <c r="KYQ67" s="627"/>
      <c r="KYS67" s="627"/>
      <c r="KYU67" s="627"/>
      <c r="KYW67" s="627"/>
      <c r="KYY67" s="627"/>
      <c r="KZA67" s="627"/>
      <c r="KZC67" s="627"/>
      <c r="KZE67" s="627"/>
      <c r="KZG67" s="627"/>
      <c r="KZI67" s="627"/>
      <c r="KZK67" s="627"/>
      <c r="KZM67" s="627"/>
      <c r="KZO67" s="627"/>
      <c r="KZQ67" s="627"/>
      <c r="KZS67" s="627"/>
      <c r="KZU67" s="627"/>
      <c r="KZW67" s="627"/>
      <c r="KZY67" s="627"/>
      <c r="LAA67" s="627"/>
      <c r="LAC67" s="627"/>
      <c r="LAE67" s="627"/>
      <c r="LAG67" s="627"/>
      <c r="LAI67" s="627"/>
      <c r="LAK67" s="627"/>
      <c r="LAM67" s="627"/>
      <c r="LAO67" s="627"/>
      <c r="LAQ67" s="627"/>
      <c r="LAS67" s="627"/>
      <c r="LAU67" s="627"/>
      <c r="LAW67" s="627"/>
      <c r="LAY67" s="627"/>
      <c r="LBA67" s="627"/>
      <c r="LBC67" s="627"/>
      <c r="LBE67" s="627"/>
      <c r="LBG67" s="627"/>
      <c r="LBI67" s="627"/>
      <c r="LBK67" s="627"/>
      <c r="LBM67" s="627"/>
      <c r="LBO67" s="627"/>
      <c r="LBQ67" s="627"/>
      <c r="LBS67" s="627"/>
      <c r="LBU67" s="627"/>
      <c r="LBW67" s="627"/>
      <c r="LBY67" s="627"/>
      <c r="LCA67" s="627"/>
      <c r="LCC67" s="627"/>
      <c r="LCE67" s="627"/>
      <c r="LCG67" s="627"/>
      <c r="LCI67" s="627"/>
      <c r="LCK67" s="627"/>
      <c r="LCM67" s="627"/>
      <c r="LCO67" s="627"/>
      <c r="LCQ67" s="627"/>
      <c r="LCS67" s="627"/>
      <c r="LCU67" s="627"/>
      <c r="LCW67" s="627"/>
      <c r="LCY67" s="627"/>
      <c r="LDA67" s="627"/>
      <c r="LDC67" s="627"/>
      <c r="LDE67" s="627"/>
      <c r="LDG67" s="627"/>
      <c r="LDI67" s="627"/>
      <c r="LDK67" s="627"/>
      <c r="LDM67" s="627"/>
      <c r="LDO67" s="627"/>
      <c r="LDQ67" s="627"/>
      <c r="LDS67" s="627"/>
      <c r="LDU67" s="627"/>
      <c r="LDW67" s="627"/>
      <c r="LDY67" s="627"/>
      <c r="LEA67" s="627"/>
      <c r="LEC67" s="627"/>
      <c r="LEE67" s="627"/>
      <c r="LEG67" s="627"/>
      <c r="LEI67" s="627"/>
      <c r="LEK67" s="627"/>
      <c r="LEM67" s="627"/>
      <c r="LEO67" s="627"/>
      <c r="LEQ67" s="627"/>
      <c r="LES67" s="627"/>
      <c r="LEU67" s="627"/>
      <c r="LEW67" s="627"/>
      <c r="LEY67" s="627"/>
      <c r="LFA67" s="627"/>
      <c r="LFC67" s="627"/>
      <c r="LFE67" s="627"/>
      <c r="LFG67" s="627"/>
      <c r="LFI67" s="627"/>
      <c r="LFK67" s="627"/>
      <c r="LFM67" s="627"/>
      <c r="LFO67" s="627"/>
      <c r="LFQ67" s="627"/>
      <c r="LFS67" s="627"/>
      <c r="LFU67" s="627"/>
      <c r="LFW67" s="627"/>
      <c r="LFY67" s="627"/>
      <c r="LGA67" s="627"/>
      <c r="LGC67" s="627"/>
      <c r="LGE67" s="627"/>
      <c r="LGG67" s="627"/>
      <c r="LGI67" s="627"/>
      <c r="LGK67" s="627"/>
      <c r="LGM67" s="627"/>
      <c r="LGO67" s="627"/>
      <c r="LGQ67" s="627"/>
      <c r="LGS67" s="627"/>
      <c r="LGU67" s="627"/>
      <c r="LGW67" s="627"/>
      <c r="LGY67" s="627"/>
      <c r="LHA67" s="627"/>
      <c r="LHC67" s="627"/>
      <c r="LHE67" s="627"/>
      <c r="LHG67" s="627"/>
      <c r="LHI67" s="627"/>
      <c r="LHK67" s="627"/>
      <c r="LHM67" s="627"/>
      <c r="LHO67" s="627"/>
      <c r="LHQ67" s="627"/>
      <c r="LHS67" s="627"/>
      <c r="LHU67" s="627"/>
      <c r="LHW67" s="627"/>
      <c r="LHY67" s="627"/>
      <c r="LIA67" s="627"/>
      <c r="LIC67" s="627"/>
      <c r="LIE67" s="627"/>
      <c r="LIG67" s="627"/>
      <c r="LII67" s="627"/>
      <c r="LIK67" s="627"/>
      <c r="LIM67" s="627"/>
      <c r="LIO67" s="627"/>
      <c r="LIQ67" s="627"/>
      <c r="LIS67" s="627"/>
      <c r="LIU67" s="627"/>
      <c r="LIW67" s="627"/>
      <c r="LIY67" s="627"/>
      <c r="LJA67" s="627"/>
      <c r="LJC67" s="627"/>
      <c r="LJE67" s="627"/>
      <c r="LJG67" s="627"/>
      <c r="LJI67" s="627"/>
      <c r="LJK67" s="627"/>
      <c r="LJM67" s="627"/>
      <c r="LJO67" s="627"/>
      <c r="LJQ67" s="627"/>
      <c r="LJS67" s="627"/>
      <c r="LJU67" s="627"/>
      <c r="LJW67" s="627"/>
      <c r="LJY67" s="627"/>
      <c r="LKA67" s="627"/>
      <c r="LKC67" s="627"/>
      <c r="LKE67" s="627"/>
      <c r="LKG67" s="627"/>
      <c r="LKI67" s="627"/>
      <c r="LKK67" s="627"/>
      <c r="LKM67" s="627"/>
      <c r="LKO67" s="627"/>
      <c r="LKQ67" s="627"/>
      <c r="LKS67" s="627"/>
      <c r="LKU67" s="627"/>
      <c r="LKW67" s="627"/>
      <c r="LKY67" s="627"/>
      <c r="LLA67" s="627"/>
      <c r="LLC67" s="627"/>
      <c r="LLE67" s="627"/>
      <c r="LLG67" s="627"/>
      <c r="LLI67" s="627"/>
      <c r="LLK67" s="627"/>
      <c r="LLM67" s="627"/>
      <c r="LLO67" s="627"/>
      <c r="LLQ67" s="627"/>
      <c r="LLS67" s="627"/>
      <c r="LLU67" s="627"/>
      <c r="LLW67" s="627"/>
      <c r="LLY67" s="627"/>
      <c r="LMA67" s="627"/>
      <c r="LMC67" s="627"/>
      <c r="LME67" s="627"/>
      <c r="LMG67" s="627"/>
      <c r="LMI67" s="627"/>
      <c r="LMK67" s="627"/>
      <c r="LMM67" s="627"/>
      <c r="LMO67" s="627"/>
      <c r="LMQ67" s="627"/>
      <c r="LMS67" s="627"/>
      <c r="LMU67" s="627"/>
      <c r="LMW67" s="627"/>
      <c r="LMY67" s="627"/>
      <c r="LNA67" s="627"/>
      <c r="LNC67" s="627"/>
      <c r="LNE67" s="627"/>
      <c r="LNG67" s="627"/>
      <c r="LNI67" s="627"/>
      <c r="LNK67" s="627"/>
      <c r="LNM67" s="627"/>
      <c r="LNO67" s="627"/>
      <c r="LNQ67" s="627"/>
      <c r="LNS67" s="627"/>
      <c r="LNU67" s="627"/>
      <c r="LNW67" s="627"/>
      <c r="LNY67" s="627"/>
      <c r="LOA67" s="627"/>
      <c r="LOC67" s="627"/>
      <c r="LOE67" s="627"/>
      <c r="LOG67" s="627"/>
      <c r="LOI67" s="627"/>
      <c r="LOK67" s="627"/>
      <c r="LOM67" s="627"/>
      <c r="LOO67" s="627"/>
      <c r="LOQ67" s="627"/>
      <c r="LOS67" s="627"/>
      <c r="LOU67" s="627"/>
      <c r="LOW67" s="627"/>
      <c r="LOY67" s="627"/>
      <c r="LPA67" s="627"/>
      <c r="LPC67" s="627"/>
      <c r="LPE67" s="627"/>
      <c r="LPG67" s="627"/>
      <c r="LPI67" s="627"/>
      <c r="LPK67" s="627"/>
      <c r="LPM67" s="627"/>
      <c r="LPO67" s="627"/>
      <c r="LPQ67" s="627"/>
      <c r="LPS67" s="627"/>
      <c r="LPU67" s="627"/>
      <c r="LPW67" s="627"/>
      <c r="LPY67" s="627"/>
      <c r="LQA67" s="627"/>
      <c r="LQC67" s="627"/>
      <c r="LQE67" s="627"/>
      <c r="LQG67" s="627"/>
      <c r="LQI67" s="627"/>
      <c r="LQK67" s="627"/>
      <c r="LQM67" s="627"/>
      <c r="LQO67" s="627"/>
      <c r="LQQ67" s="627"/>
      <c r="LQS67" s="627"/>
      <c r="LQU67" s="627"/>
      <c r="LQW67" s="627"/>
      <c r="LQY67" s="627"/>
      <c r="LRA67" s="627"/>
      <c r="LRC67" s="627"/>
      <c r="LRE67" s="627"/>
      <c r="LRG67" s="627"/>
      <c r="LRI67" s="627"/>
      <c r="LRK67" s="627"/>
      <c r="LRM67" s="627"/>
      <c r="LRO67" s="627"/>
      <c r="LRQ67" s="627"/>
      <c r="LRS67" s="627"/>
      <c r="LRU67" s="627"/>
      <c r="LRW67" s="627"/>
      <c r="LRY67" s="627"/>
      <c r="LSA67" s="627"/>
      <c r="LSC67" s="627"/>
      <c r="LSE67" s="627"/>
      <c r="LSG67" s="627"/>
      <c r="LSI67" s="627"/>
      <c r="LSK67" s="627"/>
      <c r="LSM67" s="627"/>
      <c r="LSO67" s="627"/>
      <c r="LSQ67" s="627"/>
      <c r="LSS67" s="627"/>
      <c r="LSU67" s="627"/>
      <c r="LSW67" s="627"/>
      <c r="LSY67" s="627"/>
      <c r="LTA67" s="627"/>
      <c r="LTC67" s="627"/>
      <c r="LTE67" s="627"/>
      <c r="LTG67" s="627"/>
      <c r="LTI67" s="627"/>
      <c r="LTK67" s="627"/>
      <c r="LTM67" s="627"/>
      <c r="LTO67" s="627"/>
      <c r="LTQ67" s="627"/>
      <c r="LTS67" s="627"/>
      <c r="LTU67" s="627"/>
      <c r="LTW67" s="627"/>
      <c r="LTY67" s="627"/>
      <c r="LUA67" s="627"/>
      <c r="LUC67" s="627"/>
      <c r="LUE67" s="627"/>
      <c r="LUG67" s="627"/>
      <c r="LUI67" s="627"/>
      <c r="LUK67" s="627"/>
      <c r="LUM67" s="627"/>
      <c r="LUO67" s="627"/>
      <c r="LUQ67" s="627"/>
      <c r="LUS67" s="627"/>
      <c r="LUU67" s="627"/>
      <c r="LUW67" s="627"/>
      <c r="LUY67" s="627"/>
      <c r="LVA67" s="627"/>
      <c r="LVC67" s="627"/>
      <c r="LVE67" s="627"/>
      <c r="LVG67" s="627"/>
      <c r="LVI67" s="627"/>
      <c r="LVK67" s="627"/>
      <c r="LVM67" s="627"/>
      <c r="LVO67" s="627"/>
      <c r="LVQ67" s="627"/>
      <c r="LVS67" s="627"/>
      <c r="LVU67" s="627"/>
      <c r="LVW67" s="627"/>
      <c r="LVY67" s="627"/>
      <c r="LWA67" s="627"/>
      <c r="LWC67" s="627"/>
      <c r="LWE67" s="627"/>
      <c r="LWG67" s="627"/>
      <c r="LWI67" s="627"/>
      <c r="LWK67" s="627"/>
      <c r="LWM67" s="627"/>
      <c r="LWO67" s="627"/>
      <c r="LWQ67" s="627"/>
      <c r="LWS67" s="627"/>
      <c r="LWU67" s="627"/>
      <c r="LWW67" s="627"/>
      <c r="LWY67" s="627"/>
      <c r="LXA67" s="627"/>
      <c r="LXC67" s="627"/>
      <c r="LXE67" s="627"/>
      <c r="LXG67" s="627"/>
      <c r="LXI67" s="627"/>
      <c r="LXK67" s="627"/>
      <c r="LXM67" s="627"/>
      <c r="LXO67" s="627"/>
      <c r="LXQ67" s="627"/>
      <c r="LXS67" s="627"/>
      <c r="LXU67" s="627"/>
      <c r="LXW67" s="627"/>
      <c r="LXY67" s="627"/>
      <c r="LYA67" s="627"/>
      <c r="LYC67" s="627"/>
      <c r="LYE67" s="627"/>
      <c r="LYG67" s="627"/>
      <c r="LYI67" s="627"/>
      <c r="LYK67" s="627"/>
      <c r="LYM67" s="627"/>
      <c r="LYO67" s="627"/>
      <c r="LYQ67" s="627"/>
      <c r="LYS67" s="627"/>
      <c r="LYU67" s="627"/>
      <c r="LYW67" s="627"/>
      <c r="LYY67" s="627"/>
      <c r="LZA67" s="627"/>
      <c r="LZC67" s="627"/>
      <c r="LZE67" s="627"/>
      <c r="LZG67" s="627"/>
      <c r="LZI67" s="627"/>
      <c r="LZK67" s="627"/>
      <c r="LZM67" s="627"/>
      <c r="LZO67" s="627"/>
      <c r="LZQ67" s="627"/>
      <c r="LZS67" s="627"/>
      <c r="LZU67" s="627"/>
      <c r="LZW67" s="627"/>
      <c r="LZY67" s="627"/>
      <c r="MAA67" s="627"/>
      <c r="MAC67" s="627"/>
      <c r="MAE67" s="627"/>
      <c r="MAG67" s="627"/>
      <c r="MAI67" s="627"/>
      <c r="MAK67" s="627"/>
      <c r="MAM67" s="627"/>
      <c r="MAO67" s="627"/>
      <c r="MAQ67" s="627"/>
      <c r="MAS67" s="627"/>
      <c r="MAU67" s="627"/>
      <c r="MAW67" s="627"/>
      <c r="MAY67" s="627"/>
      <c r="MBA67" s="627"/>
      <c r="MBC67" s="627"/>
      <c r="MBE67" s="627"/>
      <c r="MBG67" s="627"/>
      <c r="MBI67" s="627"/>
      <c r="MBK67" s="627"/>
      <c r="MBM67" s="627"/>
      <c r="MBO67" s="627"/>
      <c r="MBQ67" s="627"/>
      <c r="MBS67" s="627"/>
      <c r="MBU67" s="627"/>
      <c r="MBW67" s="627"/>
      <c r="MBY67" s="627"/>
      <c r="MCA67" s="627"/>
      <c r="MCC67" s="627"/>
      <c r="MCE67" s="627"/>
      <c r="MCG67" s="627"/>
      <c r="MCI67" s="627"/>
      <c r="MCK67" s="627"/>
      <c r="MCM67" s="627"/>
      <c r="MCO67" s="627"/>
      <c r="MCQ67" s="627"/>
      <c r="MCS67" s="627"/>
      <c r="MCU67" s="627"/>
      <c r="MCW67" s="627"/>
      <c r="MCY67" s="627"/>
      <c r="MDA67" s="627"/>
      <c r="MDC67" s="627"/>
      <c r="MDE67" s="627"/>
      <c r="MDG67" s="627"/>
      <c r="MDI67" s="627"/>
      <c r="MDK67" s="627"/>
      <c r="MDM67" s="627"/>
      <c r="MDO67" s="627"/>
      <c r="MDQ67" s="627"/>
      <c r="MDS67" s="627"/>
      <c r="MDU67" s="627"/>
      <c r="MDW67" s="627"/>
      <c r="MDY67" s="627"/>
      <c r="MEA67" s="627"/>
      <c r="MEC67" s="627"/>
      <c r="MEE67" s="627"/>
      <c r="MEG67" s="627"/>
      <c r="MEI67" s="627"/>
      <c r="MEK67" s="627"/>
      <c r="MEM67" s="627"/>
      <c r="MEO67" s="627"/>
      <c r="MEQ67" s="627"/>
      <c r="MES67" s="627"/>
      <c r="MEU67" s="627"/>
      <c r="MEW67" s="627"/>
      <c r="MEY67" s="627"/>
      <c r="MFA67" s="627"/>
      <c r="MFC67" s="627"/>
      <c r="MFE67" s="627"/>
      <c r="MFG67" s="627"/>
      <c r="MFI67" s="627"/>
      <c r="MFK67" s="627"/>
      <c r="MFM67" s="627"/>
      <c r="MFO67" s="627"/>
      <c r="MFQ67" s="627"/>
      <c r="MFS67" s="627"/>
      <c r="MFU67" s="627"/>
      <c r="MFW67" s="627"/>
      <c r="MFY67" s="627"/>
      <c r="MGA67" s="627"/>
      <c r="MGC67" s="627"/>
      <c r="MGE67" s="627"/>
      <c r="MGG67" s="627"/>
      <c r="MGI67" s="627"/>
      <c r="MGK67" s="627"/>
      <c r="MGM67" s="627"/>
      <c r="MGO67" s="627"/>
      <c r="MGQ67" s="627"/>
      <c r="MGS67" s="627"/>
      <c r="MGU67" s="627"/>
      <c r="MGW67" s="627"/>
      <c r="MGY67" s="627"/>
      <c r="MHA67" s="627"/>
      <c r="MHC67" s="627"/>
      <c r="MHE67" s="627"/>
      <c r="MHG67" s="627"/>
      <c r="MHI67" s="627"/>
      <c r="MHK67" s="627"/>
      <c r="MHM67" s="627"/>
      <c r="MHO67" s="627"/>
      <c r="MHQ67" s="627"/>
      <c r="MHS67" s="627"/>
      <c r="MHU67" s="627"/>
      <c r="MHW67" s="627"/>
      <c r="MHY67" s="627"/>
      <c r="MIA67" s="627"/>
      <c r="MIC67" s="627"/>
      <c r="MIE67" s="627"/>
      <c r="MIG67" s="627"/>
      <c r="MII67" s="627"/>
      <c r="MIK67" s="627"/>
      <c r="MIM67" s="627"/>
      <c r="MIO67" s="627"/>
      <c r="MIQ67" s="627"/>
      <c r="MIS67" s="627"/>
      <c r="MIU67" s="627"/>
      <c r="MIW67" s="627"/>
      <c r="MIY67" s="627"/>
      <c r="MJA67" s="627"/>
      <c r="MJC67" s="627"/>
      <c r="MJE67" s="627"/>
      <c r="MJG67" s="627"/>
      <c r="MJI67" s="627"/>
      <c r="MJK67" s="627"/>
      <c r="MJM67" s="627"/>
      <c r="MJO67" s="627"/>
      <c r="MJQ67" s="627"/>
      <c r="MJS67" s="627"/>
      <c r="MJU67" s="627"/>
      <c r="MJW67" s="627"/>
      <c r="MJY67" s="627"/>
      <c r="MKA67" s="627"/>
      <c r="MKC67" s="627"/>
      <c r="MKE67" s="627"/>
      <c r="MKG67" s="627"/>
      <c r="MKI67" s="627"/>
      <c r="MKK67" s="627"/>
      <c r="MKM67" s="627"/>
      <c r="MKO67" s="627"/>
      <c r="MKQ67" s="627"/>
      <c r="MKS67" s="627"/>
      <c r="MKU67" s="627"/>
      <c r="MKW67" s="627"/>
      <c r="MKY67" s="627"/>
      <c r="MLA67" s="627"/>
      <c r="MLC67" s="627"/>
      <c r="MLE67" s="627"/>
      <c r="MLG67" s="627"/>
      <c r="MLI67" s="627"/>
      <c r="MLK67" s="627"/>
      <c r="MLM67" s="627"/>
      <c r="MLO67" s="627"/>
      <c r="MLQ67" s="627"/>
      <c r="MLS67" s="627"/>
      <c r="MLU67" s="627"/>
      <c r="MLW67" s="627"/>
      <c r="MLY67" s="627"/>
      <c r="MMA67" s="627"/>
      <c r="MMC67" s="627"/>
      <c r="MME67" s="627"/>
      <c r="MMG67" s="627"/>
      <c r="MMI67" s="627"/>
      <c r="MMK67" s="627"/>
      <c r="MMM67" s="627"/>
      <c r="MMO67" s="627"/>
      <c r="MMQ67" s="627"/>
      <c r="MMS67" s="627"/>
      <c r="MMU67" s="627"/>
      <c r="MMW67" s="627"/>
      <c r="MMY67" s="627"/>
      <c r="MNA67" s="627"/>
      <c r="MNC67" s="627"/>
      <c r="MNE67" s="627"/>
      <c r="MNG67" s="627"/>
      <c r="MNI67" s="627"/>
      <c r="MNK67" s="627"/>
      <c r="MNM67" s="627"/>
      <c r="MNO67" s="627"/>
      <c r="MNQ67" s="627"/>
      <c r="MNS67" s="627"/>
      <c r="MNU67" s="627"/>
      <c r="MNW67" s="627"/>
      <c r="MNY67" s="627"/>
      <c r="MOA67" s="627"/>
      <c r="MOC67" s="627"/>
      <c r="MOE67" s="627"/>
      <c r="MOG67" s="627"/>
      <c r="MOI67" s="627"/>
      <c r="MOK67" s="627"/>
      <c r="MOM67" s="627"/>
      <c r="MOO67" s="627"/>
      <c r="MOQ67" s="627"/>
      <c r="MOS67" s="627"/>
      <c r="MOU67" s="627"/>
      <c r="MOW67" s="627"/>
      <c r="MOY67" s="627"/>
      <c r="MPA67" s="627"/>
      <c r="MPC67" s="627"/>
      <c r="MPE67" s="627"/>
      <c r="MPG67" s="627"/>
      <c r="MPI67" s="627"/>
      <c r="MPK67" s="627"/>
      <c r="MPM67" s="627"/>
      <c r="MPO67" s="627"/>
      <c r="MPQ67" s="627"/>
      <c r="MPS67" s="627"/>
      <c r="MPU67" s="627"/>
      <c r="MPW67" s="627"/>
      <c r="MPY67" s="627"/>
      <c r="MQA67" s="627"/>
      <c r="MQC67" s="627"/>
      <c r="MQE67" s="627"/>
      <c r="MQG67" s="627"/>
      <c r="MQI67" s="627"/>
      <c r="MQK67" s="627"/>
      <c r="MQM67" s="627"/>
      <c r="MQO67" s="627"/>
      <c r="MQQ67" s="627"/>
      <c r="MQS67" s="627"/>
      <c r="MQU67" s="627"/>
      <c r="MQW67" s="627"/>
      <c r="MQY67" s="627"/>
      <c r="MRA67" s="627"/>
      <c r="MRC67" s="627"/>
      <c r="MRE67" s="627"/>
      <c r="MRG67" s="627"/>
      <c r="MRI67" s="627"/>
      <c r="MRK67" s="627"/>
      <c r="MRM67" s="627"/>
      <c r="MRO67" s="627"/>
      <c r="MRQ67" s="627"/>
      <c r="MRS67" s="627"/>
      <c r="MRU67" s="627"/>
      <c r="MRW67" s="627"/>
      <c r="MRY67" s="627"/>
      <c r="MSA67" s="627"/>
      <c r="MSC67" s="627"/>
      <c r="MSE67" s="627"/>
      <c r="MSG67" s="627"/>
      <c r="MSI67" s="627"/>
      <c r="MSK67" s="627"/>
      <c r="MSM67" s="627"/>
      <c r="MSO67" s="627"/>
      <c r="MSQ67" s="627"/>
      <c r="MSS67" s="627"/>
      <c r="MSU67" s="627"/>
      <c r="MSW67" s="627"/>
      <c r="MSY67" s="627"/>
      <c r="MTA67" s="627"/>
      <c r="MTC67" s="627"/>
      <c r="MTE67" s="627"/>
      <c r="MTG67" s="627"/>
      <c r="MTI67" s="627"/>
      <c r="MTK67" s="627"/>
      <c r="MTM67" s="627"/>
      <c r="MTO67" s="627"/>
      <c r="MTQ67" s="627"/>
      <c r="MTS67" s="627"/>
      <c r="MTU67" s="627"/>
      <c r="MTW67" s="627"/>
      <c r="MTY67" s="627"/>
      <c r="MUA67" s="627"/>
      <c r="MUC67" s="627"/>
      <c r="MUE67" s="627"/>
      <c r="MUG67" s="627"/>
      <c r="MUI67" s="627"/>
      <c r="MUK67" s="627"/>
      <c r="MUM67" s="627"/>
      <c r="MUO67" s="627"/>
      <c r="MUQ67" s="627"/>
      <c r="MUS67" s="627"/>
      <c r="MUU67" s="627"/>
      <c r="MUW67" s="627"/>
      <c r="MUY67" s="627"/>
      <c r="MVA67" s="627"/>
      <c r="MVC67" s="627"/>
      <c r="MVE67" s="627"/>
      <c r="MVG67" s="627"/>
      <c r="MVI67" s="627"/>
      <c r="MVK67" s="627"/>
      <c r="MVM67" s="627"/>
      <c r="MVO67" s="627"/>
      <c r="MVQ67" s="627"/>
      <c r="MVS67" s="627"/>
      <c r="MVU67" s="627"/>
      <c r="MVW67" s="627"/>
      <c r="MVY67" s="627"/>
      <c r="MWA67" s="627"/>
      <c r="MWC67" s="627"/>
      <c r="MWE67" s="627"/>
      <c r="MWG67" s="627"/>
      <c r="MWI67" s="627"/>
      <c r="MWK67" s="627"/>
      <c r="MWM67" s="627"/>
      <c r="MWO67" s="627"/>
      <c r="MWQ67" s="627"/>
      <c r="MWS67" s="627"/>
      <c r="MWU67" s="627"/>
      <c r="MWW67" s="627"/>
      <c r="MWY67" s="627"/>
      <c r="MXA67" s="627"/>
      <c r="MXC67" s="627"/>
      <c r="MXE67" s="627"/>
      <c r="MXG67" s="627"/>
      <c r="MXI67" s="627"/>
      <c r="MXK67" s="627"/>
      <c r="MXM67" s="627"/>
      <c r="MXO67" s="627"/>
      <c r="MXQ67" s="627"/>
      <c r="MXS67" s="627"/>
      <c r="MXU67" s="627"/>
      <c r="MXW67" s="627"/>
      <c r="MXY67" s="627"/>
      <c r="MYA67" s="627"/>
      <c r="MYC67" s="627"/>
      <c r="MYE67" s="627"/>
      <c r="MYG67" s="627"/>
      <c r="MYI67" s="627"/>
      <c r="MYK67" s="627"/>
      <c r="MYM67" s="627"/>
      <c r="MYO67" s="627"/>
      <c r="MYQ67" s="627"/>
      <c r="MYS67" s="627"/>
      <c r="MYU67" s="627"/>
      <c r="MYW67" s="627"/>
      <c r="MYY67" s="627"/>
      <c r="MZA67" s="627"/>
      <c r="MZC67" s="627"/>
      <c r="MZE67" s="627"/>
      <c r="MZG67" s="627"/>
      <c r="MZI67" s="627"/>
      <c r="MZK67" s="627"/>
      <c r="MZM67" s="627"/>
      <c r="MZO67" s="627"/>
      <c r="MZQ67" s="627"/>
      <c r="MZS67" s="627"/>
      <c r="MZU67" s="627"/>
      <c r="MZW67" s="627"/>
      <c r="MZY67" s="627"/>
      <c r="NAA67" s="627"/>
      <c r="NAC67" s="627"/>
      <c r="NAE67" s="627"/>
      <c r="NAG67" s="627"/>
      <c r="NAI67" s="627"/>
      <c r="NAK67" s="627"/>
      <c r="NAM67" s="627"/>
      <c r="NAO67" s="627"/>
      <c r="NAQ67" s="627"/>
      <c r="NAS67" s="627"/>
      <c r="NAU67" s="627"/>
      <c r="NAW67" s="627"/>
      <c r="NAY67" s="627"/>
      <c r="NBA67" s="627"/>
      <c r="NBC67" s="627"/>
      <c r="NBE67" s="627"/>
      <c r="NBG67" s="627"/>
      <c r="NBI67" s="627"/>
      <c r="NBK67" s="627"/>
      <c r="NBM67" s="627"/>
      <c r="NBO67" s="627"/>
      <c r="NBQ67" s="627"/>
      <c r="NBS67" s="627"/>
      <c r="NBU67" s="627"/>
      <c r="NBW67" s="627"/>
      <c r="NBY67" s="627"/>
      <c r="NCA67" s="627"/>
      <c r="NCC67" s="627"/>
      <c r="NCE67" s="627"/>
      <c r="NCG67" s="627"/>
      <c r="NCI67" s="627"/>
      <c r="NCK67" s="627"/>
      <c r="NCM67" s="627"/>
      <c r="NCO67" s="627"/>
      <c r="NCQ67" s="627"/>
      <c r="NCS67" s="627"/>
      <c r="NCU67" s="627"/>
      <c r="NCW67" s="627"/>
      <c r="NCY67" s="627"/>
      <c r="NDA67" s="627"/>
      <c r="NDC67" s="627"/>
      <c r="NDE67" s="627"/>
      <c r="NDG67" s="627"/>
      <c r="NDI67" s="627"/>
      <c r="NDK67" s="627"/>
      <c r="NDM67" s="627"/>
      <c r="NDO67" s="627"/>
      <c r="NDQ67" s="627"/>
      <c r="NDS67" s="627"/>
      <c r="NDU67" s="627"/>
      <c r="NDW67" s="627"/>
      <c r="NDY67" s="627"/>
      <c r="NEA67" s="627"/>
      <c r="NEC67" s="627"/>
      <c r="NEE67" s="627"/>
      <c r="NEG67" s="627"/>
      <c r="NEI67" s="627"/>
      <c r="NEK67" s="627"/>
      <c r="NEM67" s="627"/>
      <c r="NEO67" s="627"/>
      <c r="NEQ67" s="627"/>
      <c r="NES67" s="627"/>
      <c r="NEU67" s="627"/>
      <c r="NEW67" s="627"/>
      <c r="NEY67" s="627"/>
      <c r="NFA67" s="627"/>
      <c r="NFC67" s="627"/>
      <c r="NFE67" s="627"/>
      <c r="NFG67" s="627"/>
      <c r="NFI67" s="627"/>
      <c r="NFK67" s="627"/>
      <c r="NFM67" s="627"/>
      <c r="NFO67" s="627"/>
      <c r="NFQ67" s="627"/>
      <c r="NFS67" s="627"/>
      <c r="NFU67" s="627"/>
      <c r="NFW67" s="627"/>
      <c r="NFY67" s="627"/>
      <c r="NGA67" s="627"/>
      <c r="NGC67" s="627"/>
      <c r="NGE67" s="627"/>
      <c r="NGG67" s="627"/>
      <c r="NGI67" s="627"/>
      <c r="NGK67" s="627"/>
      <c r="NGM67" s="627"/>
      <c r="NGO67" s="627"/>
      <c r="NGQ67" s="627"/>
      <c r="NGS67" s="627"/>
      <c r="NGU67" s="627"/>
      <c r="NGW67" s="627"/>
      <c r="NGY67" s="627"/>
      <c r="NHA67" s="627"/>
      <c r="NHC67" s="627"/>
      <c r="NHE67" s="627"/>
      <c r="NHG67" s="627"/>
      <c r="NHI67" s="627"/>
      <c r="NHK67" s="627"/>
      <c r="NHM67" s="627"/>
      <c r="NHO67" s="627"/>
      <c r="NHQ67" s="627"/>
      <c r="NHS67" s="627"/>
      <c r="NHU67" s="627"/>
      <c r="NHW67" s="627"/>
      <c r="NHY67" s="627"/>
      <c r="NIA67" s="627"/>
      <c r="NIC67" s="627"/>
      <c r="NIE67" s="627"/>
      <c r="NIG67" s="627"/>
      <c r="NII67" s="627"/>
      <c r="NIK67" s="627"/>
      <c r="NIM67" s="627"/>
      <c r="NIO67" s="627"/>
      <c r="NIQ67" s="627"/>
      <c r="NIS67" s="627"/>
      <c r="NIU67" s="627"/>
      <c r="NIW67" s="627"/>
      <c r="NIY67" s="627"/>
      <c r="NJA67" s="627"/>
      <c r="NJC67" s="627"/>
      <c r="NJE67" s="627"/>
      <c r="NJG67" s="627"/>
      <c r="NJI67" s="627"/>
      <c r="NJK67" s="627"/>
      <c r="NJM67" s="627"/>
      <c r="NJO67" s="627"/>
      <c r="NJQ67" s="627"/>
      <c r="NJS67" s="627"/>
      <c r="NJU67" s="627"/>
      <c r="NJW67" s="627"/>
      <c r="NJY67" s="627"/>
      <c r="NKA67" s="627"/>
      <c r="NKC67" s="627"/>
      <c r="NKE67" s="627"/>
      <c r="NKG67" s="627"/>
      <c r="NKI67" s="627"/>
      <c r="NKK67" s="627"/>
      <c r="NKM67" s="627"/>
      <c r="NKO67" s="627"/>
      <c r="NKQ67" s="627"/>
      <c r="NKS67" s="627"/>
      <c r="NKU67" s="627"/>
      <c r="NKW67" s="627"/>
      <c r="NKY67" s="627"/>
      <c r="NLA67" s="627"/>
      <c r="NLC67" s="627"/>
      <c r="NLE67" s="627"/>
      <c r="NLG67" s="627"/>
      <c r="NLI67" s="627"/>
      <c r="NLK67" s="627"/>
      <c r="NLM67" s="627"/>
      <c r="NLO67" s="627"/>
      <c r="NLQ67" s="627"/>
      <c r="NLS67" s="627"/>
      <c r="NLU67" s="627"/>
      <c r="NLW67" s="627"/>
      <c r="NLY67" s="627"/>
      <c r="NMA67" s="627"/>
      <c r="NMC67" s="627"/>
      <c r="NME67" s="627"/>
      <c r="NMG67" s="627"/>
      <c r="NMI67" s="627"/>
      <c r="NMK67" s="627"/>
      <c r="NMM67" s="627"/>
      <c r="NMO67" s="627"/>
      <c r="NMQ67" s="627"/>
      <c r="NMS67" s="627"/>
      <c r="NMU67" s="627"/>
      <c r="NMW67" s="627"/>
      <c r="NMY67" s="627"/>
      <c r="NNA67" s="627"/>
      <c r="NNC67" s="627"/>
      <c r="NNE67" s="627"/>
      <c r="NNG67" s="627"/>
      <c r="NNI67" s="627"/>
      <c r="NNK67" s="627"/>
      <c r="NNM67" s="627"/>
      <c r="NNO67" s="627"/>
      <c r="NNQ67" s="627"/>
      <c r="NNS67" s="627"/>
      <c r="NNU67" s="627"/>
      <c r="NNW67" s="627"/>
      <c r="NNY67" s="627"/>
      <c r="NOA67" s="627"/>
      <c r="NOC67" s="627"/>
      <c r="NOE67" s="627"/>
      <c r="NOG67" s="627"/>
      <c r="NOI67" s="627"/>
      <c r="NOK67" s="627"/>
      <c r="NOM67" s="627"/>
      <c r="NOO67" s="627"/>
      <c r="NOQ67" s="627"/>
      <c r="NOS67" s="627"/>
      <c r="NOU67" s="627"/>
      <c r="NOW67" s="627"/>
      <c r="NOY67" s="627"/>
      <c r="NPA67" s="627"/>
      <c r="NPC67" s="627"/>
      <c r="NPE67" s="627"/>
      <c r="NPG67" s="627"/>
      <c r="NPI67" s="627"/>
      <c r="NPK67" s="627"/>
      <c r="NPM67" s="627"/>
      <c r="NPO67" s="627"/>
      <c r="NPQ67" s="627"/>
      <c r="NPS67" s="627"/>
      <c r="NPU67" s="627"/>
      <c r="NPW67" s="627"/>
      <c r="NPY67" s="627"/>
      <c r="NQA67" s="627"/>
      <c r="NQC67" s="627"/>
      <c r="NQE67" s="627"/>
      <c r="NQG67" s="627"/>
      <c r="NQI67" s="627"/>
      <c r="NQK67" s="627"/>
      <c r="NQM67" s="627"/>
      <c r="NQO67" s="627"/>
      <c r="NQQ67" s="627"/>
      <c r="NQS67" s="627"/>
      <c r="NQU67" s="627"/>
      <c r="NQW67" s="627"/>
      <c r="NQY67" s="627"/>
      <c r="NRA67" s="627"/>
      <c r="NRC67" s="627"/>
      <c r="NRE67" s="627"/>
      <c r="NRG67" s="627"/>
      <c r="NRI67" s="627"/>
      <c r="NRK67" s="627"/>
      <c r="NRM67" s="627"/>
      <c r="NRO67" s="627"/>
      <c r="NRQ67" s="627"/>
      <c r="NRS67" s="627"/>
      <c r="NRU67" s="627"/>
      <c r="NRW67" s="627"/>
      <c r="NRY67" s="627"/>
      <c r="NSA67" s="627"/>
      <c r="NSC67" s="627"/>
      <c r="NSE67" s="627"/>
      <c r="NSG67" s="627"/>
      <c r="NSI67" s="627"/>
      <c r="NSK67" s="627"/>
      <c r="NSM67" s="627"/>
      <c r="NSO67" s="627"/>
      <c r="NSQ67" s="627"/>
      <c r="NSS67" s="627"/>
      <c r="NSU67" s="627"/>
      <c r="NSW67" s="627"/>
      <c r="NSY67" s="627"/>
      <c r="NTA67" s="627"/>
      <c r="NTC67" s="627"/>
      <c r="NTE67" s="627"/>
      <c r="NTG67" s="627"/>
      <c r="NTI67" s="627"/>
      <c r="NTK67" s="627"/>
      <c r="NTM67" s="627"/>
      <c r="NTO67" s="627"/>
      <c r="NTQ67" s="627"/>
      <c r="NTS67" s="627"/>
      <c r="NTU67" s="627"/>
      <c r="NTW67" s="627"/>
      <c r="NTY67" s="627"/>
      <c r="NUA67" s="627"/>
      <c r="NUC67" s="627"/>
      <c r="NUE67" s="627"/>
      <c r="NUG67" s="627"/>
      <c r="NUI67" s="627"/>
      <c r="NUK67" s="627"/>
      <c r="NUM67" s="627"/>
      <c r="NUO67" s="627"/>
      <c r="NUQ67" s="627"/>
      <c r="NUS67" s="627"/>
      <c r="NUU67" s="627"/>
      <c r="NUW67" s="627"/>
      <c r="NUY67" s="627"/>
      <c r="NVA67" s="627"/>
      <c r="NVC67" s="627"/>
      <c r="NVE67" s="627"/>
      <c r="NVG67" s="627"/>
      <c r="NVI67" s="627"/>
      <c r="NVK67" s="627"/>
      <c r="NVM67" s="627"/>
      <c r="NVO67" s="627"/>
      <c r="NVQ67" s="627"/>
      <c r="NVS67" s="627"/>
      <c r="NVU67" s="627"/>
      <c r="NVW67" s="627"/>
      <c r="NVY67" s="627"/>
      <c r="NWA67" s="627"/>
      <c r="NWC67" s="627"/>
      <c r="NWE67" s="627"/>
      <c r="NWG67" s="627"/>
      <c r="NWI67" s="627"/>
      <c r="NWK67" s="627"/>
      <c r="NWM67" s="627"/>
      <c r="NWO67" s="627"/>
      <c r="NWQ67" s="627"/>
      <c r="NWS67" s="627"/>
      <c r="NWU67" s="627"/>
      <c r="NWW67" s="627"/>
      <c r="NWY67" s="627"/>
      <c r="NXA67" s="627"/>
      <c r="NXC67" s="627"/>
      <c r="NXE67" s="627"/>
      <c r="NXG67" s="627"/>
      <c r="NXI67" s="627"/>
      <c r="NXK67" s="627"/>
      <c r="NXM67" s="627"/>
      <c r="NXO67" s="627"/>
      <c r="NXQ67" s="627"/>
      <c r="NXS67" s="627"/>
      <c r="NXU67" s="627"/>
      <c r="NXW67" s="627"/>
      <c r="NXY67" s="627"/>
      <c r="NYA67" s="627"/>
      <c r="NYC67" s="627"/>
      <c r="NYE67" s="627"/>
      <c r="NYG67" s="627"/>
      <c r="NYI67" s="627"/>
      <c r="NYK67" s="627"/>
      <c r="NYM67" s="627"/>
      <c r="NYO67" s="627"/>
      <c r="NYQ67" s="627"/>
      <c r="NYS67" s="627"/>
      <c r="NYU67" s="627"/>
      <c r="NYW67" s="627"/>
      <c r="NYY67" s="627"/>
      <c r="NZA67" s="627"/>
      <c r="NZC67" s="627"/>
      <c r="NZE67" s="627"/>
      <c r="NZG67" s="627"/>
      <c r="NZI67" s="627"/>
      <c r="NZK67" s="627"/>
      <c r="NZM67" s="627"/>
      <c r="NZO67" s="627"/>
      <c r="NZQ67" s="627"/>
      <c r="NZS67" s="627"/>
      <c r="NZU67" s="627"/>
      <c r="NZW67" s="627"/>
      <c r="NZY67" s="627"/>
      <c r="OAA67" s="627"/>
      <c r="OAC67" s="627"/>
      <c r="OAE67" s="627"/>
      <c r="OAG67" s="627"/>
      <c r="OAI67" s="627"/>
      <c r="OAK67" s="627"/>
      <c r="OAM67" s="627"/>
      <c r="OAO67" s="627"/>
      <c r="OAQ67" s="627"/>
      <c r="OAS67" s="627"/>
      <c r="OAU67" s="627"/>
      <c r="OAW67" s="627"/>
      <c r="OAY67" s="627"/>
      <c r="OBA67" s="627"/>
      <c r="OBC67" s="627"/>
      <c r="OBE67" s="627"/>
      <c r="OBG67" s="627"/>
      <c r="OBI67" s="627"/>
      <c r="OBK67" s="627"/>
      <c r="OBM67" s="627"/>
      <c r="OBO67" s="627"/>
      <c r="OBQ67" s="627"/>
      <c r="OBS67" s="627"/>
      <c r="OBU67" s="627"/>
      <c r="OBW67" s="627"/>
      <c r="OBY67" s="627"/>
      <c r="OCA67" s="627"/>
      <c r="OCC67" s="627"/>
      <c r="OCE67" s="627"/>
      <c r="OCG67" s="627"/>
      <c r="OCI67" s="627"/>
      <c r="OCK67" s="627"/>
      <c r="OCM67" s="627"/>
      <c r="OCO67" s="627"/>
      <c r="OCQ67" s="627"/>
      <c r="OCS67" s="627"/>
      <c r="OCU67" s="627"/>
      <c r="OCW67" s="627"/>
      <c r="OCY67" s="627"/>
      <c r="ODA67" s="627"/>
      <c r="ODC67" s="627"/>
      <c r="ODE67" s="627"/>
      <c r="ODG67" s="627"/>
      <c r="ODI67" s="627"/>
      <c r="ODK67" s="627"/>
      <c r="ODM67" s="627"/>
      <c r="ODO67" s="627"/>
      <c r="ODQ67" s="627"/>
      <c r="ODS67" s="627"/>
      <c r="ODU67" s="627"/>
      <c r="ODW67" s="627"/>
      <c r="ODY67" s="627"/>
      <c r="OEA67" s="627"/>
      <c r="OEC67" s="627"/>
      <c r="OEE67" s="627"/>
      <c r="OEG67" s="627"/>
      <c r="OEI67" s="627"/>
      <c r="OEK67" s="627"/>
      <c r="OEM67" s="627"/>
      <c r="OEO67" s="627"/>
      <c r="OEQ67" s="627"/>
      <c r="OES67" s="627"/>
      <c r="OEU67" s="627"/>
      <c r="OEW67" s="627"/>
      <c r="OEY67" s="627"/>
      <c r="OFA67" s="627"/>
      <c r="OFC67" s="627"/>
      <c r="OFE67" s="627"/>
      <c r="OFG67" s="627"/>
      <c r="OFI67" s="627"/>
      <c r="OFK67" s="627"/>
      <c r="OFM67" s="627"/>
      <c r="OFO67" s="627"/>
      <c r="OFQ67" s="627"/>
      <c r="OFS67" s="627"/>
      <c r="OFU67" s="627"/>
      <c r="OFW67" s="627"/>
      <c r="OFY67" s="627"/>
      <c r="OGA67" s="627"/>
      <c r="OGC67" s="627"/>
      <c r="OGE67" s="627"/>
      <c r="OGG67" s="627"/>
      <c r="OGI67" s="627"/>
      <c r="OGK67" s="627"/>
      <c r="OGM67" s="627"/>
      <c r="OGO67" s="627"/>
      <c r="OGQ67" s="627"/>
      <c r="OGS67" s="627"/>
      <c r="OGU67" s="627"/>
      <c r="OGW67" s="627"/>
      <c r="OGY67" s="627"/>
      <c r="OHA67" s="627"/>
      <c r="OHC67" s="627"/>
      <c r="OHE67" s="627"/>
      <c r="OHG67" s="627"/>
      <c r="OHI67" s="627"/>
      <c r="OHK67" s="627"/>
      <c r="OHM67" s="627"/>
      <c r="OHO67" s="627"/>
      <c r="OHQ67" s="627"/>
      <c r="OHS67" s="627"/>
      <c r="OHU67" s="627"/>
      <c r="OHW67" s="627"/>
      <c r="OHY67" s="627"/>
      <c r="OIA67" s="627"/>
      <c r="OIC67" s="627"/>
      <c r="OIE67" s="627"/>
      <c r="OIG67" s="627"/>
      <c r="OII67" s="627"/>
      <c r="OIK67" s="627"/>
      <c r="OIM67" s="627"/>
      <c r="OIO67" s="627"/>
      <c r="OIQ67" s="627"/>
      <c r="OIS67" s="627"/>
      <c r="OIU67" s="627"/>
      <c r="OIW67" s="627"/>
      <c r="OIY67" s="627"/>
      <c r="OJA67" s="627"/>
      <c r="OJC67" s="627"/>
      <c r="OJE67" s="627"/>
      <c r="OJG67" s="627"/>
      <c r="OJI67" s="627"/>
      <c r="OJK67" s="627"/>
      <c r="OJM67" s="627"/>
      <c r="OJO67" s="627"/>
      <c r="OJQ67" s="627"/>
      <c r="OJS67" s="627"/>
      <c r="OJU67" s="627"/>
      <c r="OJW67" s="627"/>
      <c r="OJY67" s="627"/>
      <c r="OKA67" s="627"/>
      <c r="OKC67" s="627"/>
      <c r="OKE67" s="627"/>
      <c r="OKG67" s="627"/>
      <c r="OKI67" s="627"/>
      <c r="OKK67" s="627"/>
      <c r="OKM67" s="627"/>
      <c r="OKO67" s="627"/>
      <c r="OKQ67" s="627"/>
      <c r="OKS67" s="627"/>
      <c r="OKU67" s="627"/>
      <c r="OKW67" s="627"/>
      <c r="OKY67" s="627"/>
      <c r="OLA67" s="627"/>
      <c r="OLC67" s="627"/>
      <c r="OLE67" s="627"/>
      <c r="OLG67" s="627"/>
      <c r="OLI67" s="627"/>
      <c r="OLK67" s="627"/>
      <c r="OLM67" s="627"/>
      <c r="OLO67" s="627"/>
      <c r="OLQ67" s="627"/>
      <c r="OLS67" s="627"/>
      <c r="OLU67" s="627"/>
      <c r="OLW67" s="627"/>
      <c r="OLY67" s="627"/>
      <c r="OMA67" s="627"/>
      <c r="OMC67" s="627"/>
      <c r="OME67" s="627"/>
      <c r="OMG67" s="627"/>
      <c r="OMI67" s="627"/>
      <c r="OMK67" s="627"/>
      <c r="OMM67" s="627"/>
      <c r="OMO67" s="627"/>
      <c r="OMQ67" s="627"/>
      <c r="OMS67" s="627"/>
      <c r="OMU67" s="627"/>
      <c r="OMW67" s="627"/>
      <c r="OMY67" s="627"/>
      <c r="ONA67" s="627"/>
      <c r="ONC67" s="627"/>
      <c r="ONE67" s="627"/>
      <c r="ONG67" s="627"/>
      <c r="ONI67" s="627"/>
      <c r="ONK67" s="627"/>
      <c r="ONM67" s="627"/>
      <c r="ONO67" s="627"/>
      <c r="ONQ67" s="627"/>
      <c r="ONS67" s="627"/>
      <c r="ONU67" s="627"/>
      <c r="ONW67" s="627"/>
      <c r="ONY67" s="627"/>
      <c r="OOA67" s="627"/>
      <c r="OOC67" s="627"/>
      <c r="OOE67" s="627"/>
      <c r="OOG67" s="627"/>
      <c r="OOI67" s="627"/>
      <c r="OOK67" s="627"/>
      <c r="OOM67" s="627"/>
      <c r="OOO67" s="627"/>
      <c r="OOQ67" s="627"/>
      <c r="OOS67" s="627"/>
      <c r="OOU67" s="627"/>
      <c r="OOW67" s="627"/>
      <c r="OOY67" s="627"/>
      <c r="OPA67" s="627"/>
      <c r="OPC67" s="627"/>
      <c r="OPE67" s="627"/>
      <c r="OPG67" s="627"/>
      <c r="OPI67" s="627"/>
      <c r="OPK67" s="627"/>
      <c r="OPM67" s="627"/>
      <c r="OPO67" s="627"/>
      <c r="OPQ67" s="627"/>
      <c r="OPS67" s="627"/>
      <c r="OPU67" s="627"/>
      <c r="OPW67" s="627"/>
      <c r="OPY67" s="627"/>
      <c r="OQA67" s="627"/>
      <c r="OQC67" s="627"/>
      <c r="OQE67" s="627"/>
      <c r="OQG67" s="627"/>
      <c r="OQI67" s="627"/>
      <c r="OQK67" s="627"/>
      <c r="OQM67" s="627"/>
      <c r="OQO67" s="627"/>
      <c r="OQQ67" s="627"/>
      <c r="OQS67" s="627"/>
      <c r="OQU67" s="627"/>
      <c r="OQW67" s="627"/>
      <c r="OQY67" s="627"/>
      <c r="ORA67" s="627"/>
      <c r="ORC67" s="627"/>
      <c r="ORE67" s="627"/>
      <c r="ORG67" s="627"/>
      <c r="ORI67" s="627"/>
      <c r="ORK67" s="627"/>
      <c r="ORM67" s="627"/>
      <c r="ORO67" s="627"/>
      <c r="ORQ67" s="627"/>
      <c r="ORS67" s="627"/>
      <c r="ORU67" s="627"/>
      <c r="ORW67" s="627"/>
      <c r="ORY67" s="627"/>
      <c r="OSA67" s="627"/>
      <c r="OSC67" s="627"/>
      <c r="OSE67" s="627"/>
      <c r="OSG67" s="627"/>
      <c r="OSI67" s="627"/>
      <c r="OSK67" s="627"/>
      <c r="OSM67" s="627"/>
      <c r="OSO67" s="627"/>
      <c r="OSQ67" s="627"/>
      <c r="OSS67" s="627"/>
      <c r="OSU67" s="627"/>
      <c r="OSW67" s="627"/>
      <c r="OSY67" s="627"/>
      <c r="OTA67" s="627"/>
      <c r="OTC67" s="627"/>
      <c r="OTE67" s="627"/>
      <c r="OTG67" s="627"/>
      <c r="OTI67" s="627"/>
      <c r="OTK67" s="627"/>
      <c r="OTM67" s="627"/>
      <c r="OTO67" s="627"/>
      <c r="OTQ67" s="627"/>
      <c r="OTS67" s="627"/>
      <c r="OTU67" s="627"/>
      <c r="OTW67" s="627"/>
      <c r="OTY67" s="627"/>
      <c r="OUA67" s="627"/>
      <c r="OUC67" s="627"/>
      <c r="OUE67" s="627"/>
      <c r="OUG67" s="627"/>
      <c r="OUI67" s="627"/>
      <c r="OUK67" s="627"/>
      <c r="OUM67" s="627"/>
      <c r="OUO67" s="627"/>
      <c r="OUQ67" s="627"/>
      <c r="OUS67" s="627"/>
      <c r="OUU67" s="627"/>
      <c r="OUW67" s="627"/>
      <c r="OUY67" s="627"/>
      <c r="OVA67" s="627"/>
      <c r="OVC67" s="627"/>
      <c r="OVE67" s="627"/>
      <c r="OVG67" s="627"/>
      <c r="OVI67" s="627"/>
      <c r="OVK67" s="627"/>
      <c r="OVM67" s="627"/>
      <c r="OVO67" s="627"/>
      <c r="OVQ67" s="627"/>
      <c r="OVS67" s="627"/>
      <c r="OVU67" s="627"/>
      <c r="OVW67" s="627"/>
      <c r="OVY67" s="627"/>
      <c r="OWA67" s="627"/>
      <c r="OWC67" s="627"/>
      <c r="OWE67" s="627"/>
      <c r="OWG67" s="627"/>
      <c r="OWI67" s="627"/>
      <c r="OWK67" s="627"/>
      <c r="OWM67" s="627"/>
      <c r="OWO67" s="627"/>
      <c r="OWQ67" s="627"/>
      <c r="OWS67" s="627"/>
      <c r="OWU67" s="627"/>
      <c r="OWW67" s="627"/>
      <c r="OWY67" s="627"/>
      <c r="OXA67" s="627"/>
      <c r="OXC67" s="627"/>
      <c r="OXE67" s="627"/>
      <c r="OXG67" s="627"/>
      <c r="OXI67" s="627"/>
      <c r="OXK67" s="627"/>
      <c r="OXM67" s="627"/>
      <c r="OXO67" s="627"/>
      <c r="OXQ67" s="627"/>
      <c r="OXS67" s="627"/>
      <c r="OXU67" s="627"/>
      <c r="OXW67" s="627"/>
      <c r="OXY67" s="627"/>
      <c r="OYA67" s="627"/>
      <c r="OYC67" s="627"/>
      <c r="OYE67" s="627"/>
      <c r="OYG67" s="627"/>
      <c r="OYI67" s="627"/>
      <c r="OYK67" s="627"/>
      <c r="OYM67" s="627"/>
      <c r="OYO67" s="627"/>
      <c r="OYQ67" s="627"/>
      <c r="OYS67" s="627"/>
      <c r="OYU67" s="627"/>
      <c r="OYW67" s="627"/>
      <c r="OYY67" s="627"/>
      <c r="OZA67" s="627"/>
      <c r="OZC67" s="627"/>
      <c r="OZE67" s="627"/>
      <c r="OZG67" s="627"/>
      <c r="OZI67" s="627"/>
      <c r="OZK67" s="627"/>
      <c r="OZM67" s="627"/>
      <c r="OZO67" s="627"/>
      <c r="OZQ67" s="627"/>
      <c r="OZS67" s="627"/>
      <c r="OZU67" s="627"/>
      <c r="OZW67" s="627"/>
      <c r="OZY67" s="627"/>
      <c r="PAA67" s="627"/>
      <c r="PAC67" s="627"/>
      <c r="PAE67" s="627"/>
      <c r="PAG67" s="627"/>
      <c r="PAI67" s="627"/>
      <c r="PAK67" s="627"/>
      <c r="PAM67" s="627"/>
      <c r="PAO67" s="627"/>
      <c r="PAQ67" s="627"/>
      <c r="PAS67" s="627"/>
      <c r="PAU67" s="627"/>
      <c r="PAW67" s="627"/>
      <c r="PAY67" s="627"/>
      <c r="PBA67" s="627"/>
      <c r="PBC67" s="627"/>
      <c r="PBE67" s="627"/>
      <c r="PBG67" s="627"/>
      <c r="PBI67" s="627"/>
      <c r="PBK67" s="627"/>
      <c r="PBM67" s="627"/>
      <c r="PBO67" s="627"/>
      <c r="PBQ67" s="627"/>
      <c r="PBS67" s="627"/>
      <c r="PBU67" s="627"/>
      <c r="PBW67" s="627"/>
      <c r="PBY67" s="627"/>
      <c r="PCA67" s="627"/>
      <c r="PCC67" s="627"/>
      <c r="PCE67" s="627"/>
      <c r="PCG67" s="627"/>
      <c r="PCI67" s="627"/>
      <c r="PCK67" s="627"/>
      <c r="PCM67" s="627"/>
      <c r="PCO67" s="627"/>
      <c r="PCQ67" s="627"/>
      <c r="PCS67" s="627"/>
      <c r="PCU67" s="627"/>
      <c r="PCW67" s="627"/>
      <c r="PCY67" s="627"/>
      <c r="PDA67" s="627"/>
      <c r="PDC67" s="627"/>
      <c r="PDE67" s="627"/>
      <c r="PDG67" s="627"/>
      <c r="PDI67" s="627"/>
      <c r="PDK67" s="627"/>
      <c r="PDM67" s="627"/>
      <c r="PDO67" s="627"/>
      <c r="PDQ67" s="627"/>
      <c r="PDS67" s="627"/>
      <c r="PDU67" s="627"/>
      <c r="PDW67" s="627"/>
      <c r="PDY67" s="627"/>
      <c r="PEA67" s="627"/>
      <c r="PEC67" s="627"/>
      <c r="PEE67" s="627"/>
      <c r="PEG67" s="627"/>
      <c r="PEI67" s="627"/>
      <c r="PEK67" s="627"/>
      <c r="PEM67" s="627"/>
      <c r="PEO67" s="627"/>
      <c r="PEQ67" s="627"/>
      <c r="PES67" s="627"/>
      <c r="PEU67" s="627"/>
      <c r="PEW67" s="627"/>
      <c r="PEY67" s="627"/>
      <c r="PFA67" s="627"/>
      <c r="PFC67" s="627"/>
      <c r="PFE67" s="627"/>
      <c r="PFG67" s="627"/>
      <c r="PFI67" s="627"/>
      <c r="PFK67" s="627"/>
      <c r="PFM67" s="627"/>
      <c r="PFO67" s="627"/>
      <c r="PFQ67" s="627"/>
      <c r="PFS67" s="627"/>
      <c r="PFU67" s="627"/>
      <c r="PFW67" s="627"/>
      <c r="PFY67" s="627"/>
      <c r="PGA67" s="627"/>
      <c r="PGC67" s="627"/>
      <c r="PGE67" s="627"/>
      <c r="PGG67" s="627"/>
      <c r="PGI67" s="627"/>
      <c r="PGK67" s="627"/>
      <c r="PGM67" s="627"/>
      <c r="PGO67" s="627"/>
      <c r="PGQ67" s="627"/>
      <c r="PGS67" s="627"/>
      <c r="PGU67" s="627"/>
      <c r="PGW67" s="627"/>
      <c r="PGY67" s="627"/>
      <c r="PHA67" s="627"/>
      <c r="PHC67" s="627"/>
      <c r="PHE67" s="627"/>
      <c r="PHG67" s="627"/>
      <c r="PHI67" s="627"/>
      <c r="PHK67" s="627"/>
      <c r="PHM67" s="627"/>
      <c r="PHO67" s="627"/>
      <c r="PHQ67" s="627"/>
      <c r="PHS67" s="627"/>
      <c r="PHU67" s="627"/>
      <c r="PHW67" s="627"/>
      <c r="PHY67" s="627"/>
      <c r="PIA67" s="627"/>
      <c r="PIC67" s="627"/>
      <c r="PIE67" s="627"/>
      <c r="PIG67" s="627"/>
      <c r="PII67" s="627"/>
      <c r="PIK67" s="627"/>
      <c r="PIM67" s="627"/>
      <c r="PIO67" s="627"/>
      <c r="PIQ67" s="627"/>
      <c r="PIS67" s="627"/>
      <c r="PIU67" s="627"/>
      <c r="PIW67" s="627"/>
      <c r="PIY67" s="627"/>
      <c r="PJA67" s="627"/>
      <c r="PJC67" s="627"/>
      <c r="PJE67" s="627"/>
      <c r="PJG67" s="627"/>
      <c r="PJI67" s="627"/>
      <c r="PJK67" s="627"/>
      <c r="PJM67" s="627"/>
      <c r="PJO67" s="627"/>
      <c r="PJQ67" s="627"/>
      <c r="PJS67" s="627"/>
      <c r="PJU67" s="627"/>
      <c r="PJW67" s="627"/>
      <c r="PJY67" s="627"/>
      <c r="PKA67" s="627"/>
      <c r="PKC67" s="627"/>
      <c r="PKE67" s="627"/>
      <c r="PKG67" s="627"/>
      <c r="PKI67" s="627"/>
      <c r="PKK67" s="627"/>
      <c r="PKM67" s="627"/>
      <c r="PKO67" s="627"/>
      <c r="PKQ67" s="627"/>
      <c r="PKS67" s="627"/>
      <c r="PKU67" s="627"/>
      <c r="PKW67" s="627"/>
      <c r="PKY67" s="627"/>
      <c r="PLA67" s="627"/>
      <c r="PLC67" s="627"/>
      <c r="PLE67" s="627"/>
      <c r="PLG67" s="627"/>
      <c r="PLI67" s="627"/>
      <c r="PLK67" s="627"/>
      <c r="PLM67" s="627"/>
      <c r="PLO67" s="627"/>
      <c r="PLQ67" s="627"/>
      <c r="PLS67" s="627"/>
      <c r="PLU67" s="627"/>
      <c r="PLW67" s="627"/>
      <c r="PLY67" s="627"/>
      <c r="PMA67" s="627"/>
      <c r="PMC67" s="627"/>
      <c r="PME67" s="627"/>
      <c r="PMG67" s="627"/>
      <c r="PMI67" s="627"/>
      <c r="PMK67" s="627"/>
      <c r="PMM67" s="627"/>
      <c r="PMO67" s="627"/>
      <c r="PMQ67" s="627"/>
      <c r="PMS67" s="627"/>
      <c r="PMU67" s="627"/>
      <c r="PMW67" s="627"/>
      <c r="PMY67" s="627"/>
      <c r="PNA67" s="627"/>
      <c r="PNC67" s="627"/>
      <c r="PNE67" s="627"/>
      <c r="PNG67" s="627"/>
      <c r="PNI67" s="627"/>
      <c r="PNK67" s="627"/>
      <c r="PNM67" s="627"/>
      <c r="PNO67" s="627"/>
      <c r="PNQ67" s="627"/>
      <c r="PNS67" s="627"/>
      <c r="PNU67" s="627"/>
      <c r="PNW67" s="627"/>
      <c r="PNY67" s="627"/>
      <c r="POA67" s="627"/>
      <c r="POC67" s="627"/>
      <c r="POE67" s="627"/>
      <c r="POG67" s="627"/>
      <c r="POI67" s="627"/>
      <c r="POK67" s="627"/>
      <c r="POM67" s="627"/>
      <c r="POO67" s="627"/>
      <c r="POQ67" s="627"/>
      <c r="POS67" s="627"/>
      <c r="POU67" s="627"/>
      <c r="POW67" s="627"/>
      <c r="POY67" s="627"/>
      <c r="PPA67" s="627"/>
      <c r="PPC67" s="627"/>
      <c r="PPE67" s="627"/>
      <c r="PPG67" s="627"/>
      <c r="PPI67" s="627"/>
      <c r="PPK67" s="627"/>
      <c r="PPM67" s="627"/>
      <c r="PPO67" s="627"/>
      <c r="PPQ67" s="627"/>
      <c r="PPS67" s="627"/>
      <c r="PPU67" s="627"/>
      <c r="PPW67" s="627"/>
      <c r="PPY67" s="627"/>
      <c r="PQA67" s="627"/>
      <c r="PQC67" s="627"/>
      <c r="PQE67" s="627"/>
      <c r="PQG67" s="627"/>
      <c r="PQI67" s="627"/>
      <c r="PQK67" s="627"/>
      <c r="PQM67" s="627"/>
      <c r="PQO67" s="627"/>
      <c r="PQQ67" s="627"/>
      <c r="PQS67" s="627"/>
      <c r="PQU67" s="627"/>
      <c r="PQW67" s="627"/>
      <c r="PQY67" s="627"/>
      <c r="PRA67" s="627"/>
      <c r="PRC67" s="627"/>
      <c r="PRE67" s="627"/>
      <c r="PRG67" s="627"/>
      <c r="PRI67" s="627"/>
      <c r="PRK67" s="627"/>
      <c r="PRM67" s="627"/>
      <c r="PRO67" s="627"/>
      <c r="PRQ67" s="627"/>
      <c r="PRS67" s="627"/>
      <c r="PRU67" s="627"/>
      <c r="PRW67" s="627"/>
      <c r="PRY67" s="627"/>
      <c r="PSA67" s="627"/>
      <c r="PSC67" s="627"/>
      <c r="PSE67" s="627"/>
      <c r="PSG67" s="627"/>
      <c r="PSI67" s="627"/>
      <c r="PSK67" s="627"/>
      <c r="PSM67" s="627"/>
      <c r="PSO67" s="627"/>
      <c r="PSQ67" s="627"/>
      <c r="PSS67" s="627"/>
      <c r="PSU67" s="627"/>
      <c r="PSW67" s="627"/>
      <c r="PSY67" s="627"/>
      <c r="PTA67" s="627"/>
      <c r="PTC67" s="627"/>
      <c r="PTE67" s="627"/>
      <c r="PTG67" s="627"/>
      <c r="PTI67" s="627"/>
      <c r="PTK67" s="627"/>
      <c r="PTM67" s="627"/>
      <c r="PTO67" s="627"/>
      <c r="PTQ67" s="627"/>
      <c r="PTS67" s="627"/>
      <c r="PTU67" s="627"/>
      <c r="PTW67" s="627"/>
      <c r="PTY67" s="627"/>
      <c r="PUA67" s="627"/>
      <c r="PUC67" s="627"/>
      <c r="PUE67" s="627"/>
      <c r="PUG67" s="627"/>
      <c r="PUI67" s="627"/>
      <c r="PUK67" s="627"/>
      <c r="PUM67" s="627"/>
      <c r="PUO67" s="627"/>
      <c r="PUQ67" s="627"/>
      <c r="PUS67" s="627"/>
      <c r="PUU67" s="627"/>
      <c r="PUW67" s="627"/>
      <c r="PUY67" s="627"/>
      <c r="PVA67" s="627"/>
      <c r="PVC67" s="627"/>
      <c r="PVE67" s="627"/>
      <c r="PVG67" s="627"/>
      <c r="PVI67" s="627"/>
      <c r="PVK67" s="627"/>
      <c r="PVM67" s="627"/>
      <c r="PVO67" s="627"/>
      <c r="PVQ67" s="627"/>
      <c r="PVS67" s="627"/>
      <c r="PVU67" s="627"/>
      <c r="PVW67" s="627"/>
      <c r="PVY67" s="627"/>
      <c r="PWA67" s="627"/>
      <c r="PWC67" s="627"/>
      <c r="PWE67" s="627"/>
      <c r="PWG67" s="627"/>
      <c r="PWI67" s="627"/>
      <c r="PWK67" s="627"/>
      <c r="PWM67" s="627"/>
      <c r="PWO67" s="627"/>
      <c r="PWQ67" s="627"/>
      <c r="PWS67" s="627"/>
      <c r="PWU67" s="627"/>
      <c r="PWW67" s="627"/>
      <c r="PWY67" s="627"/>
      <c r="PXA67" s="627"/>
      <c r="PXC67" s="627"/>
      <c r="PXE67" s="627"/>
      <c r="PXG67" s="627"/>
      <c r="PXI67" s="627"/>
      <c r="PXK67" s="627"/>
      <c r="PXM67" s="627"/>
      <c r="PXO67" s="627"/>
      <c r="PXQ67" s="627"/>
      <c r="PXS67" s="627"/>
      <c r="PXU67" s="627"/>
      <c r="PXW67" s="627"/>
      <c r="PXY67" s="627"/>
      <c r="PYA67" s="627"/>
      <c r="PYC67" s="627"/>
      <c r="PYE67" s="627"/>
      <c r="PYG67" s="627"/>
      <c r="PYI67" s="627"/>
      <c r="PYK67" s="627"/>
      <c r="PYM67" s="627"/>
      <c r="PYO67" s="627"/>
      <c r="PYQ67" s="627"/>
      <c r="PYS67" s="627"/>
      <c r="PYU67" s="627"/>
      <c r="PYW67" s="627"/>
      <c r="PYY67" s="627"/>
      <c r="PZA67" s="627"/>
      <c r="PZC67" s="627"/>
      <c r="PZE67" s="627"/>
      <c r="PZG67" s="627"/>
      <c r="PZI67" s="627"/>
      <c r="PZK67" s="627"/>
      <c r="PZM67" s="627"/>
      <c r="PZO67" s="627"/>
      <c r="PZQ67" s="627"/>
      <c r="PZS67" s="627"/>
      <c r="PZU67" s="627"/>
      <c r="PZW67" s="627"/>
      <c r="PZY67" s="627"/>
      <c r="QAA67" s="627"/>
      <c r="QAC67" s="627"/>
      <c r="QAE67" s="627"/>
      <c r="QAG67" s="627"/>
      <c r="QAI67" s="627"/>
      <c r="QAK67" s="627"/>
      <c r="QAM67" s="627"/>
      <c r="QAO67" s="627"/>
      <c r="QAQ67" s="627"/>
      <c r="QAS67" s="627"/>
      <c r="QAU67" s="627"/>
      <c r="QAW67" s="627"/>
      <c r="QAY67" s="627"/>
      <c r="QBA67" s="627"/>
      <c r="QBC67" s="627"/>
      <c r="QBE67" s="627"/>
      <c r="QBG67" s="627"/>
      <c r="QBI67" s="627"/>
      <c r="QBK67" s="627"/>
      <c r="QBM67" s="627"/>
      <c r="QBO67" s="627"/>
      <c r="QBQ67" s="627"/>
      <c r="QBS67" s="627"/>
      <c r="QBU67" s="627"/>
      <c r="QBW67" s="627"/>
      <c r="QBY67" s="627"/>
      <c r="QCA67" s="627"/>
      <c r="QCC67" s="627"/>
      <c r="QCE67" s="627"/>
      <c r="QCG67" s="627"/>
      <c r="QCI67" s="627"/>
      <c r="QCK67" s="627"/>
      <c r="QCM67" s="627"/>
      <c r="QCO67" s="627"/>
      <c r="QCQ67" s="627"/>
      <c r="QCS67" s="627"/>
      <c r="QCU67" s="627"/>
      <c r="QCW67" s="627"/>
      <c r="QCY67" s="627"/>
      <c r="QDA67" s="627"/>
      <c r="QDC67" s="627"/>
      <c r="QDE67" s="627"/>
      <c r="QDG67" s="627"/>
      <c r="QDI67" s="627"/>
      <c r="QDK67" s="627"/>
      <c r="QDM67" s="627"/>
      <c r="QDO67" s="627"/>
      <c r="QDQ67" s="627"/>
      <c r="QDS67" s="627"/>
      <c r="QDU67" s="627"/>
      <c r="QDW67" s="627"/>
      <c r="QDY67" s="627"/>
      <c r="QEA67" s="627"/>
      <c r="QEC67" s="627"/>
      <c r="QEE67" s="627"/>
      <c r="QEG67" s="627"/>
      <c r="QEI67" s="627"/>
      <c r="QEK67" s="627"/>
      <c r="QEM67" s="627"/>
      <c r="QEO67" s="627"/>
      <c r="QEQ67" s="627"/>
      <c r="QES67" s="627"/>
      <c r="QEU67" s="627"/>
      <c r="QEW67" s="627"/>
      <c r="QEY67" s="627"/>
      <c r="QFA67" s="627"/>
      <c r="QFC67" s="627"/>
      <c r="QFE67" s="627"/>
      <c r="QFG67" s="627"/>
      <c r="QFI67" s="627"/>
      <c r="QFK67" s="627"/>
      <c r="QFM67" s="627"/>
      <c r="QFO67" s="627"/>
      <c r="QFQ67" s="627"/>
      <c r="QFS67" s="627"/>
      <c r="QFU67" s="627"/>
      <c r="QFW67" s="627"/>
      <c r="QFY67" s="627"/>
      <c r="QGA67" s="627"/>
      <c r="QGC67" s="627"/>
      <c r="QGE67" s="627"/>
      <c r="QGG67" s="627"/>
      <c r="QGI67" s="627"/>
      <c r="QGK67" s="627"/>
      <c r="QGM67" s="627"/>
      <c r="QGO67" s="627"/>
      <c r="QGQ67" s="627"/>
      <c r="QGS67" s="627"/>
      <c r="QGU67" s="627"/>
      <c r="QGW67" s="627"/>
      <c r="QGY67" s="627"/>
      <c r="QHA67" s="627"/>
      <c r="QHC67" s="627"/>
      <c r="QHE67" s="627"/>
      <c r="QHG67" s="627"/>
      <c r="QHI67" s="627"/>
      <c r="QHK67" s="627"/>
      <c r="QHM67" s="627"/>
      <c r="QHO67" s="627"/>
      <c r="QHQ67" s="627"/>
      <c r="QHS67" s="627"/>
      <c r="QHU67" s="627"/>
      <c r="QHW67" s="627"/>
      <c r="QHY67" s="627"/>
      <c r="QIA67" s="627"/>
      <c r="QIC67" s="627"/>
      <c r="QIE67" s="627"/>
      <c r="QIG67" s="627"/>
      <c r="QII67" s="627"/>
      <c r="QIK67" s="627"/>
      <c r="QIM67" s="627"/>
      <c r="QIO67" s="627"/>
      <c r="QIQ67" s="627"/>
      <c r="QIS67" s="627"/>
      <c r="QIU67" s="627"/>
      <c r="QIW67" s="627"/>
      <c r="QIY67" s="627"/>
      <c r="QJA67" s="627"/>
      <c r="QJC67" s="627"/>
      <c r="QJE67" s="627"/>
      <c r="QJG67" s="627"/>
      <c r="QJI67" s="627"/>
      <c r="QJK67" s="627"/>
      <c r="QJM67" s="627"/>
      <c r="QJO67" s="627"/>
      <c r="QJQ67" s="627"/>
      <c r="QJS67" s="627"/>
      <c r="QJU67" s="627"/>
      <c r="QJW67" s="627"/>
      <c r="QJY67" s="627"/>
      <c r="QKA67" s="627"/>
      <c r="QKC67" s="627"/>
      <c r="QKE67" s="627"/>
      <c r="QKG67" s="627"/>
      <c r="QKI67" s="627"/>
      <c r="QKK67" s="627"/>
      <c r="QKM67" s="627"/>
      <c r="QKO67" s="627"/>
      <c r="QKQ67" s="627"/>
      <c r="QKS67" s="627"/>
      <c r="QKU67" s="627"/>
      <c r="QKW67" s="627"/>
      <c r="QKY67" s="627"/>
      <c r="QLA67" s="627"/>
      <c r="QLC67" s="627"/>
      <c r="QLE67" s="627"/>
      <c r="QLG67" s="627"/>
      <c r="QLI67" s="627"/>
      <c r="QLK67" s="627"/>
      <c r="QLM67" s="627"/>
      <c r="QLO67" s="627"/>
      <c r="QLQ67" s="627"/>
      <c r="QLS67" s="627"/>
      <c r="QLU67" s="627"/>
      <c r="QLW67" s="627"/>
      <c r="QLY67" s="627"/>
      <c r="QMA67" s="627"/>
      <c r="QMC67" s="627"/>
      <c r="QME67" s="627"/>
      <c r="QMG67" s="627"/>
      <c r="QMI67" s="627"/>
      <c r="QMK67" s="627"/>
      <c r="QMM67" s="627"/>
      <c r="QMO67" s="627"/>
      <c r="QMQ67" s="627"/>
      <c r="QMS67" s="627"/>
      <c r="QMU67" s="627"/>
      <c r="QMW67" s="627"/>
      <c r="QMY67" s="627"/>
      <c r="QNA67" s="627"/>
      <c r="QNC67" s="627"/>
      <c r="QNE67" s="627"/>
      <c r="QNG67" s="627"/>
      <c r="QNI67" s="627"/>
      <c r="QNK67" s="627"/>
      <c r="QNM67" s="627"/>
      <c r="QNO67" s="627"/>
      <c r="QNQ67" s="627"/>
      <c r="QNS67" s="627"/>
      <c r="QNU67" s="627"/>
      <c r="QNW67" s="627"/>
      <c r="QNY67" s="627"/>
      <c r="QOA67" s="627"/>
      <c r="QOC67" s="627"/>
      <c r="QOE67" s="627"/>
      <c r="QOG67" s="627"/>
      <c r="QOI67" s="627"/>
      <c r="QOK67" s="627"/>
      <c r="QOM67" s="627"/>
      <c r="QOO67" s="627"/>
      <c r="QOQ67" s="627"/>
      <c r="QOS67" s="627"/>
      <c r="QOU67" s="627"/>
      <c r="QOW67" s="627"/>
      <c r="QOY67" s="627"/>
      <c r="QPA67" s="627"/>
      <c r="QPC67" s="627"/>
      <c r="QPE67" s="627"/>
      <c r="QPG67" s="627"/>
      <c r="QPI67" s="627"/>
      <c r="QPK67" s="627"/>
      <c r="QPM67" s="627"/>
      <c r="QPO67" s="627"/>
      <c r="QPQ67" s="627"/>
      <c r="QPS67" s="627"/>
      <c r="QPU67" s="627"/>
      <c r="QPW67" s="627"/>
      <c r="QPY67" s="627"/>
      <c r="QQA67" s="627"/>
      <c r="QQC67" s="627"/>
      <c r="QQE67" s="627"/>
      <c r="QQG67" s="627"/>
      <c r="QQI67" s="627"/>
      <c r="QQK67" s="627"/>
      <c r="QQM67" s="627"/>
      <c r="QQO67" s="627"/>
      <c r="QQQ67" s="627"/>
      <c r="QQS67" s="627"/>
      <c r="QQU67" s="627"/>
      <c r="QQW67" s="627"/>
      <c r="QQY67" s="627"/>
      <c r="QRA67" s="627"/>
      <c r="QRC67" s="627"/>
      <c r="QRE67" s="627"/>
      <c r="QRG67" s="627"/>
      <c r="QRI67" s="627"/>
      <c r="QRK67" s="627"/>
      <c r="QRM67" s="627"/>
      <c r="QRO67" s="627"/>
      <c r="QRQ67" s="627"/>
      <c r="QRS67" s="627"/>
      <c r="QRU67" s="627"/>
      <c r="QRW67" s="627"/>
      <c r="QRY67" s="627"/>
      <c r="QSA67" s="627"/>
      <c r="QSC67" s="627"/>
      <c r="QSE67" s="627"/>
      <c r="QSG67" s="627"/>
      <c r="QSI67" s="627"/>
      <c r="QSK67" s="627"/>
      <c r="QSM67" s="627"/>
      <c r="QSO67" s="627"/>
      <c r="QSQ67" s="627"/>
      <c r="QSS67" s="627"/>
      <c r="QSU67" s="627"/>
      <c r="QSW67" s="627"/>
      <c r="QSY67" s="627"/>
      <c r="QTA67" s="627"/>
      <c r="QTC67" s="627"/>
      <c r="QTE67" s="627"/>
      <c r="QTG67" s="627"/>
      <c r="QTI67" s="627"/>
      <c r="QTK67" s="627"/>
      <c r="QTM67" s="627"/>
      <c r="QTO67" s="627"/>
      <c r="QTQ67" s="627"/>
      <c r="QTS67" s="627"/>
      <c r="QTU67" s="627"/>
      <c r="QTW67" s="627"/>
      <c r="QTY67" s="627"/>
      <c r="QUA67" s="627"/>
      <c r="QUC67" s="627"/>
      <c r="QUE67" s="627"/>
      <c r="QUG67" s="627"/>
      <c r="QUI67" s="627"/>
      <c r="QUK67" s="627"/>
      <c r="QUM67" s="627"/>
      <c r="QUO67" s="627"/>
      <c r="QUQ67" s="627"/>
      <c r="QUS67" s="627"/>
      <c r="QUU67" s="627"/>
      <c r="QUW67" s="627"/>
      <c r="QUY67" s="627"/>
      <c r="QVA67" s="627"/>
      <c r="QVC67" s="627"/>
      <c r="QVE67" s="627"/>
      <c r="QVG67" s="627"/>
      <c r="QVI67" s="627"/>
      <c r="QVK67" s="627"/>
      <c r="QVM67" s="627"/>
      <c r="QVO67" s="627"/>
      <c r="QVQ67" s="627"/>
      <c r="QVS67" s="627"/>
      <c r="QVU67" s="627"/>
      <c r="QVW67" s="627"/>
      <c r="QVY67" s="627"/>
      <c r="QWA67" s="627"/>
      <c r="QWC67" s="627"/>
      <c r="QWE67" s="627"/>
      <c r="QWG67" s="627"/>
      <c r="QWI67" s="627"/>
      <c r="QWK67" s="627"/>
      <c r="QWM67" s="627"/>
      <c r="QWO67" s="627"/>
      <c r="QWQ67" s="627"/>
      <c r="QWS67" s="627"/>
      <c r="QWU67" s="627"/>
      <c r="QWW67" s="627"/>
      <c r="QWY67" s="627"/>
      <c r="QXA67" s="627"/>
      <c r="QXC67" s="627"/>
      <c r="QXE67" s="627"/>
      <c r="QXG67" s="627"/>
      <c r="QXI67" s="627"/>
      <c r="QXK67" s="627"/>
      <c r="QXM67" s="627"/>
      <c r="QXO67" s="627"/>
      <c r="QXQ67" s="627"/>
      <c r="QXS67" s="627"/>
      <c r="QXU67" s="627"/>
      <c r="QXW67" s="627"/>
      <c r="QXY67" s="627"/>
      <c r="QYA67" s="627"/>
      <c r="QYC67" s="627"/>
      <c r="QYE67" s="627"/>
      <c r="QYG67" s="627"/>
      <c r="QYI67" s="627"/>
      <c r="QYK67" s="627"/>
      <c r="QYM67" s="627"/>
      <c r="QYO67" s="627"/>
      <c r="QYQ67" s="627"/>
      <c r="QYS67" s="627"/>
      <c r="QYU67" s="627"/>
      <c r="QYW67" s="627"/>
      <c r="QYY67" s="627"/>
      <c r="QZA67" s="627"/>
      <c r="QZC67" s="627"/>
      <c r="QZE67" s="627"/>
      <c r="QZG67" s="627"/>
      <c r="QZI67" s="627"/>
      <c r="QZK67" s="627"/>
      <c r="QZM67" s="627"/>
      <c r="QZO67" s="627"/>
      <c r="QZQ67" s="627"/>
      <c r="QZS67" s="627"/>
      <c r="QZU67" s="627"/>
      <c r="QZW67" s="627"/>
      <c r="QZY67" s="627"/>
      <c r="RAA67" s="627"/>
      <c r="RAC67" s="627"/>
      <c r="RAE67" s="627"/>
      <c r="RAG67" s="627"/>
      <c r="RAI67" s="627"/>
      <c r="RAK67" s="627"/>
      <c r="RAM67" s="627"/>
      <c r="RAO67" s="627"/>
      <c r="RAQ67" s="627"/>
      <c r="RAS67" s="627"/>
      <c r="RAU67" s="627"/>
      <c r="RAW67" s="627"/>
      <c r="RAY67" s="627"/>
      <c r="RBA67" s="627"/>
      <c r="RBC67" s="627"/>
      <c r="RBE67" s="627"/>
      <c r="RBG67" s="627"/>
      <c r="RBI67" s="627"/>
      <c r="RBK67" s="627"/>
      <c r="RBM67" s="627"/>
      <c r="RBO67" s="627"/>
      <c r="RBQ67" s="627"/>
      <c r="RBS67" s="627"/>
      <c r="RBU67" s="627"/>
      <c r="RBW67" s="627"/>
      <c r="RBY67" s="627"/>
      <c r="RCA67" s="627"/>
      <c r="RCC67" s="627"/>
      <c r="RCE67" s="627"/>
      <c r="RCG67" s="627"/>
      <c r="RCI67" s="627"/>
      <c r="RCK67" s="627"/>
      <c r="RCM67" s="627"/>
      <c r="RCO67" s="627"/>
      <c r="RCQ67" s="627"/>
      <c r="RCS67" s="627"/>
      <c r="RCU67" s="627"/>
      <c r="RCW67" s="627"/>
      <c r="RCY67" s="627"/>
      <c r="RDA67" s="627"/>
      <c r="RDC67" s="627"/>
      <c r="RDE67" s="627"/>
      <c r="RDG67" s="627"/>
      <c r="RDI67" s="627"/>
      <c r="RDK67" s="627"/>
      <c r="RDM67" s="627"/>
      <c r="RDO67" s="627"/>
      <c r="RDQ67" s="627"/>
      <c r="RDS67" s="627"/>
      <c r="RDU67" s="627"/>
      <c r="RDW67" s="627"/>
      <c r="RDY67" s="627"/>
      <c r="REA67" s="627"/>
      <c r="REC67" s="627"/>
      <c r="REE67" s="627"/>
      <c r="REG67" s="627"/>
      <c r="REI67" s="627"/>
      <c r="REK67" s="627"/>
      <c r="REM67" s="627"/>
      <c r="REO67" s="627"/>
      <c r="REQ67" s="627"/>
      <c r="RES67" s="627"/>
      <c r="REU67" s="627"/>
      <c r="REW67" s="627"/>
      <c r="REY67" s="627"/>
      <c r="RFA67" s="627"/>
      <c r="RFC67" s="627"/>
      <c r="RFE67" s="627"/>
      <c r="RFG67" s="627"/>
      <c r="RFI67" s="627"/>
      <c r="RFK67" s="627"/>
      <c r="RFM67" s="627"/>
      <c r="RFO67" s="627"/>
      <c r="RFQ67" s="627"/>
      <c r="RFS67" s="627"/>
      <c r="RFU67" s="627"/>
      <c r="RFW67" s="627"/>
      <c r="RFY67" s="627"/>
      <c r="RGA67" s="627"/>
      <c r="RGC67" s="627"/>
      <c r="RGE67" s="627"/>
      <c r="RGG67" s="627"/>
      <c r="RGI67" s="627"/>
      <c r="RGK67" s="627"/>
      <c r="RGM67" s="627"/>
      <c r="RGO67" s="627"/>
      <c r="RGQ67" s="627"/>
      <c r="RGS67" s="627"/>
      <c r="RGU67" s="627"/>
      <c r="RGW67" s="627"/>
      <c r="RGY67" s="627"/>
      <c r="RHA67" s="627"/>
      <c r="RHC67" s="627"/>
      <c r="RHE67" s="627"/>
      <c r="RHG67" s="627"/>
      <c r="RHI67" s="627"/>
      <c r="RHK67" s="627"/>
      <c r="RHM67" s="627"/>
      <c r="RHO67" s="627"/>
      <c r="RHQ67" s="627"/>
      <c r="RHS67" s="627"/>
      <c r="RHU67" s="627"/>
      <c r="RHW67" s="627"/>
      <c r="RHY67" s="627"/>
      <c r="RIA67" s="627"/>
      <c r="RIC67" s="627"/>
      <c r="RIE67" s="627"/>
      <c r="RIG67" s="627"/>
      <c r="RII67" s="627"/>
      <c r="RIK67" s="627"/>
      <c r="RIM67" s="627"/>
      <c r="RIO67" s="627"/>
      <c r="RIQ67" s="627"/>
      <c r="RIS67" s="627"/>
      <c r="RIU67" s="627"/>
      <c r="RIW67" s="627"/>
      <c r="RIY67" s="627"/>
      <c r="RJA67" s="627"/>
      <c r="RJC67" s="627"/>
      <c r="RJE67" s="627"/>
      <c r="RJG67" s="627"/>
      <c r="RJI67" s="627"/>
      <c r="RJK67" s="627"/>
      <c r="RJM67" s="627"/>
      <c r="RJO67" s="627"/>
      <c r="RJQ67" s="627"/>
      <c r="RJS67" s="627"/>
      <c r="RJU67" s="627"/>
      <c r="RJW67" s="627"/>
      <c r="RJY67" s="627"/>
      <c r="RKA67" s="627"/>
      <c r="RKC67" s="627"/>
      <c r="RKE67" s="627"/>
      <c r="RKG67" s="627"/>
      <c r="RKI67" s="627"/>
      <c r="RKK67" s="627"/>
      <c r="RKM67" s="627"/>
      <c r="RKO67" s="627"/>
      <c r="RKQ67" s="627"/>
      <c r="RKS67" s="627"/>
      <c r="RKU67" s="627"/>
      <c r="RKW67" s="627"/>
      <c r="RKY67" s="627"/>
      <c r="RLA67" s="627"/>
      <c r="RLC67" s="627"/>
      <c r="RLE67" s="627"/>
      <c r="RLG67" s="627"/>
      <c r="RLI67" s="627"/>
      <c r="RLK67" s="627"/>
      <c r="RLM67" s="627"/>
      <c r="RLO67" s="627"/>
      <c r="RLQ67" s="627"/>
      <c r="RLS67" s="627"/>
      <c r="RLU67" s="627"/>
      <c r="RLW67" s="627"/>
      <c r="RLY67" s="627"/>
      <c r="RMA67" s="627"/>
      <c r="RMC67" s="627"/>
      <c r="RME67" s="627"/>
      <c r="RMG67" s="627"/>
      <c r="RMI67" s="627"/>
      <c r="RMK67" s="627"/>
      <c r="RMM67" s="627"/>
      <c r="RMO67" s="627"/>
      <c r="RMQ67" s="627"/>
      <c r="RMS67" s="627"/>
      <c r="RMU67" s="627"/>
      <c r="RMW67" s="627"/>
      <c r="RMY67" s="627"/>
      <c r="RNA67" s="627"/>
      <c r="RNC67" s="627"/>
      <c r="RNE67" s="627"/>
      <c r="RNG67" s="627"/>
      <c r="RNI67" s="627"/>
      <c r="RNK67" s="627"/>
      <c r="RNM67" s="627"/>
      <c r="RNO67" s="627"/>
      <c r="RNQ67" s="627"/>
      <c r="RNS67" s="627"/>
      <c r="RNU67" s="627"/>
      <c r="RNW67" s="627"/>
      <c r="RNY67" s="627"/>
      <c r="ROA67" s="627"/>
      <c r="ROC67" s="627"/>
      <c r="ROE67" s="627"/>
      <c r="ROG67" s="627"/>
      <c r="ROI67" s="627"/>
      <c r="ROK67" s="627"/>
      <c r="ROM67" s="627"/>
      <c r="ROO67" s="627"/>
      <c r="ROQ67" s="627"/>
      <c r="ROS67" s="627"/>
      <c r="ROU67" s="627"/>
      <c r="ROW67" s="627"/>
      <c r="ROY67" s="627"/>
      <c r="RPA67" s="627"/>
      <c r="RPC67" s="627"/>
      <c r="RPE67" s="627"/>
      <c r="RPG67" s="627"/>
      <c r="RPI67" s="627"/>
      <c r="RPK67" s="627"/>
      <c r="RPM67" s="627"/>
      <c r="RPO67" s="627"/>
      <c r="RPQ67" s="627"/>
      <c r="RPS67" s="627"/>
      <c r="RPU67" s="627"/>
      <c r="RPW67" s="627"/>
      <c r="RPY67" s="627"/>
      <c r="RQA67" s="627"/>
      <c r="RQC67" s="627"/>
      <c r="RQE67" s="627"/>
      <c r="RQG67" s="627"/>
      <c r="RQI67" s="627"/>
      <c r="RQK67" s="627"/>
      <c r="RQM67" s="627"/>
      <c r="RQO67" s="627"/>
      <c r="RQQ67" s="627"/>
      <c r="RQS67" s="627"/>
      <c r="RQU67" s="627"/>
      <c r="RQW67" s="627"/>
      <c r="RQY67" s="627"/>
      <c r="RRA67" s="627"/>
      <c r="RRC67" s="627"/>
      <c r="RRE67" s="627"/>
      <c r="RRG67" s="627"/>
      <c r="RRI67" s="627"/>
      <c r="RRK67" s="627"/>
      <c r="RRM67" s="627"/>
      <c r="RRO67" s="627"/>
      <c r="RRQ67" s="627"/>
      <c r="RRS67" s="627"/>
      <c r="RRU67" s="627"/>
      <c r="RRW67" s="627"/>
      <c r="RRY67" s="627"/>
      <c r="RSA67" s="627"/>
      <c r="RSC67" s="627"/>
      <c r="RSE67" s="627"/>
      <c r="RSG67" s="627"/>
      <c r="RSI67" s="627"/>
      <c r="RSK67" s="627"/>
      <c r="RSM67" s="627"/>
      <c r="RSO67" s="627"/>
      <c r="RSQ67" s="627"/>
      <c r="RSS67" s="627"/>
      <c r="RSU67" s="627"/>
      <c r="RSW67" s="627"/>
      <c r="RSY67" s="627"/>
      <c r="RTA67" s="627"/>
      <c r="RTC67" s="627"/>
      <c r="RTE67" s="627"/>
      <c r="RTG67" s="627"/>
      <c r="RTI67" s="627"/>
      <c r="RTK67" s="627"/>
      <c r="RTM67" s="627"/>
      <c r="RTO67" s="627"/>
      <c r="RTQ67" s="627"/>
      <c r="RTS67" s="627"/>
      <c r="RTU67" s="627"/>
      <c r="RTW67" s="627"/>
      <c r="RTY67" s="627"/>
      <c r="RUA67" s="627"/>
      <c r="RUC67" s="627"/>
      <c r="RUE67" s="627"/>
      <c r="RUG67" s="627"/>
      <c r="RUI67" s="627"/>
      <c r="RUK67" s="627"/>
      <c r="RUM67" s="627"/>
      <c r="RUO67" s="627"/>
      <c r="RUQ67" s="627"/>
      <c r="RUS67" s="627"/>
      <c r="RUU67" s="627"/>
      <c r="RUW67" s="627"/>
      <c r="RUY67" s="627"/>
      <c r="RVA67" s="627"/>
      <c r="RVC67" s="627"/>
      <c r="RVE67" s="627"/>
      <c r="RVG67" s="627"/>
      <c r="RVI67" s="627"/>
      <c r="RVK67" s="627"/>
      <c r="RVM67" s="627"/>
      <c r="RVO67" s="627"/>
      <c r="RVQ67" s="627"/>
      <c r="RVS67" s="627"/>
      <c r="RVU67" s="627"/>
      <c r="RVW67" s="627"/>
      <c r="RVY67" s="627"/>
      <c r="RWA67" s="627"/>
      <c r="RWC67" s="627"/>
      <c r="RWE67" s="627"/>
      <c r="RWG67" s="627"/>
      <c r="RWI67" s="627"/>
      <c r="RWK67" s="627"/>
      <c r="RWM67" s="627"/>
      <c r="RWO67" s="627"/>
      <c r="RWQ67" s="627"/>
      <c r="RWS67" s="627"/>
      <c r="RWU67" s="627"/>
      <c r="RWW67" s="627"/>
      <c r="RWY67" s="627"/>
      <c r="RXA67" s="627"/>
      <c r="RXC67" s="627"/>
      <c r="RXE67" s="627"/>
      <c r="RXG67" s="627"/>
      <c r="RXI67" s="627"/>
      <c r="RXK67" s="627"/>
      <c r="RXM67" s="627"/>
      <c r="RXO67" s="627"/>
      <c r="RXQ67" s="627"/>
      <c r="RXS67" s="627"/>
      <c r="RXU67" s="627"/>
      <c r="RXW67" s="627"/>
      <c r="RXY67" s="627"/>
      <c r="RYA67" s="627"/>
      <c r="RYC67" s="627"/>
      <c r="RYE67" s="627"/>
      <c r="RYG67" s="627"/>
      <c r="RYI67" s="627"/>
      <c r="RYK67" s="627"/>
      <c r="RYM67" s="627"/>
      <c r="RYO67" s="627"/>
      <c r="RYQ67" s="627"/>
      <c r="RYS67" s="627"/>
      <c r="RYU67" s="627"/>
      <c r="RYW67" s="627"/>
      <c r="RYY67" s="627"/>
      <c r="RZA67" s="627"/>
      <c r="RZC67" s="627"/>
      <c r="RZE67" s="627"/>
      <c r="RZG67" s="627"/>
      <c r="RZI67" s="627"/>
      <c r="RZK67" s="627"/>
      <c r="RZM67" s="627"/>
      <c r="RZO67" s="627"/>
      <c r="RZQ67" s="627"/>
      <c r="RZS67" s="627"/>
      <c r="RZU67" s="627"/>
      <c r="RZW67" s="627"/>
      <c r="RZY67" s="627"/>
      <c r="SAA67" s="627"/>
      <c r="SAC67" s="627"/>
      <c r="SAE67" s="627"/>
      <c r="SAG67" s="627"/>
      <c r="SAI67" s="627"/>
      <c r="SAK67" s="627"/>
      <c r="SAM67" s="627"/>
      <c r="SAO67" s="627"/>
      <c r="SAQ67" s="627"/>
      <c r="SAS67" s="627"/>
      <c r="SAU67" s="627"/>
      <c r="SAW67" s="627"/>
      <c r="SAY67" s="627"/>
      <c r="SBA67" s="627"/>
      <c r="SBC67" s="627"/>
      <c r="SBE67" s="627"/>
      <c r="SBG67" s="627"/>
      <c r="SBI67" s="627"/>
      <c r="SBK67" s="627"/>
      <c r="SBM67" s="627"/>
      <c r="SBO67" s="627"/>
      <c r="SBQ67" s="627"/>
      <c r="SBS67" s="627"/>
      <c r="SBU67" s="627"/>
      <c r="SBW67" s="627"/>
      <c r="SBY67" s="627"/>
      <c r="SCA67" s="627"/>
      <c r="SCC67" s="627"/>
      <c r="SCE67" s="627"/>
      <c r="SCG67" s="627"/>
      <c r="SCI67" s="627"/>
      <c r="SCK67" s="627"/>
      <c r="SCM67" s="627"/>
      <c r="SCO67" s="627"/>
      <c r="SCQ67" s="627"/>
      <c r="SCS67" s="627"/>
      <c r="SCU67" s="627"/>
      <c r="SCW67" s="627"/>
      <c r="SCY67" s="627"/>
      <c r="SDA67" s="627"/>
      <c r="SDC67" s="627"/>
      <c r="SDE67" s="627"/>
      <c r="SDG67" s="627"/>
      <c r="SDI67" s="627"/>
      <c r="SDK67" s="627"/>
      <c r="SDM67" s="627"/>
      <c r="SDO67" s="627"/>
      <c r="SDQ67" s="627"/>
      <c r="SDS67" s="627"/>
      <c r="SDU67" s="627"/>
      <c r="SDW67" s="627"/>
      <c r="SDY67" s="627"/>
      <c r="SEA67" s="627"/>
      <c r="SEC67" s="627"/>
      <c r="SEE67" s="627"/>
      <c r="SEG67" s="627"/>
      <c r="SEI67" s="627"/>
      <c r="SEK67" s="627"/>
      <c r="SEM67" s="627"/>
      <c r="SEO67" s="627"/>
      <c r="SEQ67" s="627"/>
      <c r="SES67" s="627"/>
      <c r="SEU67" s="627"/>
      <c r="SEW67" s="627"/>
      <c r="SEY67" s="627"/>
      <c r="SFA67" s="627"/>
      <c r="SFC67" s="627"/>
      <c r="SFE67" s="627"/>
      <c r="SFG67" s="627"/>
      <c r="SFI67" s="627"/>
      <c r="SFK67" s="627"/>
      <c r="SFM67" s="627"/>
      <c r="SFO67" s="627"/>
      <c r="SFQ67" s="627"/>
      <c r="SFS67" s="627"/>
      <c r="SFU67" s="627"/>
      <c r="SFW67" s="627"/>
      <c r="SFY67" s="627"/>
      <c r="SGA67" s="627"/>
      <c r="SGC67" s="627"/>
      <c r="SGE67" s="627"/>
      <c r="SGG67" s="627"/>
      <c r="SGI67" s="627"/>
      <c r="SGK67" s="627"/>
      <c r="SGM67" s="627"/>
      <c r="SGO67" s="627"/>
      <c r="SGQ67" s="627"/>
      <c r="SGS67" s="627"/>
      <c r="SGU67" s="627"/>
      <c r="SGW67" s="627"/>
      <c r="SGY67" s="627"/>
      <c r="SHA67" s="627"/>
      <c r="SHC67" s="627"/>
      <c r="SHE67" s="627"/>
      <c r="SHG67" s="627"/>
      <c r="SHI67" s="627"/>
      <c r="SHK67" s="627"/>
      <c r="SHM67" s="627"/>
      <c r="SHO67" s="627"/>
      <c r="SHQ67" s="627"/>
      <c r="SHS67" s="627"/>
      <c r="SHU67" s="627"/>
      <c r="SHW67" s="627"/>
      <c r="SHY67" s="627"/>
      <c r="SIA67" s="627"/>
      <c r="SIC67" s="627"/>
      <c r="SIE67" s="627"/>
      <c r="SIG67" s="627"/>
      <c r="SII67" s="627"/>
      <c r="SIK67" s="627"/>
      <c r="SIM67" s="627"/>
      <c r="SIO67" s="627"/>
      <c r="SIQ67" s="627"/>
      <c r="SIS67" s="627"/>
      <c r="SIU67" s="627"/>
      <c r="SIW67" s="627"/>
      <c r="SIY67" s="627"/>
      <c r="SJA67" s="627"/>
      <c r="SJC67" s="627"/>
      <c r="SJE67" s="627"/>
      <c r="SJG67" s="627"/>
      <c r="SJI67" s="627"/>
      <c r="SJK67" s="627"/>
      <c r="SJM67" s="627"/>
      <c r="SJO67" s="627"/>
      <c r="SJQ67" s="627"/>
      <c r="SJS67" s="627"/>
      <c r="SJU67" s="627"/>
      <c r="SJW67" s="627"/>
      <c r="SJY67" s="627"/>
      <c r="SKA67" s="627"/>
      <c r="SKC67" s="627"/>
      <c r="SKE67" s="627"/>
      <c r="SKG67" s="627"/>
      <c r="SKI67" s="627"/>
      <c r="SKK67" s="627"/>
      <c r="SKM67" s="627"/>
      <c r="SKO67" s="627"/>
      <c r="SKQ67" s="627"/>
      <c r="SKS67" s="627"/>
      <c r="SKU67" s="627"/>
      <c r="SKW67" s="627"/>
      <c r="SKY67" s="627"/>
      <c r="SLA67" s="627"/>
      <c r="SLC67" s="627"/>
      <c r="SLE67" s="627"/>
      <c r="SLG67" s="627"/>
      <c r="SLI67" s="627"/>
      <c r="SLK67" s="627"/>
      <c r="SLM67" s="627"/>
      <c r="SLO67" s="627"/>
      <c r="SLQ67" s="627"/>
      <c r="SLS67" s="627"/>
      <c r="SLU67" s="627"/>
      <c r="SLW67" s="627"/>
      <c r="SLY67" s="627"/>
      <c r="SMA67" s="627"/>
      <c r="SMC67" s="627"/>
      <c r="SME67" s="627"/>
      <c r="SMG67" s="627"/>
      <c r="SMI67" s="627"/>
      <c r="SMK67" s="627"/>
      <c r="SMM67" s="627"/>
      <c r="SMO67" s="627"/>
      <c r="SMQ67" s="627"/>
      <c r="SMS67" s="627"/>
      <c r="SMU67" s="627"/>
      <c r="SMW67" s="627"/>
      <c r="SMY67" s="627"/>
      <c r="SNA67" s="627"/>
      <c r="SNC67" s="627"/>
      <c r="SNE67" s="627"/>
      <c r="SNG67" s="627"/>
      <c r="SNI67" s="627"/>
      <c r="SNK67" s="627"/>
      <c r="SNM67" s="627"/>
      <c r="SNO67" s="627"/>
      <c r="SNQ67" s="627"/>
      <c r="SNS67" s="627"/>
      <c r="SNU67" s="627"/>
      <c r="SNW67" s="627"/>
      <c r="SNY67" s="627"/>
      <c r="SOA67" s="627"/>
      <c r="SOC67" s="627"/>
      <c r="SOE67" s="627"/>
      <c r="SOG67" s="627"/>
      <c r="SOI67" s="627"/>
      <c r="SOK67" s="627"/>
      <c r="SOM67" s="627"/>
      <c r="SOO67" s="627"/>
      <c r="SOQ67" s="627"/>
      <c r="SOS67" s="627"/>
      <c r="SOU67" s="627"/>
      <c r="SOW67" s="627"/>
      <c r="SOY67" s="627"/>
      <c r="SPA67" s="627"/>
      <c r="SPC67" s="627"/>
      <c r="SPE67" s="627"/>
      <c r="SPG67" s="627"/>
      <c r="SPI67" s="627"/>
      <c r="SPK67" s="627"/>
      <c r="SPM67" s="627"/>
      <c r="SPO67" s="627"/>
      <c r="SPQ67" s="627"/>
      <c r="SPS67" s="627"/>
      <c r="SPU67" s="627"/>
      <c r="SPW67" s="627"/>
      <c r="SPY67" s="627"/>
      <c r="SQA67" s="627"/>
      <c r="SQC67" s="627"/>
      <c r="SQE67" s="627"/>
      <c r="SQG67" s="627"/>
      <c r="SQI67" s="627"/>
      <c r="SQK67" s="627"/>
      <c r="SQM67" s="627"/>
      <c r="SQO67" s="627"/>
      <c r="SQQ67" s="627"/>
      <c r="SQS67" s="627"/>
      <c r="SQU67" s="627"/>
      <c r="SQW67" s="627"/>
      <c r="SQY67" s="627"/>
      <c r="SRA67" s="627"/>
      <c r="SRC67" s="627"/>
      <c r="SRE67" s="627"/>
      <c r="SRG67" s="627"/>
      <c r="SRI67" s="627"/>
      <c r="SRK67" s="627"/>
      <c r="SRM67" s="627"/>
      <c r="SRO67" s="627"/>
      <c r="SRQ67" s="627"/>
      <c r="SRS67" s="627"/>
      <c r="SRU67" s="627"/>
      <c r="SRW67" s="627"/>
      <c r="SRY67" s="627"/>
      <c r="SSA67" s="627"/>
      <c r="SSC67" s="627"/>
      <c r="SSE67" s="627"/>
      <c r="SSG67" s="627"/>
      <c r="SSI67" s="627"/>
      <c r="SSK67" s="627"/>
      <c r="SSM67" s="627"/>
      <c r="SSO67" s="627"/>
      <c r="SSQ67" s="627"/>
      <c r="SSS67" s="627"/>
      <c r="SSU67" s="627"/>
      <c r="SSW67" s="627"/>
      <c r="SSY67" s="627"/>
      <c r="STA67" s="627"/>
      <c r="STC67" s="627"/>
      <c r="STE67" s="627"/>
      <c r="STG67" s="627"/>
      <c r="STI67" s="627"/>
      <c r="STK67" s="627"/>
      <c r="STM67" s="627"/>
      <c r="STO67" s="627"/>
      <c r="STQ67" s="627"/>
      <c r="STS67" s="627"/>
      <c r="STU67" s="627"/>
      <c r="STW67" s="627"/>
      <c r="STY67" s="627"/>
      <c r="SUA67" s="627"/>
      <c r="SUC67" s="627"/>
      <c r="SUE67" s="627"/>
      <c r="SUG67" s="627"/>
      <c r="SUI67" s="627"/>
      <c r="SUK67" s="627"/>
      <c r="SUM67" s="627"/>
      <c r="SUO67" s="627"/>
      <c r="SUQ67" s="627"/>
      <c r="SUS67" s="627"/>
      <c r="SUU67" s="627"/>
      <c r="SUW67" s="627"/>
      <c r="SUY67" s="627"/>
      <c r="SVA67" s="627"/>
      <c r="SVC67" s="627"/>
      <c r="SVE67" s="627"/>
      <c r="SVG67" s="627"/>
      <c r="SVI67" s="627"/>
      <c r="SVK67" s="627"/>
      <c r="SVM67" s="627"/>
      <c r="SVO67" s="627"/>
      <c r="SVQ67" s="627"/>
      <c r="SVS67" s="627"/>
      <c r="SVU67" s="627"/>
      <c r="SVW67" s="627"/>
      <c r="SVY67" s="627"/>
      <c r="SWA67" s="627"/>
      <c r="SWC67" s="627"/>
      <c r="SWE67" s="627"/>
      <c r="SWG67" s="627"/>
      <c r="SWI67" s="627"/>
      <c r="SWK67" s="627"/>
      <c r="SWM67" s="627"/>
      <c r="SWO67" s="627"/>
      <c r="SWQ67" s="627"/>
      <c r="SWS67" s="627"/>
      <c r="SWU67" s="627"/>
      <c r="SWW67" s="627"/>
      <c r="SWY67" s="627"/>
      <c r="SXA67" s="627"/>
      <c r="SXC67" s="627"/>
      <c r="SXE67" s="627"/>
      <c r="SXG67" s="627"/>
      <c r="SXI67" s="627"/>
      <c r="SXK67" s="627"/>
      <c r="SXM67" s="627"/>
      <c r="SXO67" s="627"/>
      <c r="SXQ67" s="627"/>
      <c r="SXS67" s="627"/>
      <c r="SXU67" s="627"/>
      <c r="SXW67" s="627"/>
      <c r="SXY67" s="627"/>
      <c r="SYA67" s="627"/>
      <c r="SYC67" s="627"/>
      <c r="SYE67" s="627"/>
      <c r="SYG67" s="627"/>
      <c r="SYI67" s="627"/>
      <c r="SYK67" s="627"/>
      <c r="SYM67" s="627"/>
      <c r="SYO67" s="627"/>
      <c r="SYQ67" s="627"/>
      <c r="SYS67" s="627"/>
      <c r="SYU67" s="627"/>
      <c r="SYW67" s="627"/>
      <c r="SYY67" s="627"/>
      <c r="SZA67" s="627"/>
      <c r="SZC67" s="627"/>
      <c r="SZE67" s="627"/>
      <c r="SZG67" s="627"/>
      <c r="SZI67" s="627"/>
      <c r="SZK67" s="627"/>
      <c r="SZM67" s="627"/>
      <c r="SZO67" s="627"/>
      <c r="SZQ67" s="627"/>
      <c r="SZS67" s="627"/>
      <c r="SZU67" s="627"/>
      <c r="SZW67" s="627"/>
      <c r="SZY67" s="627"/>
      <c r="TAA67" s="627"/>
      <c r="TAC67" s="627"/>
      <c r="TAE67" s="627"/>
      <c r="TAG67" s="627"/>
      <c r="TAI67" s="627"/>
      <c r="TAK67" s="627"/>
      <c r="TAM67" s="627"/>
      <c r="TAO67" s="627"/>
      <c r="TAQ67" s="627"/>
      <c r="TAS67" s="627"/>
      <c r="TAU67" s="627"/>
      <c r="TAW67" s="627"/>
      <c r="TAY67" s="627"/>
      <c r="TBA67" s="627"/>
      <c r="TBC67" s="627"/>
      <c r="TBE67" s="627"/>
      <c r="TBG67" s="627"/>
      <c r="TBI67" s="627"/>
      <c r="TBK67" s="627"/>
      <c r="TBM67" s="627"/>
      <c r="TBO67" s="627"/>
      <c r="TBQ67" s="627"/>
      <c r="TBS67" s="627"/>
      <c r="TBU67" s="627"/>
      <c r="TBW67" s="627"/>
      <c r="TBY67" s="627"/>
      <c r="TCA67" s="627"/>
      <c r="TCC67" s="627"/>
      <c r="TCE67" s="627"/>
      <c r="TCG67" s="627"/>
      <c r="TCI67" s="627"/>
      <c r="TCK67" s="627"/>
      <c r="TCM67" s="627"/>
      <c r="TCO67" s="627"/>
      <c r="TCQ67" s="627"/>
      <c r="TCS67" s="627"/>
      <c r="TCU67" s="627"/>
      <c r="TCW67" s="627"/>
      <c r="TCY67" s="627"/>
      <c r="TDA67" s="627"/>
      <c r="TDC67" s="627"/>
      <c r="TDE67" s="627"/>
      <c r="TDG67" s="627"/>
      <c r="TDI67" s="627"/>
      <c r="TDK67" s="627"/>
      <c r="TDM67" s="627"/>
      <c r="TDO67" s="627"/>
      <c r="TDQ67" s="627"/>
      <c r="TDS67" s="627"/>
      <c r="TDU67" s="627"/>
      <c r="TDW67" s="627"/>
      <c r="TDY67" s="627"/>
      <c r="TEA67" s="627"/>
      <c r="TEC67" s="627"/>
      <c r="TEE67" s="627"/>
      <c r="TEG67" s="627"/>
      <c r="TEI67" s="627"/>
      <c r="TEK67" s="627"/>
      <c r="TEM67" s="627"/>
      <c r="TEO67" s="627"/>
      <c r="TEQ67" s="627"/>
      <c r="TES67" s="627"/>
      <c r="TEU67" s="627"/>
      <c r="TEW67" s="627"/>
      <c r="TEY67" s="627"/>
      <c r="TFA67" s="627"/>
      <c r="TFC67" s="627"/>
      <c r="TFE67" s="627"/>
      <c r="TFG67" s="627"/>
      <c r="TFI67" s="627"/>
      <c r="TFK67" s="627"/>
      <c r="TFM67" s="627"/>
      <c r="TFO67" s="627"/>
      <c r="TFQ67" s="627"/>
      <c r="TFS67" s="627"/>
      <c r="TFU67" s="627"/>
      <c r="TFW67" s="627"/>
      <c r="TFY67" s="627"/>
      <c r="TGA67" s="627"/>
      <c r="TGC67" s="627"/>
      <c r="TGE67" s="627"/>
      <c r="TGG67" s="627"/>
      <c r="TGI67" s="627"/>
      <c r="TGK67" s="627"/>
      <c r="TGM67" s="627"/>
      <c r="TGO67" s="627"/>
      <c r="TGQ67" s="627"/>
      <c r="TGS67" s="627"/>
      <c r="TGU67" s="627"/>
      <c r="TGW67" s="627"/>
      <c r="TGY67" s="627"/>
      <c r="THA67" s="627"/>
      <c r="THC67" s="627"/>
      <c r="THE67" s="627"/>
      <c r="THG67" s="627"/>
      <c r="THI67" s="627"/>
      <c r="THK67" s="627"/>
      <c r="THM67" s="627"/>
      <c r="THO67" s="627"/>
      <c r="THQ67" s="627"/>
      <c r="THS67" s="627"/>
      <c r="THU67" s="627"/>
      <c r="THW67" s="627"/>
      <c r="THY67" s="627"/>
      <c r="TIA67" s="627"/>
      <c r="TIC67" s="627"/>
      <c r="TIE67" s="627"/>
      <c r="TIG67" s="627"/>
      <c r="TII67" s="627"/>
      <c r="TIK67" s="627"/>
      <c r="TIM67" s="627"/>
      <c r="TIO67" s="627"/>
      <c r="TIQ67" s="627"/>
      <c r="TIS67" s="627"/>
      <c r="TIU67" s="627"/>
      <c r="TIW67" s="627"/>
      <c r="TIY67" s="627"/>
      <c r="TJA67" s="627"/>
      <c r="TJC67" s="627"/>
      <c r="TJE67" s="627"/>
      <c r="TJG67" s="627"/>
      <c r="TJI67" s="627"/>
      <c r="TJK67" s="627"/>
      <c r="TJM67" s="627"/>
      <c r="TJO67" s="627"/>
      <c r="TJQ67" s="627"/>
      <c r="TJS67" s="627"/>
      <c r="TJU67" s="627"/>
      <c r="TJW67" s="627"/>
      <c r="TJY67" s="627"/>
      <c r="TKA67" s="627"/>
      <c r="TKC67" s="627"/>
      <c r="TKE67" s="627"/>
      <c r="TKG67" s="627"/>
      <c r="TKI67" s="627"/>
      <c r="TKK67" s="627"/>
      <c r="TKM67" s="627"/>
      <c r="TKO67" s="627"/>
      <c r="TKQ67" s="627"/>
      <c r="TKS67" s="627"/>
      <c r="TKU67" s="627"/>
      <c r="TKW67" s="627"/>
      <c r="TKY67" s="627"/>
      <c r="TLA67" s="627"/>
      <c r="TLC67" s="627"/>
      <c r="TLE67" s="627"/>
      <c r="TLG67" s="627"/>
      <c r="TLI67" s="627"/>
      <c r="TLK67" s="627"/>
      <c r="TLM67" s="627"/>
      <c r="TLO67" s="627"/>
      <c r="TLQ67" s="627"/>
      <c r="TLS67" s="627"/>
      <c r="TLU67" s="627"/>
      <c r="TLW67" s="627"/>
      <c r="TLY67" s="627"/>
      <c r="TMA67" s="627"/>
      <c r="TMC67" s="627"/>
      <c r="TME67" s="627"/>
      <c r="TMG67" s="627"/>
      <c r="TMI67" s="627"/>
      <c r="TMK67" s="627"/>
      <c r="TMM67" s="627"/>
      <c r="TMO67" s="627"/>
      <c r="TMQ67" s="627"/>
      <c r="TMS67" s="627"/>
      <c r="TMU67" s="627"/>
      <c r="TMW67" s="627"/>
      <c r="TMY67" s="627"/>
      <c r="TNA67" s="627"/>
      <c r="TNC67" s="627"/>
      <c r="TNE67" s="627"/>
      <c r="TNG67" s="627"/>
      <c r="TNI67" s="627"/>
      <c r="TNK67" s="627"/>
      <c r="TNM67" s="627"/>
      <c r="TNO67" s="627"/>
      <c r="TNQ67" s="627"/>
      <c r="TNS67" s="627"/>
      <c r="TNU67" s="627"/>
      <c r="TNW67" s="627"/>
      <c r="TNY67" s="627"/>
      <c r="TOA67" s="627"/>
      <c r="TOC67" s="627"/>
      <c r="TOE67" s="627"/>
      <c r="TOG67" s="627"/>
      <c r="TOI67" s="627"/>
      <c r="TOK67" s="627"/>
      <c r="TOM67" s="627"/>
      <c r="TOO67" s="627"/>
      <c r="TOQ67" s="627"/>
      <c r="TOS67" s="627"/>
      <c r="TOU67" s="627"/>
      <c r="TOW67" s="627"/>
      <c r="TOY67" s="627"/>
      <c r="TPA67" s="627"/>
      <c r="TPC67" s="627"/>
      <c r="TPE67" s="627"/>
      <c r="TPG67" s="627"/>
      <c r="TPI67" s="627"/>
      <c r="TPK67" s="627"/>
      <c r="TPM67" s="627"/>
      <c r="TPO67" s="627"/>
      <c r="TPQ67" s="627"/>
      <c r="TPS67" s="627"/>
      <c r="TPU67" s="627"/>
      <c r="TPW67" s="627"/>
      <c r="TPY67" s="627"/>
      <c r="TQA67" s="627"/>
      <c r="TQC67" s="627"/>
      <c r="TQE67" s="627"/>
      <c r="TQG67" s="627"/>
      <c r="TQI67" s="627"/>
      <c r="TQK67" s="627"/>
      <c r="TQM67" s="627"/>
      <c r="TQO67" s="627"/>
      <c r="TQQ67" s="627"/>
      <c r="TQS67" s="627"/>
      <c r="TQU67" s="627"/>
      <c r="TQW67" s="627"/>
      <c r="TQY67" s="627"/>
      <c r="TRA67" s="627"/>
      <c r="TRC67" s="627"/>
      <c r="TRE67" s="627"/>
      <c r="TRG67" s="627"/>
      <c r="TRI67" s="627"/>
      <c r="TRK67" s="627"/>
      <c r="TRM67" s="627"/>
      <c r="TRO67" s="627"/>
      <c r="TRQ67" s="627"/>
      <c r="TRS67" s="627"/>
      <c r="TRU67" s="627"/>
      <c r="TRW67" s="627"/>
      <c r="TRY67" s="627"/>
      <c r="TSA67" s="627"/>
      <c r="TSC67" s="627"/>
      <c r="TSE67" s="627"/>
      <c r="TSG67" s="627"/>
      <c r="TSI67" s="627"/>
      <c r="TSK67" s="627"/>
      <c r="TSM67" s="627"/>
      <c r="TSO67" s="627"/>
      <c r="TSQ67" s="627"/>
      <c r="TSS67" s="627"/>
      <c r="TSU67" s="627"/>
      <c r="TSW67" s="627"/>
      <c r="TSY67" s="627"/>
      <c r="TTA67" s="627"/>
      <c r="TTC67" s="627"/>
      <c r="TTE67" s="627"/>
      <c r="TTG67" s="627"/>
      <c r="TTI67" s="627"/>
      <c r="TTK67" s="627"/>
      <c r="TTM67" s="627"/>
      <c r="TTO67" s="627"/>
      <c r="TTQ67" s="627"/>
      <c r="TTS67" s="627"/>
      <c r="TTU67" s="627"/>
      <c r="TTW67" s="627"/>
      <c r="TTY67" s="627"/>
      <c r="TUA67" s="627"/>
      <c r="TUC67" s="627"/>
      <c r="TUE67" s="627"/>
      <c r="TUG67" s="627"/>
      <c r="TUI67" s="627"/>
      <c r="TUK67" s="627"/>
      <c r="TUM67" s="627"/>
      <c r="TUO67" s="627"/>
      <c r="TUQ67" s="627"/>
      <c r="TUS67" s="627"/>
      <c r="TUU67" s="627"/>
      <c r="TUW67" s="627"/>
      <c r="TUY67" s="627"/>
      <c r="TVA67" s="627"/>
      <c r="TVC67" s="627"/>
      <c r="TVE67" s="627"/>
      <c r="TVG67" s="627"/>
      <c r="TVI67" s="627"/>
      <c r="TVK67" s="627"/>
      <c r="TVM67" s="627"/>
      <c r="TVO67" s="627"/>
      <c r="TVQ67" s="627"/>
      <c r="TVS67" s="627"/>
      <c r="TVU67" s="627"/>
      <c r="TVW67" s="627"/>
      <c r="TVY67" s="627"/>
      <c r="TWA67" s="627"/>
      <c r="TWC67" s="627"/>
      <c r="TWE67" s="627"/>
      <c r="TWG67" s="627"/>
      <c r="TWI67" s="627"/>
      <c r="TWK67" s="627"/>
      <c r="TWM67" s="627"/>
      <c r="TWO67" s="627"/>
      <c r="TWQ67" s="627"/>
      <c r="TWS67" s="627"/>
      <c r="TWU67" s="627"/>
      <c r="TWW67" s="627"/>
      <c r="TWY67" s="627"/>
      <c r="TXA67" s="627"/>
      <c r="TXC67" s="627"/>
      <c r="TXE67" s="627"/>
      <c r="TXG67" s="627"/>
      <c r="TXI67" s="627"/>
      <c r="TXK67" s="627"/>
      <c r="TXM67" s="627"/>
      <c r="TXO67" s="627"/>
      <c r="TXQ67" s="627"/>
      <c r="TXS67" s="627"/>
      <c r="TXU67" s="627"/>
      <c r="TXW67" s="627"/>
      <c r="TXY67" s="627"/>
      <c r="TYA67" s="627"/>
      <c r="TYC67" s="627"/>
      <c r="TYE67" s="627"/>
      <c r="TYG67" s="627"/>
      <c r="TYI67" s="627"/>
      <c r="TYK67" s="627"/>
      <c r="TYM67" s="627"/>
      <c r="TYO67" s="627"/>
      <c r="TYQ67" s="627"/>
      <c r="TYS67" s="627"/>
      <c r="TYU67" s="627"/>
      <c r="TYW67" s="627"/>
      <c r="TYY67" s="627"/>
      <c r="TZA67" s="627"/>
      <c r="TZC67" s="627"/>
      <c r="TZE67" s="627"/>
      <c r="TZG67" s="627"/>
      <c r="TZI67" s="627"/>
      <c r="TZK67" s="627"/>
      <c r="TZM67" s="627"/>
      <c r="TZO67" s="627"/>
      <c r="TZQ67" s="627"/>
      <c r="TZS67" s="627"/>
      <c r="TZU67" s="627"/>
      <c r="TZW67" s="627"/>
      <c r="TZY67" s="627"/>
      <c r="UAA67" s="627"/>
      <c r="UAC67" s="627"/>
      <c r="UAE67" s="627"/>
      <c r="UAG67" s="627"/>
      <c r="UAI67" s="627"/>
      <c r="UAK67" s="627"/>
      <c r="UAM67" s="627"/>
      <c r="UAO67" s="627"/>
      <c r="UAQ67" s="627"/>
      <c r="UAS67" s="627"/>
      <c r="UAU67" s="627"/>
      <c r="UAW67" s="627"/>
      <c r="UAY67" s="627"/>
      <c r="UBA67" s="627"/>
      <c r="UBC67" s="627"/>
      <c r="UBE67" s="627"/>
      <c r="UBG67" s="627"/>
      <c r="UBI67" s="627"/>
      <c r="UBK67" s="627"/>
      <c r="UBM67" s="627"/>
      <c r="UBO67" s="627"/>
      <c r="UBQ67" s="627"/>
      <c r="UBS67" s="627"/>
      <c r="UBU67" s="627"/>
      <c r="UBW67" s="627"/>
      <c r="UBY67" s="627"/>
      <c r="UCA67" s="627"/>
      <c r="UCC67" s="627"/>
      <c r="UCE67" s="627"/>
      <c r="UCG67" s="627"/>
      <c r="UCI67" s="627"/>
      <c r="UCK67" s="627"/>
      <c r="UCM67" s="627"/>
      <c r="UCO67" s="627"/>
      <c r="UCQ67" s="627"/>
      <c r="UCS67" s="627"/>
      <c r="UCU67" s="627"/>
      <c r="UCW67" s="627"/>
      <c r="UCY67" s="627"/>
      <c r="UDA67" s="627"/>
      <c r="UDC67" s="627"/>
      <c r="UDE67" s="627"/>
      <c r="UDG67" s="627"/>
      <c r="UDI67" s="627"/>
      <c r="UDK67" s="627"/>
      <c r="UDM67" s="627"/>
      <c r="UDO67" s="627"/>
      <c r="UDQ67" s="627"/>
      <c r="UDS67" s="627"/>
      <c r="UDU67" s="627"/>
      <c r="UDW67" s="627"/>
      <c r="UDY67" s="627"/>
      <c r="UEA67" s="627"/>
      <c r="UEC67" s="627"/>
      <c r="UEE67" s="627"/>
      <c r="UEG67" s="627"/>
      <c r="UEI67" s="627"/>
      <c r="UEK67" s="627"/>
      <c r="UEM67" s="627"/>
      <c r="UEO67" s="627"/>
      <c r="UEQ67" s="627"/>
      <c r="UES67" s="627"/>
      <c r="UEU67" s="627"/>
      <c r="UEW67" s="627"/>
      <c r="UEY67" s="627"/>
      <c r="UFA67" s="627"/>
      <c r="UFC67" s="627"/>
      <c r="UFE67" s="627"/>
      <c r="UFG67" s="627"/>
      <c r="UFI67" s="627"/>
      <c r="UFK67" s="627"/>
      <c r="UFM67" s="627"/>
      <c r="UFO67" s="627"/>
      <c r="UFQ67" s="627"/>
      <c r="UFS67" s="627"/>
      <c r="UFU67" s="627"/>
      <c r="UFW67" s="627"/>
      <c r="UFY67" s="627"/>
      <c r="UGA67" s="627"/>
      <c r="UGC67" s="627"/>
      <c r="UGE67" s="627"/>
      <c r="UGG67" s="627"/>
      <c r="UGI67" s="627"/>
      <c r="UGK67" s="627"/>
      <c r="UGM67" s="627"/>
      <c r="UGO67" s="627"/>
      <c r="UGQ67" s="627"/>
      <c r="UGS67" s="627"/>
      <c r="UGU67" s="627"/>
      <c r="UGW67" s="627"/>
      <c r="UGY67" s="627"/>
      <c r="UHA67" s="627"/>
      <c r="UHC67" s="627"/>
      <c r="UHE67" s="627"/>
      <c r="UHG67" s="627"/>
      <c r="UHI67" s="627"/>
      <c r="UHK67" s="627"/>
      <c r="UHM67" s="627"/>
      <c r="UHO67" s="627"/>
      <c r="UHQ67" s="627"/>
      <c r="UHS67" s="627"/>
      <c r="UHU67" s="627"/>
      <c r="UHW67" s="627"/>
      <c r="UHY67" s="627"/>
      <c r="UIA67" s="627"/>
      <c r="UIC67" s="627"/>
      <c r="UIE67" s="627"/>
      <c r="UIG67" s="627"/>
      <c r="UII67" s="627"/>
      <c r="UIK67" s="627"/>
      <c r="UIM67" s="627"/>
      <c r="UIO67" s="627"/>
      <c r="UIQ67" s="627"/>
      <c r="UIS67" s="627"/>
      <c r="UIU67" s="627"/>
      <c r="UIW67" s="627"/>
      <c r="UIY67" s="627"/>
      <c r="UJA67" s="627"/>
      <c r="UJC67" s="627"/>
      <c r="UJE67" s="627"/>
      <c r="UJG67" s="627"/>
      <c r="UJI67" s="627"/>
      <c r="UJK67" s="627"/>
      <c r="UJM67" s="627"/>
      <c r="UJO67" s="627"/>
      <c r="UJQ67" s="627"/>
      <c r="UJS67" s="627"/>
      <c r="UJU67" s="627"/>
      <c r="UJW67" s="627"/>
      <c r="UJY67" s="627"/>
      <c r="UKA67" s="627"/>
      <c r="UKC67" s="627"/>
      <c r="UKE67" s="627"/>
      <c r="UKG67" s="627"/>
      <c r="UKI67" s="627"/>
      <c r="UKK67" s="627"/>
      <c r="UKM67" s="627"/>
      <c r="UKO67" s="627"/>
      <c r="UKQ67" s="627"/>
      <c r="UKS67" s="627"/>
      <c r="UKU67" s="627"/>
      <c r="UKW67" s="627"/>
      <c r="UKY67" s="627"/>
      <c r="ULA67" s="627"/>
      <c r="ULC67" s="627"/>
      <c r="ULE67" s="627"/>
      <c r="ULG67" s="627"/>
      <c r="ULI67" s="627"/>
      <c r="ULK67" s="627"/>
      <c r="ULM67" s="627"/>
      <c r="ULO67" s="627"/>
      <c r="ULQ67" s="627"/>
      <c r="ULS67" s="627"/>
      <c r="ULU67" s="627"/>
      <c r="ULW67" s="627"/>
      <c r="ULY67" s="627"/>
      <c r="UMA67" s="627"/>
      <c r="UMC67" s="627"/>
      <c r="UME67" s="627"/>
      <c r="UMG67" s="627"/>
      <c r="UMI67" s="627"/>
      <c r="UMK67" s="627"/>
      <c r="UMM67" s="627"/>
      <c r="UMO67" s="627"/>
      <c r="UMQ67" s="627"/>
      <c r="UMS67" s="627"/>
      <c r="UMU67" s="627"/>
      <c r="UMW67" s="627"/>
      <c r="UMY67" s="627"/>
      <c r="UNA67" s="627"/>
      <c r="UNC67" s="627"/>
      <c r="UNE67" s="627"/>
      <c r="UNG67" s="627"/>
      <c r="UNI67" s="627"/>
      <c r="UNK67" s="627"/>
      <c r="UNM67" s="627"/>
      <c r="UNO67" s="627"/>
      <c r="UNQ67" s="627"/>
      <c r="UNS67" s="627"/>
      <c r="UNU67" s="627"/>
      <c r="UNW67" s="627"/>
      <c r="UNY67" s="627"/>
      <c r="UOA67" s="627"/>
      <c r="UOC67" s="627"/>
      <c r="UOE67" s="627"/>
      <c r="UOG67" s="627"/>
      <c r="UOI67" s="627"/>
      <c r="UOK67" s="627"/>
      <c r="UOM67" s="627"/>
      <c r="UOO67" s="627"/>
      <c r="UOQ67" s="627"/>
      <c r="UOS67" s="627"/>
      <c r="UOU67" s="627"/>
      <c r="UOW67" s="627"/>
      <c r="UOY67" s="627"/>
      <c r="UPA67" s="627"/>
      <c r="UPC67" s="627"/>
      <c r="UPE67" s="627"/>
      <c r="UPG67" s="627"/>
      <c r="UPI67" s="627"/>
      <c r="UPK67" s="627"/>
      <c r="UPM67" s="627"/>
      <c r="UPO67" s="627"/>
      <c r="UPQ67" s="627"/>
      <c r="UPS67" s="627"/>
      <c r="UPU67" s="627"/>
      <c r="UPW67" s="627"/>
      <c r="UPY67" s="627"/>
      <c r="UQA67" s="627"/>
      <c r="UQC67" s="627"/>
      <c r="UQE67" s="627"/>
      <c r="UQG67" s="627"/>
      <c r="UQI67" s="627"/>
      <c r="UQK67" s="627"/>
      <c r="UQM67" s="627"/>
      <c r="UQO67" s="627"/>
      <c r="UQQ67" s="627"/>
      <c r="UQS67" s="627"/>
      <c r="UQU67" s="627"/>
      <c r="UQW67" s="627"/>
      <c r="UQY67" s="627"/>
      <c r="URA67" s="627"/>
      <c r="URC67" s="627"/>
      <c r="URE67" s="627"/>
      <c r="URG67" s="627"/>
      <c r="URI67" s="627"/>
      <c r="URK67" s="627"/>
      <c r="URM67" s="627"/>
      <c r="URO67" s="627"/>
      <c r="URQ67" s="627"/>
      <c r="URS67" s="627"/>
      <c r="URU67" s="627"/>
      <c r="URW67" s="627"/>
      <c r="URY67" s="627"/>
      <c r="USA67" s="627"/>
      <c r="USC67" s="627"/>
      <c r="USE67" s="627"/>
      <c r="USG67" s="627"/>
      <c r="USI67" s="627"/>
      <c r="USK67" s="627"/>
      <c r="USM67" s="627"/>
      <c r="USO67" s="627"/>
      <c r="USQ67" s="627"/>
      <c r="USS67" s="627"/>
      <c r="USU67" s="627"/>
      <c r="USW67" s="627"/>
      <c r="USY67" s="627"/>
      <c r="UTA67" s="627"/>
      <c r="UTC67" s="627"/>
      <c r="UTE67" s="627"/>
      <c r="UTG67" s="627"/>
      <c r="UTI67" s="627"/>
      <c r="UTK67" s="627"/>
      <c r="UTM67" s="627"/>
      <c r="UTO67" s="627"/>
      <c r="UTQ67" s="627"/>
      <c r="UTS67" s="627"/>
      <c r="UTU67" s="627"/>
      <c r="UTW67" s="627"/>
      <c r="UTY67" s="627"/>
      <c r="UUA67" s="627"/>
      <c r="UUC67" s="627"/>
      <c r="UUE67" s="627"/>
      <c r="UUG67" s="627"/>
      <c r="UUI67" s="627"/>
      <c r="UUK67" s="627"/>
      <c r="UUM67" s="627"/>
      <c r="UUO67" s="627"/>
      <c r="UUQ67" s="627"/>
      <c r="UUS67" s="627"/>
      <c r="UUU67" s="627"/>
      <c r="UUW67" s="627"/>
      <c r="UUY67" s="627"/>
      <c r="UVA67" s="627"/>
      <c r="UVC67" s="627"/>
      <c r="UVE67" s="627"/>
      <c r="UVG67" s="627"/>
      <c r="UVI67" s="627"/>
      <c r="UVK67" s="627"/>
      <c r="UVM67" s="627"/>
      <c r="UVO67" s="627"/>
      <c r="UVQ67" s="627"/>
      <c r="UVS67" s="627"/>
      <c r="UVU67" s="627"/>
      <c r="UVW67" s="627"/>
      <c r="UVY67" s="627"/>
      <c r="UWA67" s="627"/>
      <c r="UWC67" s="627"/>
      <c r="UWE67" s="627"/>
      <c r="UWG67" s="627"/>
      <c r="UWI67" s="627"/>
      <c r="UWK67" s="627"/>
      <c r="UWM67" s="627"/>
      <c r="UWO67" s="627"/>
      <c r="UWQ67" s="627"/>
      <c r="UWS67" s="627"/>
      <c r="UWU67" s="627"/>
      <c r="UWW67" s="627"/>
      <c r="UWY67" s="627"/>
      <c r="UXA67" s="627"/>
      <c r="UXC67" s="627"/>
      <c r="UXE67" s="627"/>
      <c r="UXG67" s="627"/>
      <c r="UXI67" s="627"/>
      <c r="UXK67" s="627"/>
      <c r="UXM67" s="627"/>
      <c r="UXO67" s="627"/>
      <c r="UXQ67" s="627"/>
      <c r="UXS67" s="627"/>
      <c r="UXU67" s="627"/>
      <c r="UXW67" s="627"/>
      <c r="UXY67" s="627"/>
      <c r="UYA67" s="627"/>
      <c r="UYC67" s="627"/>
      <c r="UYE67" s="627"/>
      <c r="UYG67" s="627"/>
      <c r="UYI67" s="627"/>
      <c r="UYK67" s="627"/>
      <c r="UYM67" s="627"/>
      <c r="UYO67" s="627"/>
      <c r="UYQ67" s="627"/>
      <c r="UYS67" s="627"/>
      <c r="UYU67" s="627"/>
      <c r="UYW67" s="627"/>
      <c r="UYY67" s="627"/>
      <c r="UZA67" s="627"/>
      <c r="UZC67" s="627"/>
      <c r="UZE67" s="627"/>
      <c r="UZG67" s="627"/>
      <c r="UZI67" s="627"/>
      <c r="UZK67" s="627"/>
      <c r="UZM67" s="627"/>
      <c r="UZO67" s="627"/>
      <c r="UZQ67" s="627"/>
      <c r="UZS67" s="627"/>
      <c r="UZU67" s="627"/>
      <c r="UZW67" s="627"/>
      <c r="UZY67" s="627"/>
      <c r="VAA67" s="627"/>
      <c r="VAC67" s="627"/>
      <c r="VAE67" s="627"/>
      <c r="VAG67" s="627"/>
      <c r="VAI67" s="627"/>
      <c r="VAK67" s="627"/>
      <c r="VAM67" s="627"/>
      <c r="VAO67" s="627"/>
      <c r="VAQ67" s="627"/>
      <c r="VAS67" s="627"/>
      <c r="VAU67" s="627"/>
      <c r="VAW67" s="627"/>
      <c r="VAY67" s="627"/>
      <c r="VBA67" s="627"/>
      <c r="VBC67" s="627"/>
      <c r="VBE67" s="627"/>
      <c r="VBG67" s="627"/>
      <c r="VBI67" s="627"/>
      <c r="VBK67" s="627"/>
      <c r="VBM67" s="627"/>
      <c r="VBO67" s="627"/>
      <c r="VBQ67" s="627"/>
      <c r="VBS67" s="627"/>
      <c r="VBU67" s="627"/>
      <c r="VBW67" s="627"/>
      <c r="VBY67" s="627"/>
      <c r="VCA67" s="627"/>
      <c r="VCC67" s="627"/>
      <c r="VCE67" s="627"/>
      <c r="VCG67" s="627"/>
      <c r="VCI67" s="627"/>
      <c r="VCK67" s="627"/>
      <c r="VCM67" s="627"/>
      <c r="VCO67" s="627"/>
      <c r="VCQ67" s="627"/>
      <c r="VCS67" s="627"/>
      <c r="VCU67" s="627"/>
      <c r="VCW67" s="627"/>
      <c r="VCY67" s="627"/>
      <c r="VDA67" s="627"/>
      <c r="VDC67" s="627"/>
      <c r="VDE67" s="627"/>
      <c r="VDG67" s="627"/>
      <c r="VDI67" s="627"/>
      <c r="VDK67" s="627"/>
      <c r="VDM67" s="627"/>
      <c r="VDO67" s="627"/>
      <c r="VDQ67" s="627"/>
      <c r="VDS67" s="627"/>
      <c r="VDU67" s="627"/>
      <c r="VDW67" s="627"/>
      <c r="VDY67" s="627"/>
      <c r="VEA67" s="627"/>
      <c r="VEC67" s="627"/>
      <c r="VEE67" s="627"/>
      <c r="VEG67" s="627"/>
      <c r="VEI67" s="627"/>
      <c r="VEK67" s="627"/>
      <c r="VEM67" s="627"/>
      <c r="VEO67" s="627"/>
      <c r="VEQ67" s="627"/>
      <c r="VES67" s="627"/>
      <c r="VEU67" s="627"/>
      <c r="VEW67" s="627"/>
      <c r="VEY67" s="627"/>
      <c r="VFA67" s="627"/>
      <c r="VFC67" s="627"/>
      <c r="VFE67" s="627"/>
      <c r="VFG67" s="627"/>
      <c r="VFI67" s="627"/>
      <c r="VFK67" s="627"/>
      <c r="VFM67" s="627"/>
      <c r="VFO67" s="627"/>
      <c r="VFQ67" s="627"/>
      <c r="VFS67" s="627"/>
      <c r="VFU67" s="627"/>
      <c r="VFW67" s="627"/>
      <c r="VFY67" s="627"/>
      <c r="VGA67" s="627"/>
      <c r="VGC67" s="627"/>
      <c r="VGE67" s="627"/>
      <c r="VGG67" s="627"/>
      <c r="VGI67" s="627"/>
      <c r="VGK67" s="627"/>
      <c r="VGM67" s="627"/>
      <c r="VGO67" s="627"/>
      <c r="VGQ67" s="627"/>
      <c r="VGS67" s="627"/>
      <c r="VGU67" s="627"/>
      <c r="VGW67" s="627"/>
      <c r="VGY67" s="627"/>
      <c r="VHA67" s="627"/>
      <c r="VHC67" s="627"/>
      <c r="VHE67" s="627"/>
      <c r="VHG67" s="627"/>
      <c r="VHI67" s="627"/>
      <c r="VHK67" s="627"/>
      <c r="VHM67" s="627"/>
      <c r="VHO67" s="627"/>
      <c r="VHQ67" s="627"/>
      <c r="VHS67" s="627"/>
      <c r="VHU67" s="627"/>
      <c r="VHW67" s="627"/>
      <c r="VHY67" s="627"/>
      <c r="VIA67" s="627"/>
      <c r="VIC67" s="627"/>
      <c r="VIE67" s="627"/>
      <c r="VIG67" s="627"/>
      <c r="VII67" s="627"/>
      <c r="VIK67" s="627"/>
      <c r="VIM67" s="627"/>
      <c r="VIO67" s="627"/>
      <c r="VIQ67" s="627"/>
      <c r="VIS67" s="627"/>
      <c r="VIU67" s="627"/>
      <c r="VIW67" s="627"/>
      <c r="VIY67" s="627"/>
      <c r="VJA67" s="627"/>
      <c r="VJC67" s="627"/>
      <c r="VJE67" s="627"/>
      <c r="VJG67" s="627"/>
      <c r="VJI67" s="627"/>
      <c r="VJK67" s="627"/>
      <c r="VJM67" s="627"/>
      <c r="VJO67" s="627"/>
      <c r="VJQ67" s="627"/>
      <c r="VJS67" s="627"/>
      <c r="VJU67" s="627"/>
      <c r="VJW67" s="627"/>
      <c r="VJY67" s="627"/>
      <c r="VKA67" s="627"/>
      <c r="VKC67" s="627"/>
      <c r="VKE67" s="627"/>
      <c r="VKG67" s="627"/>
      <c r="VKI67" s="627"/>
      <c r="VKK67" s="627"/>
      <c r="VKM67" s="627"/>
      <c r="VKO67" s="627"/>
      <c r="VKQ67" s="627"/>
      <c r="VKS67" s="627"/>
      <c r="VKU67" s="627"/>
      <c r="VKW67" s="627"/>
      <c r="VKY67" s="627"/>
      <c r="VLA67" s="627"/>
      <c r="VLC67" s="627"/>
      <c r="VLE67" s="627"/>
      <c r="VLG67" s="627"/>
      <c r="VLI67" s="627"/>
      <c r="VLK67" s="627"/>
      <c r="VLM67" s="627"/>
      <c r="VLO67" s="627"/>
      <c r="VLQ67" s="627"/>
      <c r="VLS67" s="627"/>
      <c r="VLU67" s="627"/>
      <c r="VLW67" s="627"/>
      <c r="VLY67" s="627"/>
      <c r="VMA67" s="627"/>
      <c r="VMC67" s="627"/>
      <c r="VME67" s="627"/>
      <c r="VMG67" s="627"/>
      <c r="VMI67" s="627"/>
      <c r="VMK67" s="627"/>
      <c r="VMM67" s="627"/>
      <c r="VMO67" s="627"/>
      <c r="VMQ67" s="627"/>
      <c r="VMS67" s="627"/>
      <c r="VMU67" s="627"/>
      <c r="VMW67" s="627"/>
      <c r="VMY67" s="627"/>
      <c r="VNA67" s="627"/>
      <c r="VNC67" s="627"/>
      <c r="VNE67" s="627"/>
      <c r="VNG67" s="627"/>
      <c r="VNI67" s="627"/>
      <c r="VNK67" s="627"/>
      <c r="VNM67" s="627"/>
      <c r="VNO67" s="627"/>
      <c r="VNQ67" s="627"/>
      <c r="VNS67" s="627"/>
      <c r="VNU67" s="627"/>
      <c r="VNW67" s="627"/>
      <c r="VNY67" s="627"/>
      <c r="VOA67" s="627"/>
      <c r="VOC67" s="627"/>
      <c r="VOE67" s="627"/>
      <c r="VOG67" s="627"/>
      <c r="VOI67" s="627"/>
      <c r="VOK67" s="627"/>
      <c r="VOM67" s="627"/>
      <c r="VOO67" s="627"/>
      <c r="VOQ67" s="627"/>
      <c r="VOS67" s="627"/>
      <c r="VOU67" s="627"/>
      <c r="VOW67" s="627"/>
      <c r="VOY67" s="627"/>
      <c r="VPA67" s="627"/>
      <c r="VPC67" s="627"/>
      <c r="VPE67" s="627"/>
      <c r="VPG67" s="627"/>
      <c r="VPI67" s="627"/>
      <c r="VPK67" s="627"/>
      <c r="VPM67" s="627"/>
      <c r="VPO67" s="627"/>
      <c r="VPQ67" s="627"/>
      <c r="VPS67" s="627"/>
      <c r="VPU67" s="627"/>
      <c r="VPW67" s="627"/>
      <c r="VPY67" s="627"/>
      <c r="VQA67" s="627"/>
      <c r="VQC67" s="627"/>
      <c r="VQE67" s="627"/>
      <c r="VQG67" s="627"/>
      <c r="VQI67" s="627"/>
      <c r="VQK67" s="627"/>
      <c r="VQM67" s="627"/>
      <c r="VQO67" s="627"/>
      <c r="VQQ67" s="627"/>
      <c r="VQS67" s="627"/>
      <c r="VQU67" s="627"/>
      <c r="VQW67" s="627"/>
      <c r="VQY67" s="627"/>
      <c r="VRA67" s="627"/>
      <c r="VRC67" s="627"/>
      <c r="VRE67" s="627"/>
      <c r="VRG67" s="627"/>
      <c r="VRI67" s="627"/>
      <c r="VRK67" s="627"/>
      <c r="VRM67" s="627"/>
      <c r="VRO67" s="627"/>
      <c r="VRQ67" s="627"/>
      <c r="VRS67" s="627"/>
      <c r="VRU67" s="627"/>
      <c r="VRW67" s="627"/>
      <c r="VRY67" s="627"/>
      <c r="VSA67" s="627"/>
      <c r="VSC67" s="627"/>
      <c r="VSE67" s="627"/>
      <c r="VSG67" s="627"/>
      <c r="VSI67" s="627"/>
      <c r="VSK67" s="627"/>
      <c r="VSM67" s="627"/>
      <c r="VSO67" s="627"/>
      <c r="VSQ67" s="627"/>
      <c r="VSS67" s="627"/>
      <c r="VSU67" s="627"/>
      <c r="VSW67" s="627"/>
      <c r="VSY67" s="627"/>
      <c r="VTA67" s="627"/>
      <c r="VTC67" s="627"/>
      <c r="VTE67" s="627"/>
      <c r="VTG67" s="627"/>
      <c r="VTI67" s="627"/>
      <c r="VTK67" s="627"/>
      <c r="VTM67" s="627"/>
      <c r="VTO67" s="627"/>
      <c r="VTQ67" s="627"/>
      <c r="VTS67" s="627"/>
      <c r="VTU67" s="627"/>
      <c r="VTW67" s="627"/>
      <c r="VTY67" s="627"/>
      <c r="VUA67" s="627"/>
      <c r="VUC67" s="627"/>
      <c r="VUE67" s="627"/>
      <c r="VUG67" s="627"/>
      <c r="VUI67" s="627"/>
      <c r="VUK67" s="627"/>
      <c r="VUM67" s="627"/>
      <c r="VUO67" s="627"/>
      <c r="VUQ67" s="627"/>
      <c r="VUS67" s="627"/>
      <c r="VUU67" s="627"/>
      <c r="VUW67" s="627"/>
      <c r="VUY67" s="627"/>
      <c r="VVA67" s="627"/>
      <c r="VVC67" s="627"/>
      <c r="VVE67" s="627"/>
      <c r="VVG67" s="627"/>
      <c r="VVI67" s="627"/>
      <c r="VVK67" s="627"/>
      <c r="VVM67" s="627"/>
      <c r="VVO67" s="627"/>
      <c r="VVQ67" s="627"/>
      <c r="VVS67" s="627"/>
      <c r="VVU67" s="627"/>
      <c r="VVW67" s="627"/>
      <c r="VVY67" s="627"/>
      <c r="VWA67" s="627"/>
      <c r="VWC67" s="627"/>
      <c r="VWE67" s="627"/>
      <c r="VWG67" s="627"/>
      <c r="VWI67" s="627"/>
      <c r="VWK67" s="627"/>
      <c r="VWM67" s="627"/>
      <c r="VWO67" s="627"/>
      <c r="VWQ67" s="627"/>
      <c r="VWS67" s="627"/>
      <c r="VWU67" s="627"/>
      <c r="VWW67" s="627"/>
      <c r="VWY67" s="627"/>
      <c r="VXA67" s="627"/>
      <c r="VXC67" s="627"/>
      <c r="VXE67" s="627"/>
      <c r="VXG67" s="627"/>
      <c r="VXI67" s="627"/>
      <c r="VXK67" s="627"/>
      <c r="VXM67" s="627"/>
      <c r="VXO67" s="627"/>
      <c r="VXQ67" s="627"/>
      <c r="VXS67" s="627"/>
      <c r="VXU67" s="627"/>
      <c r="VXW67" s="627"/>
      <c r="VXY67" s="627"/>
      <c r="VYA67" s="627"/>
      <c r="VYC67" s="627"/>
      <c r="VYE67" s="627"/>
      <c r="VYG67" s="627"/>
      <c r="VYI67" s="627"/>
      <c r="VYK67" s="627"/>
      <c r="VYM67" s="627"/>
      <c r="VYO67" s="627"/>
      <c r="VYQ67" s="627"/>
      <c r="VYS67" s="627"/>
      <c r="VYU67" s="627"/>
      <c r="VYW67" s="627"/>
      <c r="VYY67" s="627"/>
      <c r="VZA67" s="627"/>
      <c r="VZC67" s="627"/>
      <c r="VZE67" s="627"/>
      <c r="VZG67" s="627"/>
      <c r="VZI67" s="627"/>
      <c r="VZK67" s="627"/>
      <c r="VZM67" s="627"/>
      <c r="VZO67" s="627"/>
      <c r="VZQ67" s="627"/>
      <c r="VZS67" s="627"/>
      <c r="VZU67" s="627"/>
      <c r="VZW67" s="627"/>
      <c r="VZY67" s="627"/>
      <c r="WAA67" s="627"/>
      <c r="WAC67" s="627"/>
      <c r="WAE67" s="627"/>
      <c r="WAG67" s="627"/>
      <c r="WAI67" s="627"/>
      <c r="WAK67" s="627"/>
      <c r="WAM67" s="627"/>
      <c r="WAO67" s="627"/>
      <c r="WAQ67" s="627"/>
      <c r="WAS67" s="627"/>
      <c r="WAU67" s="627"/>
      <c r="WAW67" s="627"/>
      <c r="WAY67" s="627"/>
      <c r="WBA67" s="627"/>
      <c r="WBC67" s="627"/>
      <c r="WBE67" s="627"/>
      <c r="WBG67" s="627"/>
      <c r="WBI67" s="627"/>
      <c r="WBK67" s="627"/>
      <c r="WBM67" s="627"/>
      <c r="WBO67" s="627"/>
      <c r="WBQ67" s="627"/>
      <c r="WBS67" s="627"/>
      <c r="WBU67" s="627"/>
      <c r="WBW67" s="627"/>
      <c r="WBY67" s="627"/>
      <c r="WCA67" s="627"/>
      <c r="WCC67" s="627"/>
      <c r="WCE67" s="627"/>
      <c r="WCG67" s="627"/>
      <c r="WCI67" s="627"/>
      <c r="WCK67" s="627"/>
      <c r="WCM67" s="627"/>
      <c r="WCO67" s="627"/>
      <c r="WCQ67" s="627"/>
      <c r="WCS67" s="627"/>
      <c r="WCU67" s="627"/>
      <c r="WCW67" s="627"/>
      <c r="WCY67" s="627"/>
      <c r="WDA67" s="627"/>
      <c r="WDC67" s="627"/>
      <c r="WDE67" s="627"/>
      <c r="WDG67" s="627"/>
      <c r="WDI67" s="627"/>
      <c r="WDK67" s="627"/>
      <c r="WDM67" s="627"/>
      <c r="WDO67" s="627"/>
      <c r="WDQ67" s="627"/>
      <c r="WDS67" s="627"/>
      <c r="WDU67" s="627"/>
      <c r="WDW67" s="627"/>
      <c r="WDY67" s="627"/>
      <c r="WEA67" s="627"/>
      <c r="WEC67" s="627"/>
      <c r="WEE67" s="627"/>
      <c r="WEG67" s="627"/>
      <c r="WEI67" s="627"/>
      <c r="WEK67" s="627"/>
      <c r="WEM67" s="627"/>
      <c r="WEO67" s="627"/>
      <c r="WEQ67" s="627"/>
      <c r="WES67" s="627"/>
      <c r="WEU67" s="627"/>
      <c r="WEW67" s="627"/>
      <c r="WEY67" s="627"/>
      <c r="WFA67" s="627"/>
      <c r="WFC67" s="627"/>
      <c r="WFE67" s="627"/>
      <c r="WFG67" s="627"/>
      <c r="WFI67" s="627"/>
      <c r="WFK67" s="627"/>
      <c r="WFM67" s="627"/>
      <c r="WFO67" s="627"/>
      <c r="WFQ67" s="627"/>
      <c r="WFS67" s="627"/>
      <c r="WFU67" s="627"/>
      <c r="WFW67" s="627"/>
      <c r="WFY67" s="627"/>
      <c r="WGA67" s="627"/>
      <c r="WGC67" s="627"/>
      <c r="WGE67" s="627"/>
      <c r="WGG67" s="627"/>
      <c r="WGI67" s="627"/>
      <c r="WGK67" s="627"/>
      <c r="WGM67" s="627"/>
      <c r="WGO67" s="627"/>
      <c r="WGQ67" s="627"/>
      <c r="WGS67" s="627"/>
      <c r="WGU67" s="627"/>
      <c r="WGW67" s="627"/>
      <c r="WGY67" s="627"/>
      <c r="WHA67" s="627"/>
      <c r="WHC67" s="627"/>
      <c r="WHE67" s="627"/>
      <c r="WHG67" s="627"/>
      <c r="WHI67" s="627"/>
      <c r="WHK67" s="627"/>
      <c r="WHM67" s="627"/>
      <c r="WHO67" s="627"/>
      <c r="WHQ67" s="627"/>
      <c r="WHS67" s="627"/>
      <c r="WHU67" s="627"/>
      <c r="WHW67" s="627"/>
      <c r="WHY67" s="627"/>
      <c r="WIA67" s="627"/>
      <c r="WIC67" s="627"/>
      <c r="WIE67" s="627"/>
      <c r="WIG67" s="627"/>
      <c r="WII67" s="627"/>
      <c r="WIK67" s="627"/>
      <c r="WIM67" s="627"/>
      <c r="WIO67" s="627"/>
      <c r="WIQ67" s="627"/>
      <c r="WIS67" s="627"/>
      <c r="WIU67" s="627"/>
      <c r="WIW67" s="627"/>
      <c r="WIY67" s="627"/>
      <c r="WJA67" s="627"/>
      <c r="WJC67" s="627"/>
      <c r="WJE67" s="627"/>
      <c r="WJG67" s="627"/>
      <c r="WJI67" s="627"/>
      <c r="WJK67" s="627"/>
      <c r="WJM67" s="627"/>
      <c r="WJO67" s="627"/>
      <c r="WJQ67" s="627"/>
      <c r="WJS67" s="627"/>
      <c r="WJU67" s="627"/>
      <c r="WJW67" s="627"/>
      <c r="WJY67" s="627"/>
      <c r="WKA67" s="627"/>
      <c r="WKC67" s="627"/>
      <c r="WKE67" s="627"/>
      <c r="WKG67" s="627"/>
      <c r="WKI67" s="627"/>
      <c r="WKK67" s="627"/>
      <c r="WKM67" s="627"/>
      <c r="WKO67" s="627"/>
      <c r="WKQ67" s="627"/>
      <c r="WKS67" s="627"/>
      <c r="WKU67" s="627"/>
      <c r="WKW67" s="627"/>
      <c r="WKY67" s="627"/>
      <c r="WLA67" s="627"/>
      <c r="WLC67" s="627"/>
      <c r="WLE67" s="627"/>
      <c r="WLG67" s="627"/>
      <c r="WLI67" s="627"/>
      <c r="WLK67" s="627"/>
      <c r="WLM67" s="627"/>
      <c r="WLO67" s="627"/>
      <c r="WLQ67" s="627"/>
      <c r="WLS67" s="627"/>
      <c r="WLU67" s="627"/>
      <c r="WLW67" s="627"/>
      <c r="WLY67" s="627"/>
      <c r="WMA67" s="627"/>
      <c r="WMC67" s="627"/>
      <c r="WME67" s="627"/>
      <c r="WMG67" s="627"/>
      <c r="WMI67" s="627"/>
      <c r="WMK67" s="627"/>
      <c r="WMM67" s="627"/>
      <c r="WMO67" s="627"/>
      <c r="WMQ67" s="627"/>
      <c r="WMS67" s="627"/>
      <c r="WMU67" s="627"/>
      <c r="WMW67" s="627"/>
      <c r="WMY67" s="627"/>
      <c r="WNA67" s="627"/>
      <c r="WNC67" s="627"/>
      <c r="WNE67" s="627"/>
      <c r="WNG67" s="627"/>
      <c r="WNI67" s="627"/>
      <c r="WNK67" s="627"/>
      <c r="WNM67" s="627"/>
      <c r="WNO67" s="627"/>
      <c r="WNQ67" s="627"/>
      <c r="WNS67" s="627"/>
      <c r="WNU67" s="627"/>
      <c r="WNW67" s="627"/>
      <c r="WNY67" s="627"/>
      <c r="WOA67" s="627"/>
      <c r="WOC67" s="627"/>
      <c r="WOE67" s="627"/>
      <c r="WOG67" s="627"/>
      <c r="WOI67" s="627"/>
      <c r="WOK67" s="627"/>
      <c r="WOM67" s="627"/>
      <c r="WOO67" s="627"/>
      <c r="WOQ67" s="627"/>
      <c r="WOS67" s="627"/>
      <c r="WOU67" s="627"/>
      <c r="WOW67" s="627"/>
      <c r="WOY67" s="627"/>
      <c r="WPA67" s="627"/>
      <c r="WPC67" s="627"/>
      <c r="WPE67" s="627"/>
      <c r="WPG67" s="627"/>
      <c r="WPI67" s="627"/>
      <c r="WPK67" s="627"/>
      <c r="WPM67" s="627"/>
      <c r="WPO67" s="627"/>
      <c r="WPQ67" s="627"/>
      <c r="WPS67" s="627"/>
      <c r="WPU67" s="627"/>
      <c r="WPW67" s="627"/>
      <c r="WPY67" s="627"/>
      <c r="WQA67" s="627"/>
      <c r="WQC67" s="627"/>
      <c r="WQE67" s="627"/>
      <c r="WQG67" s="627"/>
      <c r="WQI67" s="627"/>
      <c r="WQK67" s="627"/>
      <c r="WQM67" s="627"/>
      <c r="WQO67" s="627"/>
      <c r="WQQ67" s="627"/>
      <c r="WQS67" s="627"/>
      <c r="WQU67" s="627"/>
      <c r="WQW67" s="627"/>
      <c r="WQY67" s="627"/>
      <c r="WRA67" s="627"/>
      <c r="WRC67" s="627"/>
      <c r="WRE67" s="627"/>
      <c r="WRG67" s="627"/>
      <c r="WRI67" s="627"/>
      <c r="WRK67" s="627"/>
      <c r="WRM67" s="627"/>
      <c r="WRO67" s="627"/>
      <c r="WRQ67" s="627"/>
      <c r="WRS67" s="627"/>
      <c r="WRU67" s="627"/>
      <c r="WRW67" s="627"/>
      <c r="WRY67" s="627"/>
      <c r="WSA67" s="627"/>
      <c r="WSC67" s="627"/>
      <c r="WSE67" s="627"/>
      <c r="WSG67" s="627"/>
      <c r="WSI67" s="627"/>
      <c r="WSK67" s="627"/>
      <c r="WSM67" s="627"/>
      <c r="WSO67" s="627"/>
      <c r="WSQ67" s="627"/>
      <c r="WSS67" s="627"/>
      <c r="WSU67" s="627"/>
      <c r="WSW67" s="627"/>
      <c r="WSY67" s="627"/>
      <c r="WTA67" s="627"/>
      <c r="WTC67" s="627"/>
      <c r="WTE67" s="627"/>
      <c r="WTG67" s="627"/>
      <c r="WTI67" s="627"/>
      <c r="WTK67" s="627"/>
      <c r="WTM67" s="627"/>
      <c r="WTO67" s="627"/>
      <c r="WTQ67" s="627"/>
      <c r="WTS67" s="627"/>
      <c r="WTU67" s="627"/>
      <c r="WTW67" s="627"/>
      <c r="WTY67" s="627"/>
      <c r="WUA67" s="627"/>
      <c r="WUC67" s="627"/>
      <c r="WUE67" s="627"/>
      <c r="WUG67" s="627"/>
      <c r="WUI67" s="627"/>
      <c r="WUK67" s="627"/>
      <c r="WUM67" s="627"/>
      <c r="WUO67" s="627"/>
      <c r="WUQ67" s="627"/>
      <c r="WUS67" s="627"/>
      <c r="WUU67" s="627"/>
      <c r="WUW67" s="627"/>
      <c r="WUY67" s="627"/>
      <c r="WVA67" s="627"/>
      <c r="WVC67" s="627"/>
      <c r="WVE67" s="627"/>
      <c r="WVG67" s="627"/>
      <c r="WVI67" s="627"/>
      <c r="WVK67" s="627"/>
      <c r="WVM67" s="627"/>
      <c r="WVO67" s="627"/>
      <c r="WVQ67" s="627"/>
      <c r="WVS67" s="627"/>
      <c r="WVU67" s="627"/>
      <c r="WVW67" s="627"/>
      <c r="WVY67" s="627"/>
      <c r="WWA67" s="627"/>
      <c r="WWC67" s="627"/>
      <c r="WWE67" s="627"/>
      <c r="WWG67" s="627"/>
      <c r="WWI67" s="627"/>
      <c r="WWK67" s="627"/>
      <c r="WWM67" s="627"/>
      <c r="WWO67" s="627"/>
      <c r="WWQ67" s="627"/>
      <c r="WWS67" s="627"/>
      <c r="WWU67" s="627"/>
      <c r="WWW67" s="627"/>
      <c r="WWY67" s="627"/>
      <c r="WXA67" s="627"/>
      <c r="WXC67" s="627"/>
      <c r="WXE67" s="627"/>
      <c r="WXG67" s="627"/>
      <c r="WXI67" s="627"/>
      <c r="WXK67" s="627"/>
      <c r="WXM67" s="627"/>
      <c r="WXO67" s="627"/>
      <c r="WXQ67" s="627"/>
      <c r="WXS67" s="627"/>
      <c r="WXU67" s="627"/>
      <c r="WXW67" s="627"/>
      <c r="WXY67" s="627"/>
      <c r="WYA67" s="627"/>
      <c r="WYC67" s="627"/>
      <c r="WYE67" s="627"/>
      <c r="WYG67" s="627"/>
      <c r="WYI67" s="627"/>
      <c r="WYK67" s="627"/>
      <c r="WYM67" s="627"/>
      <c r="WYO67" s="627"/>
      <c r="WYQ67" s="627"/>
      <c r="WYS67" s="627"/>
      <c r="WYU67" s="627"/>
      <c r="WYW67" s="627"/>
      <c r="WYY67" s="627"/>
      <c r="WZA67" s="627"/>
      <c r="WZC67" s="627"/>
      <c r="WZE67" s="627"/>
      <c r="WZG67" s="627"/>
      <c r="WZI67" s="627"/>
      <c r="WZK67" s="627"/>
      <c r="WZM67" s="627"/>
      <c r="WZO67" s="627"/>
      <c r="WZQ67" s="627"/>
      <c r="WZS67" s="627"/>
      <c r="WZU67" s="627"/>
      <c r="WZW67" s="627"/>
      <c r="WZY67" s="627"/>
      <c r="XAA67" s="627"/>
      <c r="XAC67" s="627"/>
      <c r="XAE67" s="627"/>
      <c r="XAG67" s="627"/>
      <c r="XAI67" s="627"/>
      <c r="XAK67" s="627"/>
      <c r="XAM67" s="627"/>
      <c r="XAO67" s="627"/>
      <c r="XAQ67" s="627"/>
      <c r="XAS67" s="627"/>
      <c r="XAU67" s="627"/>
      <c r="XAW67" s="627"/>
      <c r="XAY67" s="627"/>
      <c r="XBA67" s="627"/>
      <c r="XBC67" s="627"/>
      <c r="XBE67" s="627"/>
      <c r="XBG67" s="627"/>
      <c r="XBI67" s="627"/>
      <c r="XBK67" s="627"/>
      <c r="XBM67" s="627"/>
      <c r="XBO67" s="627"/>
      <c r="XBQ67" s="627"/>
      <c r="XBS67" s="627"/>
      <c r="XBU67" s="627"/>
      <c r="XBW67" s="627"/>
      <c r="XBY67" s="627"/>
      <c r="XCA67" s="627"/>
      <c r="XCC67" s="627"/>
      <c r="XCE67" s="627"/>
      <c r="XCG67" s="627"/>
      <c r="XCI67" s="627"/>
      <c r="XCK67" s="627"/>
      <c r="XCM67" s="627"/>
      <c r="XCO67" s="627"/>
      <c r="XCQ67" s="627"/>
      <c r="XCS67" s="627"/>
      <c r="XCU67" s="627"/>
      <c r="XCW67" s="627"/>
      <c r="XCY67" s="627"/>
      <c r="XDA67" s="627"/>
      <c r="XDC67" s="627"/>
      <c r="XDE67" s="627"/>
      <c r="XDG67" s="627"/>
      <c r="XDI67" s="627"/>
      <c r="XDK67" s="627"/>
      <c r="XDM67" s="627"/>
      <c r="XDO67" s="627"/>
      <c r="XDQ67" s="627"/>
      <c r="XDS67" s="627"/>
      <c r="XDU67" s="627"/>
      <c r="XDW67" s="627"/>
      <c r="XDY67" s="627"/>
      <c r="XEA67" s="627"/>
      <c r="XEC67" s="627"/>
      <c r="XEE67" s="627"/>
      <c r="XEG67" s="627"/>
      <c r="XEI67" s="627"/>
      <c r="XEK67" s="627"/>
      <c r="XEM67" s="627"/>
      <c r="XEO67" s="627"/>
      <c r="XEQ67" s="627"/>
      <c r="XES67" s="627"/>
      <c r="XEU67" s="627"/>
      <c r="XEW67" s="627"/>
      <c r="XEY67" s="627"/>
      <c r="XFA67" s="627"/>
      <c r="XFC67" s="627"/>
    </row>
    <row r="68" spans="1:1023 1025:2047 2049:3071 3073:4095 4097:5119 5121:6143 6145:7167 7169:8191 8193:9215 9217:10239 10241:11263 11265:12287 12289:13311 13313:14335 14337:15359 15361:16383" s="1409" customFormat="1" ht="13">
      <c r="A68" s="1548" t="s">
        <v>2456</v>
      </c>
      <c r="B68" s="627"/>
      <c r="C68" s="1547">
        <v>0.1041</v>
      </c>
      <c r="D68" s="598"/>
      <c r="E68" s="627">
        <f>E$59*$C$68</f>
        <v>9.9103199999951528</v>
      </c>
      <c r="G68" s="627">
        <f t="shared" ref="G68:AG68" si="19">G$59*$C$68</f>
        <v>305.29094700000059</v>
      </c>
      <c r="I68" s="627">
        <f t="shared" si="19"/>
        <v>594.36365011499151</v>
      </c>
      <c r="K68" s="627">
        <f t="shared" si="19"/>
        <v>876.49118356326835</v>
      </c>
      <c r="M68" s="627">
        <f t="shared" si="19"/>
        <v>1151.0035800035928</v>
      </c>
      <c r="O68" s="627">
        <f t="shared" si="19"/>
        <v>1417.1967447067761</v>
      </c>
      <c r="Q68" s="627">
        <f t="shared" si="19"/>
        <v>1674.3309940064946</v>
      </c>
      <c r="S68" s="627">
        <f t="shared" si="19"/>
        <v>1921.6295359158275</v>
      </c>
      <c r="U68" s="627">
        <f t="shared" si="19"/>
        <v>2158.2768907187951</v>
      </c>
      <c r="W68" s="627">
        <f t="shared" si="19"/>
        <v>2383.4172492643229</v>
      </c>
      <c r="Y68" s="627">
        <f t="shared" si="19"/>
        <v>2596.1527666069323</v>
      </c>
      <c r="AA68" s="627">
        <f t="shared" si="19"/>
        <v>2795.5417885515517</v>
      </c>
      <c r="AC68" s="627">
        <f t="shared" si="19"/>
        <v>2980.5970085692074</v>
      </c>
      <c r="AE68" s="627">
        <f t="shared" si="19"/>
        <v>3150.2835524581155</v>
      </c>
      <c r="AG68" s="627">
        <f t="shared" si="19"/>
        <v>3303.516988027231</v>
      </c>
      <c r="AI68" s="627"/>
      <c r="AK68" s="627"/>
      <c r="AM68" s="627"/>
      <c r="AO68" s="627"/>
      <c r="AQ68" s="627"/>
      <c r="AS68" s="627"/>
      <c r="AU68" s="627"/>
      <c r="AW68" s="627"/>
      <c r="AY68" s="627"/>
      <c r="BA68" s="627"/>
      <c r="BC68" s="627"/>
      <c r="BE68" s="627"/>
      <c r="BG68" s="627"/>
      <c r="BI68" s="627"/>
      <c r="BK68" s="627"/>
      <c r="BM68" s="627"/>
      <c r="BO68" s="627"/>
      <c r="BQ68" s="627"/>
      <c r="BS68" s="627"/>
      <c r="BU68" s="627"/>
      <c r="BW68" s="627"/>
      <c r="BY68" s="627"/>
      <c r="CA68" s="627"/>
      <c r="CC68" s="627"/>
      <c r="CE68" s="627"/>
      <c r="CG68" s="627"/>
      <c r="CI68" s="627"/>
      <c r="CK68" s="627"/>
      <c r="CM68" s="627"/>
      <c r="CO68" s="627"/>
      <c r="CQ68" s="627"/>
      <c r="CS68" s="627"/>
      <c r="CU68" s="627"/>
      <c r="CW68" s="627"/>
      <c r="CY68" s="627"/>
      <c r="DA68" s="627"/>
      <c r="DC68" s="627"/>
      <c r="DE68" s="627"/>
      <c r="DG68" s="627"/>
      <c r="DI68" s="627"/>
      <c r="DK68" s="627"/>
      <c r="DM68" s="627"/>
      <c r="DO68" s="627"/>
      <c r="DQ68" s="627"/>
      <c r="DS68" s="627"/>
      <c r="DU68" s="627"/>
      <c r="DW68" s="627"/>
      <c r="DY68" s="627"/>
      <c r="EA68" s="627"/>
      <c r="EC68" s="627"/>
      <c r="EE68" s="627"/>
      <c r="EG68" s="627"/>
      <c r="EI68" s="627"/>
      <c r="EK68" s="627"/>
      <c r="EM68" s="627"/>
      <c r="EO68" s="627"/>
      <c r="EQ68" s="627"/>
      <c r="ES68" s="627"/>
      <c r="EU68" s="627"/>
      <c r="EW68" s="627"/>
      <c r="EY68" s="627"/>
      <c r="FA68" s="627"/>
      <c r="FC68" s="627"/>
      <c r="FE68" s="627"/>
      <c r="FG68" s="627"/>
      <c r="FI68" s="627"/>
      <c r="FK68" s="627"/>
      <c r="FM68" s="627"/>
      <c r="FO68" s="627"/>
      <c r="FQ68" s="627"/>
      <c r="FS68" s="627"/>
      <c r="FU68" s="627"/>
      <c r="FW68" s="627"/>
      <c r="FY68" s="627"/>
      <c r="GA68" s="627"/>
      <c r="GC68" s="627"/>
      <c r="GE68" s="627"/>
      <c r="GG68" s="627"/>
      <c r="GI68" s="627"/>
      <c r="GK68" s="627"/>
      <c r="GM68" s="627"/>
      <c r="GO68" s="627"/>
      <c r="GQ68" s="627"/>
      <c r="GS68" s="627"/>
      <c r="GU68" s="627"/>
      <c r="GW68" s="627"/>
      <c r="GY68" s="627"/>
      <c r="HA68" s="627"/>
      <c r="HC68" s="627"/>
      <c r="HE68" s="627"/>
      <c r="HG68" s="627"/>
      <c r="HI68" s="627"/>
      <c r="HK68" s="627"/>
      <c r="HM68" s="627"/>
      <c r="HO68" s="627"/>
      <c r="HQ68" s="627"/>
      <c r="HS68" s="627"/>
      <c r="HU68" s="627"/>
      <c r="HW68" s="627"/>
      <c r="HY68" s="627"/>
      <c r="IA68" s="627"/>
      <c r="IC68" s="627"/>
      <c r="IE68" s="627"/>
      <c r="IG68" s="627"/>
      <c r="II68" s="627"/>
      <c r="IK68" s="627"/>
      <c r="IM68" s="627"/>
      <c r="IO68" s="627"/>
      <c r="IQ68" s="627"/>
      <c r="IS68" s="627"/>
      <c r="IU68" s="627"/>
      <c r="IW68" s="627"/>
      <c r="IY68" s="627"/>
      <c r="JA68" s="627"/>
      <c r="JC68" s="627"/>
      <c r="JE68" s="627"/>
      <c r="JG68" s="627"/>
      <c r="JI68" s="627"/>
      <c r="JK68" s="627"/>
      <c r="JM68" s="627"/>
      <c r="JO68" s="627"/>
      <c r="JQ68" s="627"/>
      <c r="JS68" s="627"/>
      <c r="JU68" s="627"/>
      <c r="JW68" s="627"/>
      <c r="JY68" s="627"/>
      <c r="KA68" s="627"/>
      <c r="KC68" s="627"/>
      <c r="KE68" s="627"/>
      <c r="KG68" s="627"/>
      <c r="KI68" s="627"/>
      <c r="KK68" s="627"/>
      <c r="KM68" s="627"/>
      <c r="KO68" s="627"/>
      <c r="KQ68" s="627"/>
      <c r="KS68" s="627"/>
      <c r="KU68" s="627"/>
      <c r="KW68" s="627"/>
      <c r="KY68" s="627"/>
      <c r="LA68" s="627"/>
      <c r="LC68" s="627"/>
      <c r="LE68" s="627"/>
      <c r="LG68" s="627"/>
      <c r="LI68" s="627"/>
      <c r="LK68" s="627"/>
      <c r="LM68" s="627"/>
      <c r="LO68" s="627"/>
      <c r="LQ68" s="627"/>
      <c r="LS68" s="627"/>
      <c r="LU68" s="627"/>
      <c r="LW68" s="627"/>
      <c r="LY68" s="627"/>
      <c r="MA68" s="627"/>
      <c r="MC68" s="627"/>
      <c r="ME68" s="627"/>
      <c r="MG68" s="627"/>
      <c r="MI68" s="627"/>
      <c r="MK68" s="627"/>
      <c r="MM68" s="627"/>
      <c r="MO68" s="627"/>
      <c r="MQ68" s="627"/>
      <c r="MS68" s="627"/>
      <c r="MU68" s="627"/>
      <c r="MW68" s="627"/>
      <c r="MY68" s="627"/>
      <c r="NA68" s="627"/>
      <c r="NC68" s="627"/>
      <c r="NE68" s="627"/>
      <c r="NG68" s="627"/>
      <c r="NI68" s="627"/>
      <c r="NK68" s="627"/>
      <c r="NM68" s="627"/>
      <c r="NO68" s="627"/>
      <c r="NQ68" s="627"/>
      <c r="NS68" s="627"/>
      <c r="NU68" s="627"/>
      <c r="NW68" s="627"/>
      <c r="NY68" s="627"/>
      <c r="OA68" s="627"/>
      <c r="OC68" s="627"/>
      <c r="OE68" s="627"/>
      <c r="OG68" s="627"/>
      <c r="OI68" s="627"/>
      <c r="OK68" s="627"/>
      <c r="OM68" s="627"/>
      <c r="OO68" s="627"/>
      <c r="OQ68" s="627"/>
      <c r="OS68" s="627"/>
      <c r="OU68" s="627"/>
      <c r="OW68" s="627"/>
      <c r="OY68" s="627"/>
      <c r="PA68" s="627"/>
      <c r="PC68" s="627"/>
      <c r="PE68" s="627"/>
      <c r="PG68" s="627"/>
      <c r="PI68" s="627"/>
      <c r="PK68" s="627"/>
      <c r="PM68" s="627"/>
      <c r="PO68" s="627"/>
      <c r="PQ68" s="627"/>
      <c r="PS68" s="627"/>
      <c r="PU68" s="627"/>
      <c r="PW68" s="627"/>
      <c r="PY68" s="627"/>
      <c r="QA68" s="627"/>
      <c r="QC68" s="627"/>
      <c r="QE68" s="627"/>
      <c r="QG68" s="627"/>
      <c r="QI68" s="627"/>
      <c r="QK68" s="627"/>
      <c r="QM68" s="627"/>
      <c r="QO68" s="627"/>
      <c r="QQ68" s="627"/>
      <c r="QS68" s="627"/>
      <c r="QU68" s="627"/>
      <c r="QW68" s="627"/>
      <c r="QY68" s="627"/>
      <c r="RA68" s="627"/>
      <c r="RC68" s="627"/>
      <c r="RE68" s="627"/>
      <c r="RG68" s="627"/>
      <c r="RI68" s="627"/>
      <c r="RK68" s="627"/>
      <c r="RM68" s="627"/>
      <c r="RO68" s="627"/>
      <c r="RQ68" s="627"/>
      <c r="RS68" s="627"/>
      <c r="RU68" s="627"/>
      <c r="RW68" s="627"/>
      <c r="RY68" s="627"/>
      <c r="SA68" s="627"/>
      <c r="SC68" s="627"/>
      <c r="SE68" s="627"/>
      <c r="SG68" s="627"/>
      <c r="SI68" s="627"/>
      <c r="SK68" s="627"/>
      <c r="SM68" s="627"/>
      <c r="SO68" s="627"/>
      <c r="SQ68" s="627"/>
      <c r="SS68" s="627"/>
      <c r="SU68" s="627"/>
      <c r="SW68" s="627"/>
      <c r="SY68" s="627"/>
      <c r="TA68" s="627"/>
      <c r="TC68" s="627"/>
      <c r="TE68" s="627"/>
      <c r="TG68" s="627"/>
      <c r="TI68" s="627"/>
      <c r="TK68" s="627"/>
      <c r="TM68" s="627"/>
      <c r="TO68" s="627"/>
      <c r="TQ68" s="627"/>
      <c r="TS68" s="627"/>
      <c r="TU68" s="627"/>
      <c r="TW68" s="627"/>
      <c r="TY68" s="627"/>
      <c r="UA68" s="627"/>
      <c r="UC68" s="627"/>
      <c r="UE68" s="627"/>
      <c r="UG68" s="627"/>
      <c r="UI68" s="627"/>
      <c r="UK68" s="627"/>
      <c r="UM68" s="627"/>
      <c r="UO68" s="627"/>
      <c r="UQ68" s="627"/>
      <c r="US68" s="627"/>
      <c r="UU68" s="627"/>
      <c r="UW68" s="627"/>
      <c r="UY68" s="627"/>
      <c r="VA68" s="627"/>
      <c r="VC68" s="627"/>
      <c r="VE68" s="627"/>
      <c r="VG68" s="627"/>
      <c r="VI68" s="627"/>
      <c r="VK68" s="627"/>
      <c r="VM68" s="627"/>
      <c r="VO68" s="627"/>
      <c r="VQ68" s="627"/>
      <c r="VS68" s="627"/>
      <c r="VU68" s="627"/>
      <c r="VW68" s="627"/>
      <c r="VY68" s="627"/>
      <c r="WA68" s="627"/>
      <c r="WC68" s="627"/>
      <c r="WE68" s="627"/>
      <c r="WG68" s="627"/>
      <c r="WI68" s="627"/>
      <c r="WK68" s="627"/>
      <c r="WM68" s="627"/>
      <c r="WO68" s="627"/>
      <c r="WQ68" s="627"/>
      <c r="WS68" s="627"/>
      <c r="WU68" s="627"/>
      <c r="WW68" s="627"/>
      <c r="WY68" s="627"/>
      <c r="XA68" s="627"/>
      <c r="XC68" s="627"/>
      <c r="XE68" s="627"/>
      <c r="XG68" s="627"/>
      <c r="XI68" s="627"/>
      <c r="XK68" s="627"/>
      <c r="XM68" s="627"/>
      <c r="XO68" s="627"/>
      <c r="XQ68" s="627"/>
      <c r="XS68" s="627"/>
      <c r="XU68" s="627"/>
      <c r="XW68" s="627"/>
      <c r="XY68" s="627"/>
      <c r="YA68" s="627"/>
      <c r="YC68" s="627"/>
      <c r="YE68" s="627"/>
      <c r="YG68" s="627"/>
      <c r="YI68" s="627"/>
      <c r="YK68" s="627"/>
      <c r="YM68" s="627"/>
      <c r="YO68" s="627"/>
      <c r="YQ68" s="627"/>
      <c r="YS68" s="627"/>
      <c r="YU68" s="627"/>
      <c r="YW68" s="627"/>
      <c r="YY68" s="627"/>
      <c r="ZA68" s="627"/>
      <c r="ZC68" s="627"/>
      <c r="ZE68" s="627"/>
      <c r="ZG68" s="627"/>
      <c r="ZI68" s="627"/>
      <c r="ZK68" s="627"/>
      <c r="ZM68" s="627"/>
      <c r="ZO68" s="627"/>
      <c r="ZQ68" s="627"/>
      <c r="ZS68" s="627"/>
      <c r="ZU68" s="627"/>
      <c r="ZW68" s="627"/>
      <c r="ZY68" s="627"/>
      <c r="AAA68" s="627"/>
      <c r="AAC68" s="627"/>
      <c r="AAE68" s="627"/>
      <c r="AAG68" s="627"/>
      <c r="AAI68" s="627"/>
      <c r="AAK68" s="627"/>
      <c r="AAM68" s="627"/>
      <c r="AAO68" s="627"/>
      <c r="AAQ68" s="627"/>
      <c r="AAS68" s="627"/>
      <c r="AAU68" s="627"/>
      <c r="AAW68" s="627"/>
      <c r="AAY68" s="627"/>
      <c r="ABA68" s="627"/>
      <c r="ABC68" s="627"/>
      <c r="ABE68" s="627"/>
      <c r="ABG68" s="627"/>
      <c r="ABI68" s="627"/>
      <c r="ABK68" s="627"/>
      <c r="ABM68" s="627"/>
      <c r="ABO68" s="627"/>
      <c r="ABQ68" s="627"/>
      <c r="ABS68" s="627"/>
      <c r="ABU68" s="627"/>
      <c r="ABW68" s="627"/>
      <c r="ABY68" s="627"/>
      <c r="ACA68" s="627"/>
      <c r="ACC68" s="627"/>
      <c r="ACE68" s="627"/>
      <c r="ACG68" s="627"/>
      <c r="ACI68" s="627"/>
      <c r="ACK68" s="627"/>
      <c r="ACM68" s="627"/>
      <c r="ACO68" s="627"/>
      <c r="ACQ68" s="627"/>
      <c r="ACS68" s="627"/>
      <c r="ACU68" s="627"/>
      <c r="ACW68" s="627"/>
      <c r="ACY68" s="627"/>
      <c r="ADA68" s="627"/>
      <c r="ADC68" s="627"/>
      <c r="ADE68" s="627"/>
      <c r="ADG68" s="627"/>
      <c r="ADI68" s="627"/>
      <c r="ADK68" s="627"/>
      <c r="ADM68" s="627"/>
      <c r="ADO68" s="627"/>
      <c r="ADQ68" s="627"/>
      <c r="ADS68" s="627"/>
      <c r="ADU68" s="627"/>
      <c r="ADW68" s="627"/>
      <c r="ADY68" s="627"/>
      <c r="AEA68" s="627"/>
      <c r="AEC68" s="627"/>
      <c r="AEE68" s="627"/>
      <c r="AEG68" s="627"/>
      <c r="AEI68" s="627"/>
      <c r="AEK68" s="627"/>
      <c r="AEM68" s="627"/>
      <c r="AEO68" s="627"/>
      <c r="AEQ68" s="627"/>
      <c r="AES68" s="627"/>
      <c r="AEU68" s="627"/>
      <c r="AEW68" s="627"/>
      <c r="AEY68" s="627"/>
      <c r="AFA68" s="627"/>
      <c r="AFC68" s="627"/>
      <c r="AFE68" s="627"/>
      <c r="AFG68" s="627"/>
      <c r="AFI68" s="627"/>
      <c r="AFK68" s="627"/>
      <c r="AFM68" s="627"/>
      <c r="AFO68" s="627"/>
      <c r="AFQ68" s="627"/>
      <c r="AFS68" s="627"/>
      <c r="AFU68" s="627"/>
      <c r="AFW68" s="627"/>
      <c r="AFY68" s="627"/>
      <c r="AGA68" s="627"/>
      <c r="AGC68" s="627"/>
      <c r="AGE68" s="627"/>
      <c r="AGG68" s="627"/>
      <c r="AGI68" s="627"/>
      <c r="AGK68" s="627"/>
      <c r="AGM68" s="627"/>
      <c r="AGO68" s="627"/>
      <c r="AGQ68" s="627"/>
      <c r="AGS68" s="627"/>
      <c r="AGU68" s="627"/>
      <c r="AGW68" s="627"/>
      <c r="AGY68" s="627"/>
      <c r="AHA68" s="627"/>
      <c r="AHC68" s="627"/>
      <c r="AHE68" s="627"/>
      <c r="AHG68" s="627"/>
      <c r="AHI68" s="627"/>
      <c r="AHK68" s="627"/>
      <c r="AHM68" s="627"/>
      <c r="AHO68" s="627"/>
      <c r="AHQ68" s="627"/>
      <c r="AHS68" s="627"/>
      <c r="AHU68" s="627"/>
      <c r="AHW68" s="627"/>
      <c r="AHY68" s="627"/>
      <c r="AIA68" s="627"/>
      <c r="AIC68" s="627"/>
      <c r="AIE68" s="627"/>
      <c r="AIG68" s="627"/>
      <c r="AII68" s="627"/>
      <c r="AIK68" s="627"/>
      <c r="AIM68" s="627"/>
      <c r="AIO68" s="627"/>
      <c r="AIQ68" s="627"/>
      <c r="AIS68" s="627"/>
      <c r="AIU68" s="627"/>
      <c r="AIW68" s="627"/>
      <c r="AIY68" s="627"/>
      <c r="AJA68" s="627"/>
      <c r="AJC68" s="627"/>
      <c r="AJE68" s="627"/>
      <c r="AJG68" s="627"/>
      <c r="AJI68" s="627"/>
      <c r="AJK68" s="627"/>
      <c r="AJM68" s="627"/>
      <c r="AJO68" s="627"/>
      <c r="AJQ68" s="627"/>
      <c r="AJS68" s="627"/>
      <c r="AJU68" s="627"/>
      <c r="AJW68" s="627"/>
      <c r="AJY68" s="627"/>
      <c r="AKA68" s="627"/>
      <c r="AKC68" s="627"/>
      <c r="AKE68" s="627"/>
      <c r="AKG68" s="627"/>
      <c r="AKI68" s="627"/>
      <c r="AKK68" s="627"/>
      <c r="AKM68" s="627"/>
      <c r="AKO68" s="627"/>
      <c r="AKQ68" s="627"/>
      <c r="AKS68" s="627"/>
      <c r="AKU68" s="627"/>
      <c r="AKW68" s="627"/>
      <c r="AKY68" s="627"/>
      <c r="ALA68" s="627"/>
      <c r="ALC68" s="627"/>
      <c r="ALE68" s="627"/>
      <c r="ALG68" s="627"/>
      <c r="ALI68" s="627"/>
      <c r="ALK68" s="627"/>
      <c r="ALM68" s="627"/>
      <c r="ALO68" s="627"/>
      <c r="ALQ68" s="627"/>
      <c r="ALS68" s="627"/>
      <c r="ALU68" s="627"/>
      <c r="ALW68" s="627"/>
      <c r="ALY68" s="627"/>
      <c r="AMA68" s="627"/>
      <c r="AMC68" s="627"/>
      <c r="AME68" s="627"/>
      <c r="AMG68" s="627"/>
      <c r="AMI68" s="627"/>
      <c r="AMK68" s="627"/>
      <c r="AMM68" s="627"/>
      <c r="AMO68" s="627"/>
      <c r="AMQ68" s="627"/>
      <c r="AMS68" s="627"/>
      <c r="AMU68" s="627"/>
      <c r="AMW68" s="627"/>
      <c r="AMY68" s="627"/>
      <c r="ANA68" s="627"/>
      <c r="ANC68" s="627"/>
      <c r="ANE68" s="627"/>
      <c r="ANG68" s="627"/>
      <c r="ANI68" s="627"/>
      <c r="ANK68" s="627"/>
      <c r="ANM68" s="627"/>
      <c r="ANO68" s="627"/>
      <c r="ANQ68" s="627"/>
      <c r="ANS68" s="627"/>
      <c r="ANU68" s="627"/>
      <c r="ANW68" s="627"/>
      <c r="ANY68" s="627"/>
      <c r="AOA68" s="627"/>
      <c r="AOC68" s="627"/>
      <c r="AOE68" s="627"/>
      <c r="AOG68" s="627"/>
      <c r="AOI68" s="627"/>
      <c r="AOK68" s="627"/>
      <c r="AOM68" s="627"/>
      <c r="AOO68" s="627"/>
      <c r="AOQ68" s="627"/>
      <c r="AOS68" s="627"/>
      <c r="AOU68" s="627"/>
      <c r="AOW68" s="627"/>
      <c r="AOY68" s="627"/>
      <c r="APA68" s="627"/>
      <c r="APC68" s="627"/>
      <c r="APE68" s="627"/>
      <c r="APG68" s="627"/>
      <c r="API68" s="627"/>
      <c r="APK68" s="627"/>
      <c r="APM68" s="627"/>
      <c r="APO68" s="627"/>
      <c r="APQ68" s="627"/>
      <c r="APS68" s="627"/>
      <c r="APU68" s="627"/>
      <c r="APW68" s="627"/>
      <c r="APY68" s="627"/>
      <c r="AQA68" s="627"/>
      <c r="AQC68" s="627"/>
      <c r="AQE68" s="627"/>
      <c r="AQG68" s="627"/>
      <c r="AQI68" s="627"/>
      <c r="AQK68" s="627"/>
      <c r="AQM68" s="627"/>
      <c r="AQO68" s="627"/>
      <c r="AQQ68" s="627"/>
      <c r="AQS68" s="627"/>
      <c r="AQU68" s="627"/>
      <c r="AQW68" s="627"/>
      <c r="AQY68" s="627"/>
      <c r="ARA68" s="627"/>
      <c r="ARC68" s="627"/>
      <c r="ARE68" s="627"/>
      <c r="ARG68" s="627"/>
      <c r="ARI68" s="627"/>
      <c r="ARK68" s="627"/>
      <c r="ARM68" s="627"/>
      <c r="ARO68" s="627"/>
      <c r="ARQ68" s="627"/>
      <c r="ARS68" s="627"/>
      <c r="ARU68" s="627"/>
      <c r="ARW68" s="627"/>
      <c r="ARY68" s="627"/>
      <c r="ASA68" s="627"/>
      <c r="ASC68" s="627"/>
      <c r="ASE68" s="627"/>
      <c r="ASG68" s="627"/>
      <c r="ASI68" s="627"/>
      <c r="ASK68" s="627"/>
      <c r="ASM68" s="627"/>
      <c r="ASO68" s="627"/>
      <c r="ASQ68" s="627"/>
      <c r="ASS68" s="627"/>
      <c r="ASU68" s="627"/>
      <c r="ASW68" s="627"/>
      <c r="ASY68" s="627"/>
      <c r="ATA68" s="627"/>
      <c r="ATC68" s="627"/>
      <c r="ATE68" s="627"/>
      <c r="ATG68" s="627"/>
      <c r="ATI68" s="627"/>
      <c r="ATK68" s="627"/>
      <c r="ATM68" s="627"/>
      <c r="ATO68" s="627"/>
      <c r="ATQ68" s="627"/>
      <c r="ATS68" s="627"/>
      <c r="ATU68" s="627"/>
      <c r="ATW68" s="627"/>
      <c r="ATY68" s="627"/>
      <c r="AUA68" s="627"/>
      <c r="AUC68" s="627"/>
      <c r="AUE68" s="627"/>
      <c r="AUG68" s="627"/>
      <c r="AUI68" s="627"/>
      <c r="AUK68" s="627"/>
      <c r="AUM68" s="627"/>
      <c r="AUO68" s="627"/>
      <c r="AUQ68" s="627"/>
      <c r="AUS68" s="627"/>
      <c r="AUU68" s="627"/>
      <c r="AUW68" s="627"/>
      <c r="AUY68" s="627"/>
      <c r="AVA68" s="627"/>
      <c r="AVC68" s="627"/>
      <c r="AVE68" s="627"/>
      <c r="AVG68" s="627"/>
      <c r="AVI68" s="627"/>
      <c r="AVK68" s="627"/>
      <c r="AVM68" s="627"/>
      <c r="AVO68" s="627"/>
      <c r="AVQ68" s="627"/>
      <c r="AVS68" s="627"/>
      <c r="AVU68" s="627"/>
      <c r="AVW68" s="627"/>
      <c r="AVY68" s="627"/>
      <c r="AWA68" s="627"/>
      <c r="AWC68" s="627"/>
      <c r="AWE68" s="627"/>
      <c r="AWG68" s="627"/>
      <c r="AWI68" s="627"/>
      <c r="AWK68" s="627"/>
      <c r="AWM68" s="627"/>
      <c r="AWO68" s="627"/>
      <c r="AWQ68" s="627"/>
      <c r="AWS68" s="627"/>
      <c r="AWU68" s="627"/>
      <c r="AWW68" s="627"/>
      <c r="AWY68" s="627"/>
      <c r="AXA68" s="627"/>
      <c r="AXC68" s="627"/>
      <c r="AXE68" s="627"/>
      <c r="AXG68" s="627"/>
      <c r="AXI68" s="627"/>
      <c r="AXK68" s="627"/>
      <c r="AXM68" s="627"/>
      <c r="AXO68" s="627"/>
      <c r="AXQ68" s="627"/>
      <c r="AXS68" s="627"/>
      <c r="AXU68" s="627"/>
      <c r="AXW68" s="627"/>
      <c r="AXY68" s="627"/>
      <c r="AYA68" s="627"/>
      <c r="AYC68" s="627"/>
      <c r="AYE68" s="627"/>
      <c r="AYG68" s="627"/>
      <c r="AYI68" s="627"/>
      <c r="AYK68" s="627"/>
      <c r="AYM68" s="627"/>
      <c r="AYO68" s="627"/>
      <c r="AYQ68" s="627"/>
      <c r="AYS68" s="627"/>
      <c r="AYU68" s="627"/>
      <c r="AYW68" s="627"/>
      <c r="AYY68" s="627"/>
      <c r="AZA68" s="627"/>
      <c r="AZC68" s="627"/>
      <c r="AZE68" s="627"/>
      <c r="AZG68" s="627"/>
      <c r="AZI68" s="627"/>
      <c r="AZK68" s="627"/>
      <c r="AZM68" s="627"/>
      <c r="AZO68" s="627"/>
      <c r="AZQ68" s="627"/>
      <c r="AZS68" s="627"/>
      <c r="AZU68" s="627"/>
      <c r="AZW68" s="627"/>
      <c r="AZY68" s="627"/>
      <c r="BAA68" s="627"/>
      <c r="BAC68" s="627"/>
      <c r="BAE68" s="627"/>
      <c r="BAG68" s="627"/>
      <c r="BAI68" s="627"/>
      <c r="BAK68" s="627"/>
      <c r="BAM68" s="627"/>
      <c r="BAO68" s="627"/>
      <c r="BAQ68" s="627"/>
      <c r="BAS68" s="627"/>
      <c r="BAU68" s="627"/>
      <c r="BAW68" s="627"/>
      <c r="BAY68" s="627"/>
      <c r="BBA68" s="627"/>
      <c r="BBC68" s="627"/>
      <c r="BBE68" s="627"/>
      <c r="BBG68" s="627"/>
      <c r="BBI68" s="627"/>
      <c r="BBK68" s="627"/>
      <c r="BBM68" s="627"/>
      <c r="BBO68" s="627"/>
      <c r="BBQ68" s="627"/>
      <c r="BBS68" s="627"/>
      <c r="BBU68" s="627"/>
      <c r="BBW68" s="627"/>
      <c r="BBY68" s="627"/>
      <c r="BCA68" s="627"/>
      <c r="BCC68" s="627"/>
      <c r="BCE68" s="627"/>
      <c r="BCG68" s="627"/>
      <c r="BCI68" s="627"/>
      <c r="BCK68" s="627"/>
      <c r="BCM68" s="627"/>
      <c r="BCO68" s="627"/>
      <c r="BCQ68" s="627"/>
      <c r="BCS68" s="627"/>
      <c r="BCU68" s="627"/>
      <c r="BCW68" s="627"/>
      <c r="BCY68" s="627"/>
      <c r="BDA68" s="627"/>
      <c r="BDC68" s="627"/>
      <c r="BDE68" s="627"/>
      <c r="BDG68" s="627"/>
      <c r="BDI68" s="627"/>
      <c r="BDK68" s="627"/>
      <c r="BDM68" s="627"/>
      <c r="BDO68" s="627"/>
      <c r="BDQ68" s="627"/>
      <c r="BDS68" s="627"/>
      <c r="BDU68" s="627"/>
      <c r="BDW68" s="627"/>
      <c r="BDY68" s="627"/>
      <c r="BEA68" s="627"/>
      <c r="BEC68" s="627"/>
      <c r="BEE68" s="627"/>
      <c r="BEG68" s="627"/>
      <c r="BEI68" s="627"/>
      <c r="BEK68" s="627"/>
      <c r="BEM68" s="627"/>
      <c r="BEO68" s="627"/>
      <c r="BEQ68" s="627"/>
      <c r="BES68" s="627"/>
      <c r="BEU68" s="627"/>
      <c r="BEW68" s="627"/>
      <c r="BEY68" s="627"/>
      <c r="BFA68" s="627"/>
      <c r="BFC68" s="627"/>
      <c r="BFE68" s="627"/>
      <c r="BFG68" s="627"/>
      <c r="BFI68" s="627"/>
      <c r="BFK68" s="627"/>
      <c r="BFM68" s="627"/>
      <c r="BFO68" s="627"/>
      <c r="BFQ68" s="627"/>
      <c r="BFS68" s="627"/>
      <c r="BFU68" s="627"/>
      <c r="BFW68" s="627"/>
      <c r="BFY68" s="627"/>
      <c r="BGA68" s="627"/>
      <c r="BGC68" s="627"/>
      <c r="BGE68" s="627"/>
      <c r="BGG68" s="627"/>
      <c r="BGI68" s="627"/>
      <c r="BGK68" s="627"/>
      <c r="BGM68" s="627"/>
      <c r="BGO68" s="627"/>
      <c r="BGQ68" s="627"/>
      <c r="BGS68" s="627"/>
      <c r="BGU68" s="627"/>
      <c r="BGW68" s="627"/>
      <c r="BGY68" s="627"/>
      <c r="BHA68" s="627"/>
      <c r="BHC68" s="627"/>
      <c r="BHE68" s="627"/>
      <c r="BHG68" s="627"/>
      <c r="BHI68" s="627"/>
      <c r="BHK68" s="627"/>
      <c r="BHM68" s="627"/>
      <c r="BHO68" s="627"/>
      <c r="BHQ68" s="627"/>
      <c r="BHS68" s="627"/>
      <c r="BHU68" s="627"/>
      <c r="BHW68" s="627"/>
      <c r="BHY68" s="627"/>
      <c r="BIA68" s="627"/>
      <c r="BIC68" s="627"/>
      <c r="BIE68" s="627"/>
      <c r="BIG68" s="627"/>
      <c r="BII68" s="627"/>
      <c r="BIK68" s="627"/>
      <c r="BIM68" s="627"/>
      <c r="BIO68" s="627"/>
      <c r="BIQ68" s="627"/>
      <c r="BIS68" s="627"/>
      <c r="BIU68" s="627"/>
      <c r="BIW68" s="627"/>
      <c r="BIY68" s="627"/>
      <c r="BJA68" s="627"/>
      <c r="BJC68" s="627"/>
      <c r="BJE68" s="627"/>
      <c r="BJG68" s="627"/>
      <c r="BJI68" s="627"/>
      <c r="BJK68" s="627"/>
      <c r="BJM68" s="627"/>
      <c r="BJO68" s="627"/>
      <c r="BJQ68" s="627"/>
      <c r="BJS68" s="627"/>
      <c r="BJU68" s="627"/>
      <c r="BJW68" s="627"/>
      <c r="BJY68" s="627"/>
      <c r="BKA68" s="627"/>
      <c r="BKC68" s="627"/>
      <c r="BKE68" s="627"/>
      <c r="BKG68" s="627"/>
      <c r="BKI68" s="627"/>
      <c r="BKK68" s="627"/>
      <c r="BKM68" s="627"/>
      <c r="BKO68" s="627"/>
      <c r="BKQ68" s="627"/>
      <c r="BKS68" s="627"/>
      <c r="BKU68" s="627"/>
      <c r="BKW68" s="627"/>
      <c r="BKY68" s="627"/>
      <c r="BLA68" s="627"/>
      <c r="BLC68" s="627"/>
      <c r="BLE68" s="627"/>
      <c r="BLG68" s="627"/>
      <c r="BLI68" s="627"/>
      <c r="BLK68" s="627"/>
      <c r="BLM68" s="627"/>
      <c r="BLO68" s="627"/>
      <c r="BLQ68" s="627"/>
      <c r="BLS68" s="627"/>
      <c r="BLU68" s="627"/>
      <c r="BLW68" s="627"/>
      <c r="BLY68" s="627"/>
      <c r="BMA68" s="627"/>
      <c r="BMC68" s="627"/>
      <c r="BME68" s="627"/>
      <c r="BMG68" s="627"/>
      <c r="BMI68" s="627"/>
      <c r="BMK68" s="627"/>
      <c r="BMM68" s="627"/>
      <c r="BMO68" s="627"/>
      <c r="BMQ68" s="627"/>
      <c r="BMS68" s="627"/>
      <c r="BMU68" s="627"/>
      <c r="BMW68" s="627"/>
      <c r="BMY68" s="627"/>
      <c r="BNA68" s="627"/>
      <c r="BNC68" s="627"/>
      <c r="BNE68" s="627"/>
      <c r="BNG68" s="627"/>
      <c r="BNI68" s="627"/>
      <c r="BNK68" s="627"/>
      <c r="BNM68" s="627"/>
      <c r="BNO68" s="627"/>
      <c r="BNQ68" s="627"/>
      <c r="BNS68" s="627"/>
      <c r="BNU68" s="627"/>
      <c r="BNW68" s="627"/>
      <c r="BNY68" s="627"/>
      <c r="BOA68" s="627"/>
      <c r="BOC68" s="627"/>
      <c r="BOE68" s="627"/>
      <c r="BOG68" s="627"/>
      <c r="BOI68" s="627"/>
      <c r="BOK68" s="627"/>
      <c r="BOM68" s="627"/>
      <c r="BOO68" s="627"/>
      <c r="BOQ68" s="627"/>
      <c r="BOS68" s="627"/>
      <c r="BOU68" s="627"/>
      <c r="BOW68" s="627"/>
      <c r="BOY68" s="627"/>
      <c r="BPA68" s="627"/>
      <c r="BPC68" s="627"/>
      <c r="BPE68" s="627"/>
      <c r="BPG68" s="627"/>
      <c r="BPI68" s="627"/>
      <c r="BPK68" s="627"/>
      <c r="BPM68" s="627"/>
      <c r="BPO68" s="627"/>
      <c r="BPQ68" s="627"/>
      <c r="BPS68" s="627"/>
      <c r="BPU68" s="627"/>
      <c r="BPW68" s="627"/>
      <c r="BPY68" s="627"/>
      <c r="BQA68" s="627"/>
      <c r="BQC68" s="627"/>
      <c r="BQE68" s="627"/>
      <c r="BQG68" s="627"/>
      <c r="BQI68" s="627"/>
      <c r="BQK68" s="627"/>
      <c r="BQM68" s="627"/>
      <c r="BQO68" s="627"/>
      <c r="BQQ68" s="627"/>
      <c r="BQS68" s="627"/>
      <c r="BQU68" s="627"/>
      <c r="BQW68" s="627"/>
      <c r="BQY68" s="627"/>
      <c r="BRA68" s="627"/>
      <c r="BRC68" s="627"/>
      <c r="BRE68" s="627"/>
      <c r="BRG68" s="627"/>
      <c r="BRI68" s="627"/>
      <c r="BRK68" s="627"/>
      <c r="BRM68" s="627"/>
      <c r="BRO68" s="627"/>
      <c r="BRQ68" s="627"/>
      <c r="BRS68" s="627"/>
      <c r="BRU68" s="627"/>
      <c r="BRW68" s="627"/>
      <c r="BRY68" s="627"/>
      <c r="BSA68" s="627"/>
      <c r="BSC68" s="627"/>
      <c r="BSE68" s="627"/>
      <c r="BSG68" s="627"/>
      <c r="BSI68" s="627"/>
      <c r="BSK68" s="627"/>
      <c r="BSM68" s="627"/>
      <c r="BSO68" s="627"/>
      <c r="BSQ68" s="627"/>
      <c r="BSS68" s="627"/>
      <c r="BSU68" s="627"/>
      <c r="BSW68" s="627"/>
      <c r="BSY68" s="627"/>
      <c r="BTA68" s="627"/>
      <c r="BTC68" s="627"/>
      <c r="BTE68" s="627"/>
      <c r="BTG68" s="627"/>
      <c r="BTI68" s="627"/>
      <c r="BTK68" s="627"/>
      <c r="BTM68" s="627"/>
      <c r="BTO68" s="627"/>
      <c r="BTQ68" s="627"/>
      <c r="BTS68" s="627"/>
      <c r="BTU68" s="627"/>
      <c r="BTW68" s="627"/>
      <c r="BTY68" s="627"/>
      <c r="BUA68" s="627"/>
      <c r="BUC68" s="627"/>
      <c r="BUE68" s="627"/>
      <c r="BUG68" s="627"/>
      <c r="BUI68" s="627"/>
      <c r="BUK68" s="627"/>
      <c r="BUM68" s="627"/>
      <c r="BUO68" s="627"/>
      <c r="BUQ68" s="627"/>
      <c r="BUS68" s="627"/>
      <c r="BUU68" s="627"/>
      <c r="BUW68" s="627"/>
      <c r="BUY68" s="627"/>
      <c r="BVA68" s="627"/>
      <c r="BVC68" s="627"/>
      <c r="BVE68" s="627"/>
      <c r="BVG68" s="627"/>
      <c r="BVI68" s="627"/>
      <c r="BVK68" s="627"/>
      <c r="BVM68" s="627"/>
      <c r="BVO68" s="627"/>
      <c r="BVQ68" s="627"/>
      <c r="BVS68" s="627"/>
      <c r="BVU68" s="627"/>
      <c r="BVW68" s="627"/>
      <c r="BVY68" s="627"/>
      <c r="BWA68" s="627"/>
      <c r="BWC68" s="627"/>
      <c r="BWE68" s="627"/>
      <c r="BWG68" s="627"/>
      <c r="BWI68" s="627"/>
      <c r="BWK68" s="627"/>
      <c r="BWM68" s="627"/>
      <c r="BWO68" s="627"/>
      <c r="BWQ68" s="627"/>
      <c r="BWS68" s="627"/>
      <c r="BWU68" s="627"/>
      <c r="BWW68" s="627"/>
      <c r="BWY68" s="627"/>
      <c r="BXA68" s="627"/>
      <c r="BXC68" s="627"/>
      <c r="BXE68" s="627"/>
      <c r="BXG68" s="627"/>
      <c r="BXI68" s="627"/>
      <c r="BXK68" s="627"/>
      <c r="BXM68" s="627"/>
      <c r="BXO68" s="627"/>
      <c r="BXQ68" s="627"/>
      <c r="BXS68" s="627"/>
      <c r="BXU68" s="627"/>
      <c r="BXW68" s="627"/>
      <c r="BXY68" s="627"/>
      <c r="BYA68" s="627"/>
      <c r="BYC68" s="627"/>
      <c r="BYE68" s="627"/>
      <c r="BYG68" s="627"/>
      <c r="BYI68" s="627"/>
      <c r="BYK68" s="627"/>
      <c r="BYM68" s="627"/>
      <c r="BYO68" s="627"/>
      <c r="BYQ68" s="627"/>
      <c r="BYS68" s="627"/>
      <c r="BYU68" s="627"/>
      <c r="BYW68" s="627"/>
      <c r="BYY68" s="627"/>
      <c r="BZA68" s="627"/>
      <c r="BZC68" s="627"/>
      <c r="BZE68" s="627"/>
      <c r="BZG68" s="627"/>
      <c r="BZI68" s="627"/>
      <c r="BZK68" s="627"/>
      <c r="BZM68" s="627"/>
      <c r="BZO68" s="627"/>
      <c r="BZQ68" s="627"/>
      <c r="BZS68" s="627"/>
      <c r="BZU68" s="627"/>
      <c r="BZW68" s="627"/>
      <c r="BZY68" s="627"/>
      <c r="CAA68" s="627"/>
      <c r="CAC68" s="627"/>
      <c r="CAE68" s="627"/>
      <c r="CAG68" s="627"/>
      <c r="CAI68" s="627"/>
      <c r="CAK68" s="627"/>
      <c r="CAM68" s="627"/>
      <c r="CAO68" s="627"/>
      <c r="CAQ68" s="627"/>
      <c r="CAS68" s="627"/>
      <c r="CAU68" s="627"/>
      <c r="CAW68" s="627"/>
      <c r="CAY68" s="627"/>
      <c r="CBA68" s="627"/>
      <c r="CBC68" s="627"/>
      <c r="CBE68" s="627"/>
      <c r="CBG68" s="627"/>
      <c r="CBI68" s="627"/>
      <c r="CBK68" s="627"/>
      <c r="CBM68" s="627"/>
      <c r="CBO68" s="627"/>
      <c r="CBQ68" s="627"/>
      <c r="CBS68" s="627"/>
      <c r="CBU68" s="627"/>
      <c r="CBW68" s="627"/>
      <c r="CBY68" s="627"/>
      <c r="CCA68" s="627"/>
      <c r="CCC68" s="627"/>
      <c r="CCE68" s="627"/>
      <c r="CCG68" s="627"/>
      <c r="CCI68" s="627"/>
      <c r="CCK68" s="627"/>
      <c r="CCM68" s="627"/>
      <c r="CCO68" s="627"/>
      <c r="CCQ68" s="627"/>
      <c r="CCS68" s="627"/>
      <c r="CCU68" s="627"/>
      <c r="CCW68" s="627"/>
      <c r="CCY68" s="627"/>
      <c r="CDA68" s="627"/>
      <c r="CDC68" s="627"/>
      <c r="CDE68" s="627"/>
      <c r="CDG68" s="627"/>
      <c r="CDI68" s="627"/>
      <c r="CDK68" s="627"/>
      <c r="CDM68" s="627"/>
      <c r="CDO68" s="627"/>
      <c r="CDQ68" s="627"/>
      <c r="CDS68" s="627"/>
      <c r="CDU68" s="627"/>
      <c r="CDW68" s="627"/>
      <c r="CDY68" s="627"/>
      <c r="CEA68" s="627"/>
      <c r="CEC68" s="627"/>
      <c r="CEE68" s="627"/>
      <c r="CEG68" s="627"/>
      <c r="CEI68" s="627"/>
      <c r="CEK68" s="627"/>
      <c r="CEM68" s="627"/>
      <c r="CEO68" s="627"/>
      <c r="CEQ68" s="627"/>
      <c r="CES68" s="627"/>
      <c r="CEU68" s="627"/>
      <c r="CEW68" s="627"/>
      <c r="CEY68" s="627"/>
      <c r="CFA68" s="627"/>
      <c r="CFC68" s="627"/>
      <c r="CFE68" s="627"/>
      <c r="CFG68" s="627"/>
      <c r="CFI68" s="627"/>
      <c r="CFK68" s="627"/>
      <c r="CFM68" s="627"/>
      <c r="CFO68" s="627"/>
      <c r="CFQ68" s="627"/>
      <c r="CFS68" s="627"/>
      <c r="CFU68" s="627"/>
      <c r="CFW68" s="627"/>
      <c r="CFY68" s="627"/>
      <c r="CGA68" s="627"/>
      <c r="CGC68" s="627"/>
      <c r="CGE68" s="627"/>
      <c r="CGG68" s="627"/>
      <c r="CGI68" s="627"/>
      <c r="CGK68" s="627"/>
      <c r="CGM68" s="627"/>
      <c r="CGO68" s="627"/>
      <c r="CGQ68" s="627"/>
      <c r="CGS68" s="627"/>
      <c r="CGU68" s="627"/>
      <c r="CGW68" s="627"/>
      <c r="CGY68" s="627"/>
      <c r="CHA68" s="627"/>
      <c r="CHC68" s="627"/>
      <c r="CHE68" s="627"/>
      <c r="CHG68" s="627"/>
      <c r="CHI68" s="627"/>
      <c r="CHK68" s="627"/>
      <c r="CHM68" s="627"/>
      <c r="CHO68" s="627"/>
      <c r="CHQ68" s="627"/>
      <c r="CHS68" s="627"/>
      <c r="CHU68" s="627"/>
      <c r="CHW68" s="627"/>
      <c r="CHY68" s="627"/>
      <c r="CIA68" s="627"/>
      <c r="CIC68" s="627"/>
      <c r="CIE68" s="627"/>
      <c r="CIG68" s="627"/>
      <c r="CII68" s="627"/>
      <c r="CIK68" s="627"/>
      <c r="CIM68" s="627"/>
      <c r="CIO68" s="627"/>
      <c r="CIQ68" s="627"/>
      <c r="CIS68" s="627"/>
      <c r="CIU68" s="627"/>
      <c r="CIW68" s="627"/>
      <c r="CIY68" s="627"/>
      <c r="CJA68" s="627"/>
      <c r="CJC68" s="627"/>
      <c r="CJE68" s="627"/>
      <c r="CJG68" s="627"/>
      <c r="CJI68" s="627"/>
      <c r="CJK68" s="627"/>
      <c r="CJM68" s="627"/>
      <c r="CJO68" s="627"/>
      <c r="CJQ68" s="627"/>
      <c r="CJS68" s="627"/>
      <c r="CJU68" s="627"/>
      <c r="CJW68" s="627"/>
      <c r="CJY68" s="627"/>
      <c r="CKA68" s="627"/>
      <c r="CKC68" s="627"/>
      <c r="CKE68" s="627"/>
      <c r="CKG68" s="627"/>
      <c r="CKI68" s="627"/>
      <c r="CKK68" s="627"/>
      <c r="CKM68" s="627"/>
      <c r="CKO68" s="627"/>
      <c r="CKQ68" s="627"/>
      <c r="CKS68" s="627"/>
      <c r="CKU68" s="627"/>
      <c r="CKW68" s="627"/>
      <c r="CKY68" s="627"/>
      <c r="CLA68" s="627"/>
      <c r="CLC68" s="627"/>
      <c r="CLE68" s="627"/>
      <c r="CLG68" s="627"/>
      <c r="CLI68" s="627"/>
      <c r="CLK68" s="627"/>
      <c r="CLM68" s="627"/>
      <c r="CLO68" s="627"/>
      <c r="CLQ68" s="627"/>
      <c r="CLS68" s="627"/>
      <c r="CLU68" s="627"/>
      <c r="CLW68" s="627"/>
      <c r="CLY68" s="627"/>
      <c r="CMA68" s="627"/>
      <c r="CMC68" s="627"/>
      <c r="CME68" s="627"/>
      <c r="CMG68" s="627"/>
      <c r="CMI68" s="627"/>
      <c r="CMK68" s="627"/>
      <c r="CMM68" s="627"/>
      <c r="CMO68" s="627"/>
      <c r="CMQ68" s="627"/>
      <c r="CMS68" s="627"/>
      <c r="CMU68" s="627"/>
      <c r="CMW68" s="627"/>
      <c r="CMY68" s="627"/>
      <c r="CNA68" s="627"/>
      <c r="CNC68" s="627"/>
      <c r="CNE68" s="627"/>
      <c r="CNG68" s="627"/>
      <c r="CNI68" s="627"/>
      <c r="CNK68" s="627"/>
      <c r="CNM68" s="627"/>
      <c r="CNO68" s="627"/>
      <c r="CNQ68" s="627"/>
      <c r="CNS68" s="627"/>
      <c r="CNU68" s="627"/>
      <c r="CNW68" s="627"/>
      <c r="CNY68" s="627"/>
      <c r="COA68" s="627"/>
      <c r="COC68" s="627"/>
      <c r="COE68" s="627"/>
      <c r="COG68" s="627"/>
      <c r="COI68" s="627"/>
      <c r="COK68" s="627"/>
      <c r="COM68" s="627"/>
      <c r="COO68" s="627"/>
      <c r="COQ68" s="627"/>
      <c r="COS68" s="627"/>
      <c r="COU68" s="627"/>
      <c r="COW68" s="627"/>
      <c r="COY68" s="627"/>
      <c r="CPA68" s="627"/>
      <c r="CPC68" s="627"/>
      <c r="CPE68" s="627"/>
      <c r="CPG68" s="627"/>
      <c r="CPI68" s="627"/>
      <c r="CPK68" s="627"/>
      <c r="CPM68" s="627"/>
      <c r="CPO68" s="627"/>
      <c r="CPQ68" s="627"/>
      <c r="CPS68" s="627"/>
      <c r="CPU68" s="627"/>
      <c r="CPW68" s="627"/>
      <c r="CPY68" s="627"/>
      <c r="CQA68" s="627"/>
      <c r="CQC68" s="627"/>
      <c r="CQE68" s="627"/>
      <c r="CQG68" s="627"/>
      <c r="CQI68" s="627"/>
      <c r="CQK68" s="627"/>
      <c r="CQM68" s="627"/>
      <c r="CQO68" s="627"/>
      <c r="CQQ68" s="627"/>
      <c r="CQS68" s="627"/>
      <c r="CQU68" s="627"/>
      <c r="CQW68" s="627"/>
      <c r="CQY68" s="627"/>
      <c r="CRA68" s="627"/>
      <c r="CRC68" s="627"/>
      <c r="CRE68" s="627"/>
      <c r="CRG68" s="627"/>
      <c r="CRI68" s="627"/>
      <c r="CRK68" s="627"/>
      <c r="CRM68" s="627"/>
      <c r="CRO68" s="627"/>
      <c r="CRQ68" s="627"/>
      <c r="CRS68" s="627"/>
      <c r="CRU68" s="627"/>
      <c r="CRW68" s="627"/>
      <c r="CRY68" s="627"/>
      <c r="CSA68" s="627"/>
      <c r="CSC68" s="627"/>
      <c r="CSE68" s="627"/>
      <c r="CSG68" s="627"/>
      <c r="CSI68" s="627"/>
      <c r="CSK68" s="627"/>
      <c r="CSM68" s="627"/>
      <c r="CSO68" s="627"/>
      <c r="CSQ68" s="627"/>
      <c r="CSS68" s="627"/>
      <c r="CSU68" s="627"/>
      <c r="CSW68" s="627"/>
      <c r="CSY68" s="627"/>
      <c r="CTA68" s="627"/>
      <c r="CTC68" s="627"/>
      <c r="CTE68" s="627"/>
      <c r="CTG68" s="627"/>
      <c r="CTI68" s="627"/>
      <c r="CTK68" s="627"/>
      <c r="CTM68" s="627"/>
      <c r="CTO68" s="627"/>
      <c r="CTQ68" s="627"/>
      <c r="CTS68" s="627"/>
      <c r="CTU68" s="627"/>
      <c r="CTW68" s="627"/>
      <c r="CTY68" s="627"/>
      <c r="CUA68" s="627"/>
      <c r="CUC68" s="627"/>
      <c r="CUE68" s="627"/>
      <c r="CUG68" s="627"/>
      <c r="CUI68" s="627"/>
      <c r="CUK68" s="627"/>
      <c r="CUM68" s="627"/>
      <c r="CUO68" s="627"/>
      <c r="CUQ68" s="627"/>
      <c r="CUS68" s="627"/>
      <c r="CUU68" s="627"/>
      <c r="CUW68" s="627"/>
      <c r="CUY68" s="627"/>
      <c r="CVA68" s="627"/>
      <c r="CVC68" s="627"/>
      <c r="CVE68" s="627"/>
      <c r="CVG68" s="627"/>
      <c r="CVI68" s="627"/>
      <c r="CVK68" s="627"/>
      <c r="CVM68" s="627"/>
      <c r="CVO68" s="627"/>
      <c r="CVQ68" s="627"/>
      <c r="CVS68" s="627"/>
      <c r="CVU68" s="627"/>
      <c r="CVW68" s="627"/>
      <c r="CVY68" s="627"/>
      <c r="CWA68" s="627"/>
      <c r="CWC68" s="627"/>
      <c r="CWE68" s="627"/>
      <c r="CWG68" s="627"/>
      <c r="CWI68" s="627"/>
      <c r="CWK68" s="627"/>
      <c r="CWM68" s="627"/>
      <c r="CWO68" s="627"/>
      <c r="CWQ68" s="627"/>
      <c r="CWS68" s="627"/>
      <c r="CWU68" s="627"/>
      <c r="CWW68" s="627"/>
      <c r="CWY68" s="627"/>
      <c r="CXA68" s="627"/>
      <c r="CXC68" s="627"/>
      <c r="CXE68" s="627"/>
      <c r="CXG68" s="627"/>
      <c r="CXI68" s="627"/>
      <c r="CXK68" s="627"/>
      <c r="CXM68" s="627"/>
      <c r="CXO68" s="627"/>
      <c r="CXQ68" s="627"/>
      <c r="CXS68" s="627"/>
      <c r="CXU68" s="627"/>
      <c r="CXW68" s="627"/>
      <c r="CXY68" s="627"/>
      <c r="CYA68" s="627"/>
      <c r="CYC68" s="627"/>
      <c r="CYE68" s="627"/>
      <c r="CYG68" s="627"/>
      <c r="CYI68" s="627"/>
      <c r="CYK68" s="627"/>
      <c r="CYM68" s="627"/>
      <c r="CYO68" s="627"/>
      <c r="CYQ68" s="627"/>
      <c r="CYS68" s="627"/>
      <c r="CYU68" s="627"/>
      <c r="CYW68" s="627"/>
      <c r="CYY68" s="627"/>
      <c r="CZA68" s="627"/>
      <c r="CZC68" s="627"/>
      <c r="CZE68" s="627"/>
      <c r="CZG68" s="627"/>
      <c r="CZI68" s="627"/>
      <c r="CZK68" s="627"/>
      <c r="CZM68" s="627"/>
      <c r="CZO68" s="627"/>
      <c r="CZQ68" s="627"/>
      <c r="CZS68" s="627"/>
      <c r="CZU68" s="627"/>
      <c r="CZW68" s="627"/>
      <c r="CZY68" s="627"/>
      <c r="DAA68" s="627"/>
      <c r="DAC68" s="627"/>
      <c r="DAE68" s="627"/>
      <c r="DAG68" s="627"/>
      <c r="DAI68" s="627"/>
      <c r="DAK68" s="627"/>
      <c r="DAM68" s="627"/>
      <c r="DAO68" s="627"/>
      <c r="DAQ68" s="627"/>
      <c r="DAS68" s="627"/>
      <c r="DAU68" s="627"/>
      <c r="DAW68" s="627"/>
      <c r="DAY68" s="627"/>
      <c r="DBA68" s="627"/>
      <c r="DBC68" s="627"/>
      <c r="DBE68" s="627"/>
      <c r="DBG68" s="627"/>
      <c r="DBI68" s="627"/>
      <c r="DBK68" s="627"/>
      <c r="DBM68" s="627"/>
      <c r="DBO68" s="627"/>
      <c r="DBQ68" s="627"/>
      <c r="DBS68" s="627"/>
      <c r="DBU68" s="627"/>
      <c r="DBW68" s="627"/>
      <c r="DBY68" s="627"/>
      <c r="DCA68" s="627"/>
      <c r="DCC68" s="627"/>
      <c r="DCE68" s="627"/>
      <c r="DCG68" s="627"/>
      <c r="DCI68" s="627"/>
      <c r="DCK68" s="627"/>
      <c r="DCM68" s="627"/>
      <c r="DCO68" s="627"/>
      <c r="DCQ68" s="627"/>
      <c r="DCS68" s="627"/>
      <c r="DCU68" s="627"/>
      <c r="DCW68" s="627"/>
      <c r="DCY68" s="627"/>
      <c r="DDA68" s="627"/>
      <c r="DDC68" s="627"/>
      <c r="DDE68" s="627"/>
      <c r="DDG68" s="627"/>
      <c r="DDI68" s="627"/>
      <c r="DDK68" s="627"/>
      <c r="DDM68" s="627"/>
      <c r="DDO68" s="627"/>
      <c r="DDQ68" s="627"/>
      <c r="DDS68" s="627"/>
      <c r="DDU68" s="627"/>
      <c r="DDW68" s="627"/>
      <c r="DDY68" s="627"/>
      <c r="DEA68" s="627"/>
      <c r="DEC68" s="627"/>
      <c r="DEE68" s="627"/>
      <c r="DEG68" s="627"/>
      <c r="DEI68" s="627"/>
      <c r="DEK68" s="627"/>
      <c r="DEM68" s="627"/>
      <c r="DEO68" s="627"/>
      <c r="DEQ68" s="627"/>
      <c r="DES68" s="627"/>
      <c r="DEU68" s="627"/>
      <c r="DEW68" s="627"/>
      <c r="DEY68" s="627"/>
      <c r="DFA68" s="627"/>
      <c r="DFC68" s="627"/>
      <c r="DFE68" s="627"/>
      <c r="DFG68" s="627"/>
      <c r="DFI68" s="627"/>
      <c r="DFK68" s="627"/>
      <c r="DFM68" s="627"/>
      <c r="DFO68" s="627"/>
      <c r="DFQ68" s="627"/>
      <c r="DFS68" s="627"/>
      <c r="DFU68" s="627"/>
      <c r="DFW68" s="627"/>
      <c r="DFY68" s="627"/>
      <c r="DGA68" s="627"/>
      <c r="DGC68" s="627"/>
      <c r="DGE68" s="627"/>
      <c r="DGG68" s="627"/>
      <c r="DGI68" s="627"/>
      <c r="DGK68" s="627"/>
      <c r="DGM68" s="627"/>
      <c r="DGO68" s="627"/>
      <c r="DGQ68" s="627"/>
      <c r="DGS68" s="627"/>
      <c r="DGU68" s="627"/>
      <c r="DGW68" s="627"/>
      <c r="DGY68" s="627"/>
      <c r="DHA68" s="627"/>
      <c r="DHC68" s="627"/>
      <c r="DHE68" s="627"/>
      <c r="DHG68" s="627"/>
      <c r="DHI68" s="627"/>
      <c r="DHK68" s="627"/>
      <c r="DHM68" s="627"/>
      <c r="DHO68" s="627"/>
      <c r="DHQ68" s="627"/>
      <c r="DHS68" s="627"/>
      <c r="DHU68" s="627"/>
      <c r="DHW68" s="627"/>
      <c r="DHY68" s="627"/>
      <c r="DIA68" s="627"/>
      <c r="DIC68" s="627"/>
      <c r="DIE68" s="627"/>
      <c r="DIG68" s="627"/>
      <c r="DII68" s="627"/>
      <c r="DIK68" s="627"/>
      <c r="DIM68" s="627"/>
      <c r="DIO68" s="627"/>
      <c r="DIQ68" s="627"/>
      <c r="DIS68" s="627"/>
      <c r="DIU68" s="627"/>
      <c r="DIW68" s="627"/>
      <c r="DIY68" s="627"/>
      <c r="DJA68" s="627"/>
      <c r="DJC68" s="627"/>
      <c r="DJE68" s="627"/>
      <c r="DJG68" s="627"/>
      <c r="DJI68" s="627"/>
      <c r="DJK68" s="627"/>
      <c r="DJM68" s="627"/>
      <c r="DJO68" s="627"/>
      <c r="DJQ68" s="627"/>
      <c r="DJS68" s="627"/>
      <c r="DJU68" s="627"/>
      <c r="DJW68" s="627"/>
      <c r="DJY68" s="627"/>
      <c r="DKA68" s="627"/>
      <c r="DKC68" s="627"/>
      <c r="DKE68" s="627"/>
      <c r="DKG68" s="627"/>
      <c r="DKI68" s="627"/>
      <c r="DKK68" s="627"/>
      <c r="DKM68" s="627"/>
      <c r="DKO68" s="627"/>
      <c r="DKQ68" s="627"/>
      <c r="DKS68" s="627"/>
      <c r="DKU68" s="627"/>
      <c r="DKW68" s="627"/>
      <c r="DKY68" s="627"/>
      <c r="DLA68" s="627"/>
      <c r="DLC68" s="627"/>
      <c r="DLE68" s="627"/>
      <c r="DLG68" s="627"/>
      <c r="DLI68" s="627"/>
      <c r="DLK68" s="627"/>
      <c r="DLM68" s="627"/>
      <c r="DLO68" s="627"/>
      <c r="DLQ68" s="627"/>
      <c r="DLS68" s="627"/>
      <c r="DLU68" s="627"/>
      <c r="DLW68" s="627"/>
      <c r="DLY68" s="627"/>
      <c r="DMA68" s="627"/>
      <c r="DMC68" s="627"/>
      <c r="DME68" s="627"/>
      <c r="DMG68" s="627"/>
      <c r="DMI68" s="627"/>
      <c r="DMK68" s="627"/>
      <c r="DMM68" s="627"/>
      <c r="DMO68" s="627"/>
      <c r="DMQ68" s="627"/>
      <c r="DMS68" s="627"/>
      <c r="DMU68" s="627"/>
      <c r="DMW68" s="627"/>
      <c r="DMY68" s="627"/>
      <c r="DNA68" s="627"/>
      <c r="DNC68" s="627"/>
      <c r="DNE68" s="627"/>
      <c r="DNG68" s="627"/>
      <c r="DNI68" s="627"/>
      <c r="DNK68" s="627"/>
      <c r="DNM68" s="627"/>
      <c r="DNO68" s="627"/>
      <c r="DNQ68" s="627"/>
      <c r="DNS68" s="627"/>
      <c r="DNU68" s="627"/>
      <c r="DNW68" s="627"/>
      <c r="DNY68" s="627"/>
      <c r="DOA68" s="627"/>
      <c r="DOC68" s="627"/>
      <c r="DOE68" s="627"/>
      <c r="DOG68" s="627"/>
      <c r="DOI68" s="627"/>
      <c r="DOK68" s="627"/>
      <c r="DOM68" s="627"/>
      <c r="DOO68" s="627"/>
      <c r="DOQ68" s="627"/>
      <c r="DOS68" s="627"/>
      <c r="DOU68" s="627"/>
      <c r="DOW68" s="627"/>
      <c r="DOY68" s="627"/>
      <c r="DPA68" s="627"/>
      <c r="DPC68" s="627"/>
      <c r="DPE68" s="627"/>
      <c r="DPG68" s="627"/>
      <c r="DPI68" s="627"/>
      <c r="DPK68" s="627"/>
      <c r="DPM68" s="627"/>
      <c r="DPO68" s="627"/>
      <c r="DPQ68" s="627"/>
      <c r="DPS68" s="627"/>
      <c r="DPU68" s="627"/>
      <c r="DPW68" s="627"/>
      <c r="DPY68" s="627"/>
      <c r="DQA68" s="627"/>
      <c r="DQC68" s="627"/>
      <c r="DQE68" s="627"/>
      <c r="DQG68" s="627"/>
      <c r="DQI68" s="627"/>
      <c r="DQK68" s="627"/>
      <c r="DQM68" s="627"/>
      <c r="DQO68" s="627"/>
      <c r="DQQ68" s="627"/>
      <c r="DQS68" s="627"/>
      <c r="DQU68" s="627"/>
      <c r="DQW68" s="627"/>
      <c r="DQY68" s="627"/>
      <c r="DRA68" s="627"/>
      <c r="DRC68" s="627"/>
      <c r="DRE68" s="627"/>
      <c r="DRG68" s="627"/>
      <c r="DRI68" s="627"/>
      <c r="DRK68" s="627"/>
      <c r="DRM68" s="627"/>
      <c r="DRO68" s="627"/>
      <c r="DRQ68" s="627"/>
      <c r="DRS68" s="627"/>
      <c r="DRU68" s="627"/>
      <c r="DRW68" s="627"/>
      <c r="DRY68" s="627"/>
      <c r="DSA68" s="627"/>
      <c r="DSC68" s="627"/>
      <c r="DSE68" s="627"/>
      <c r="DSG68" s="627"/>
      <c r="DSI68" s="627"/>
      <c r="DSK68" s="627"/>
      <c r="DSM68" s="627"/>
      <c r="DSO68" s="627"/>
      <c r="DSQ68" s="627"/>
      <c r="DSS68" s="627"/>
      <c r="DSU68" s="627"/>
      <c r="DSW68" s="627"/>
      <c r="DSY68" s="627"/>
      <c r="DTA68" s="627"/>
      <c r="DTC68" s="627"/>
      <c r="DTE68" s="627"/>
      <c r="DTG68" s="627"/>
      <c r="DTI68" s="627"/>
      <c r="DTK68" s="627"/>
      <c r="DTM68" s="627"/>
      <c r="DTO68" s="627"/>
      <c r="DTQ68" s="627"/>
      <c r="DTS68" s="627"/>
      <c r="DTU68" s="627"/>
      <c r="DTW68" s="627"/>
      <c r="DTY68" s="627"/>
      <c r="DUA68" s="627"/>
      <c r="DUC68" s="627"/>
      <c r="DUE68" s="627"/>
      <c r="DUG68" s="627"/>
      <c r="DUI68" s="627"/>
      <c r="DUK68" s="627"/>
      <c r="DUM68" s="627"/>
      <c r="DUO68" s="627"/>
      <c r="DUQ68" s="627"/>
      <c r="DUS68" s="627"/>
      <c r="DUU68" s="627"/>
      <c r="DUW68" s="627"/>
      <c r="DUY68" s="627"/>
      <c r="DVA68" s="627"/>
      <c r="DVC68" s="627"/>
      <c r="DVE68" s="627"/>
      <c r="DVG68" s="627"/>
      <c r="DVI68" s="627"/>
      <c r="DVK68" s="627"/>
      <c r="DVM68" s="627"/>
      <c r="DVO68" s="627"/>
      <c r="DVQ68" s="627"/>
      <c r="DVS68" s="627"/>
      <c r="DVU68" s="627"/>
      <c r="DVW68" s="627"/>
      <c r="DVY68" s="627"/>
      <c r="DWA68" s="627"/>
      <c r="DWC68" s="627"/>
      <c r="DWE68" s="627"/>
      <c r="DWG68" s="627"/>
      <c r="DWI68" s="627"/>
      <c r="DWK68" s="627"/>
      <c r="DWM68" s="627"/>
      <c r="DWO68" s="627"/>
      <c r="DWQ68" s="627"/>
      <c r="DWS68" s="627"/>
      <c r="DWU68" s="627"/>
      <c r="DWW68" s="627"/>
      <c r="DWY68" s="627"/>
      <c r="DXA68" s="627"/>
      <c r="DXC68" s="627"/>
      <c r="DXE68" s="627"/>
      <c r="DXG68" s="627"/>
      <c r="DXI68" s="627"/>
      <c r="DXK68" s="627"/>
      <c r="DXM68" s="627"/>
      <c r="DXO68" s="627"/>
      <c r="DXQ68" s="627"/>
      <c r="DXS68" s="627"/>
      <c r="DXU68" s="627"/>
      <c r="DXW68" s="627"/>
      <c r="DXY68" s="627"/>
      <c r="DYA68" s="627"/>
      <c r="DYC68" s="627"/>
      <c r="DYE68" s="627"/>
      <c r="DYG68" s="627"/>
      <c r="DYI68" s="627"/>
      <c r="DYK68" s="627"/>
      <c r="DYM68" s="627"/>
      <c r="DYO68" s="627"/>
      <c r="DYQ68" s="627"/>
      <c r="DYS68" s="627"/>
      <c r="DYU68" s="627"/>
      <c r="DYW68" s="627"/>
      <c r="DYY68" s="627"/>
      <c r="DZA68" s="627"/>
      <c r="DZC68" s="627"/>
      <c r="DZE68" s="627"/>
      <c r="DZG68" s="627"/>
      <c r="DZI68" s="627"/>
      <c r="DZK68" s="627"/>
      <c r="DZM68" s="627"/>
      <c r="DZO68" s="627"/>
      <c r="DZQ68" s="627"/>
      <c r="DZS68" s="627"/>
      <c r="DZU68" s="627"/>
      <c r="DZW68" s="627"/>
      <c r="DZY68" s="627"/>
      <c r="EAA68" s="627"/>
      <c r="EAC68" s="627"/>
      <c r="EAE68" s="627"/>
      <c r="EAG68" s="627"/>
      <c r="EAI68" s="627"/>
      <c r="EAK68" s="627"/>
      <c r="EAM68" s="627"/>
      <c r="EAO68" s="627"/>
      <c r="EAQ68" s="627"/>
      <c r="EAS68" s="627"/>
      <c r="EAU68" s="627"/>
      <c r="EAW68" s="627"/>
      <c r="EAY68" s="627"/>
      <c r="EBA68" s="627"/>
      <c r="EBC68" s="627"/>
      <c r="EBE68" s="627"/>
      <c r="EBG68" s="627"/>
      <c r="EBI68" s="627"/>
      <c r="EBK68" s="627"/>
      <c r="EBM68" s="627"/>
      <c r="EBO68" s="627"/>
      <c r="EBQ68" s="627"/>
      <c r="EBS68" s="627"/>
      <c r="EBU68" s="627"/>
      <c r="EBW68" s="627"/>
      <c r="EBY68" s="627"/>
      <c r="ECA68" s="627"/>
      <c r="ECC68" s="627"/>
      <c r="ECE68" s="627"/>
      <c r="ECG68" s="627"/>
      <c r="ECI68" s="627"/>
      <c r="ECK68" s="627"/>
      <c r="ECM68" s="627"/>
      <c r="ECO68" s="627"/>
      <c r="ECQ68" s="627"/>
      <c r="ECS68" s="627"/>
      <c r="ECU68" s="627"/>
      <c r="ECW68" s="627"/>
      <c r="ECY68" s="627"/>
      <c r="EDA68" s="627"/>
      <c r="EDC68" s="627"/>
      <c r="EDE68" s="627"/>
      <c r="EDG68" s="627"/>
      <c r="EDI68" s="627"/>
      <c r="EDK68" s="627"/>
      <c r="EDM68" s="627"/>
      <c r="EDO68" s="627"/>
      <c r="EDQ68" s="627"/>
      <c r="EDS68" s="627"/>
      <c r="EDU68" s="627"/>
      <c r="EDW68" s="627"/>
      <c r="EDY68" s="627"/>
      <c r="EEA68" s="627"/>
      <c r="EEC68" s="627"/>
      <c r="EEE68" s="627"/>
      <c r="EEG68" s="627"/>
      <c r="EEI68" s="627"/>
      <c r="EEK68" s="627"/>
      <c r="EEM68" s="627"/>
      <c r="EEO68" s="627"/>
      <c r="EEQ68" s="627"/>
      <c r="EES68" s="627"/>
      <c r="EEU68" s="627"/>
      <c r="EEW68" s="627"/>
      <c r="EEY68" s="627"/>
      <c r="EFA68" s="627"/>
      <c r="EFC68" s="627"/>
      <c r="EFE68" s="627"/>
      <c r="EFG68" s="627"/>
      <c r="EFI68" s="627"/>
      <c r="EFK68" s="627"/>
      <c r="EFM68" s="627"/>
      <c r="EFO68" s="627"/>
      <c r="EFQ68" s="627"/>
      <c r="EFS68" s="627"/>
      <c r="EFU68" s="627"/>
      <c r="EFW68" s="627"/>
      <c r="EFY68" s="627"/>
      <c r="EGA68" s="627"/>
      <c r="EGC68" s="627"/>
      <c r="EGE68" s="627"/>
      <c r="EGG68" s="627"/>
      <c r="EGI68" s="627"/>
      <c r="EGK68" s="627"/>
      <c r="EGM68" s="627"/>
      <c r="EGO68" s="627"/>
      <c r="EGQ68" s="627"/>
      <c r="EGS68" s="627"/>
      <c r="EGU68" s="627"/>
      <c r="EGW68" s="627"/>
      <c r="EGY68" s="627"/>
      <c r="EHA68" s="627"/>
      <c r="EHC68" s="627"/>
      <c r="EHE68" s="627"/>
      <c r="EHG68" s="627"/>
      <c r="EHI68" s="627"/>
      <c r="EHK68" s="627"/>
      <c r="EHM68" s="627"/>
      <c r="EHO68" s="627"/>
      <c r="EHQ68" s="627"/>
      <c r="EHS68" s="627"/>
      <c r="EHU68" s="627"/>
      <c r="EHW68" s="627"/>
      <c r="EHY68" s="627"/>
      <c r="EIA68" s="627"/>
      <c r="EIC68" s="627"/>
      <c r="EIE68" s="627"/>
      <c r="EIG68" s="627"/>
      <c r="EII68" s="627"/>
      <c r="EIK68" s="627"/>
      <c r="EIM68" s="627"/>
      <c r="EIO68" s="627"/>
      <c r="EIQ68" s="627"/>
      <c r="EIS68" s="627"/>
      <c r="EIU68" s="627"/>
      <c r="EIW68" s="627"/>
      <c r="EIY68" s="627"/>
      <c r="EJA68" s="627"/>
      <c r="EJC68" s="627"/>
      <c r="EJE68" s="627"/>
      <c r="EJG68" s="627"/>
      <c r="EJI68" s="627"/>
      <c r="EJK68" s="627"/>
      <c r="EJM68" s="627"/>
      <c r="EJO68" s="627"/>
      <c r="EJQ68" s="627"/>
      <c r="EJS68" s="627"/>
      <c r="EJU68" s="627"/>
      <c r="EJW68" s="627"/>
      <c r="EJY68" s="627"/>
      <c r="EKA68" s="627"/>
      <c r="EKC68" s="627"/>
      <c r="EKE68" s="627"/>
      <c r="EKG68" s="627"/>
      <c r="EKI68" s="627"/>
      <c r="EKK68" s="627"/>
      <c r="EKM68" s="627"/>
      <c r="EKO68" s="627"/>
      <c r="EKQ68" s="627"/>
      <c r="EKS68" s="627"/>
      <c r="EKU68" s="627"/>
      <c r="EKW68" s="627"/>
      <c r="EKY68" s="627"/>
      <c r="ELA68" s="627"/>
      <c r="ELC68" s="627"/>
      <c r="ELE68" s="627"/>
      <c r="ELG68" s="627"/>
      <c r="ELI68" s="627"/>
      <c r="ELK68" s="627"/>
      <c r="ELM68" s="627"/>
      <c r="ELO68" s="627"/>
      <c r="ELQ68" s="627"/>
      <c r="ELS68" s="627"/>
      <c r="ELU68" s="627"/>
      <c r="ELW68" s="627"/>
      <c r="ELY68" s="627"/>
      <c r="EMA68" s="627"/>
      <c r="EMC68" s="627"/>
      <c r="EME68" s="627"/>
      <c r="EMG68" s="627"/>
      <c r="EMI68" s="627"/>
      <c r="EMK68" s="627"/>
      <c r="EMM68" s="627"/>
      <c r="EMO68" s="627"/>
      <c r="EMQ68" s="627"/>
      <c r="EMS68" s="627"/>
      <c r="EMU68" s="627"/>
      <c r="EMW68" s="627"/>
      <c r="EMY68" s="627"/>
      <c r="ENA68" s="627"/>
      <c r="ENC68" s="627"/>
      <c r="ENE68" s="627"/>
      <c r="ENG68" s="627"/>
      <c r="ENI68" s="627"/>
      <c r="ENK68" s="627"/>
      <c r="ENM68" s="627"/>
      <c r="ENO68" s="627"/>
      <c r="ENQ68" s="627"/>
      <c r="ENS68" s="627"/>
      <c r="ENU68" s="627"/>
      <c r="ENW68" s="627"/>
      <c r="ENY68" s="627"/>
      <c r="EOA68" s="627"/>
      <c r="EOC68" s="627"/>
      <c r="EOE68" s="627"/>
      <c r="EOG68" s="627"/>
      <c r="EOI68" s="627"/>
      <c r="EOK68" s="627"/>
      <c r="EOM68" s="627"/>
      <c r="EOO68" s="627"/>
      <c r="EOQ68" s="627"/>
      <c r="EOS68" s="627"/>
      <c r="EOU68" s="627"/>
      <c r="EOW68" s="627"/>
      <c r="EOY68" s="627"/>
      <c r="EPA68" s="627"/>
      <c r="EPC68" s="627"/>
      <c r="EPE68" s="627"/>
      <c r="EPG68" s="627"/>
      <c r="EPI68" s="627"/>
      <c r="EPK68" s="627"/>
      <c r="EPM68" s="627"/>
      <c r="EPO68" s="627"/>
      <c r="EPQ68" s="627"/>
      <c r="EPS68" s="627"/>
      <c r="EPU68" s="627"/>
      <c r="EPW68" s="627"/>
      <c r="EPY68" s="627"/>
      <c r="EQA68" s="627"/>
      <c r="EQC68" s="627"/>
      <c r="EQE68" s="627"/>
      <c r="EQG68" s="627"/>
      <c r="EQI68" s="627"/>
      <c r="EQK68" s="627"/>
      <c r="EQM68" s="627"/>
      <c r="EQO68" s="627"/>
      <c r="EQQ68" s="627"/>
      <c r="EQS68" s="627"/>
      <c r="EQU68" s="627"/>
      <c r="EQW68" s="627"/>
      <c r="EQY68" s="627"/>
      <c r="ERA68" s="627"/>
      <c r="ERC68" s="627"/>
      <c r="ERE68" s="627"/>
      <c r="ERG68" s="627"/>
      <c r="ERI68" s="627"/>
      <c r="ERK68" s="627"/>
      <c r="ERM68" s="627"/>
      <c r="ERO68" s="627"/>
      <c r="ERQ68" s="627"/>
      <c r="ERS68" s="627"/>
      <c r="ERU68" s="627"/>
      <c r="ERW68" s="627"/>
      <c r="ERY68" s="627"/>
      <c r="ESA68" s="627"/>
      <c r="ESC68" s="627"/>
      <c r="ESE68" s="627"/>
      <c r="ESG68" s="627"/>
      <c r="ESI68" s="627"/>
      <c r="ESK68" s="627"/>
      <c r="ESM68" s="627"/>
      <c r="ESO68" s="627"/>
      <c r="ESQ68" s="627"/>
      <c r="ESS68" s="627"/>
      <c r="ESU68" s="627"/>
      <c r="ESW68" s="627"/>
      <c r="ESY68" s="627"/>
      <c r="ETA68" s="627"/>
      <c r="ETC68" s="627"/>
      <c r="ETE68" s="627"/>
      <c r="ETG68" s="627"/>
      <c r="ETI68" s="627"/>
      <c r="ETK68" s="627"/>
      <c r="ETM68" s="627"/>
      <c r="ETO68" s="627"/>
      <c r="ETQ68" s="627"/>
      <c r="ETS68" s="627"/>
      <c r="ETU68" s="627"/>
      <c r="ETW68" s="627"/>
      <c r="ETY68" s="627"/>
      <c r="EUA68" s="627"/>
      <c r="EUC68" s="627"/>
      <c r="EUE68" s="627"/>
      <c r="EUG68" s="627"/>
      <c r="EUI68" s="627"/>
      <c r="EUK68" s="627"/>
      <c r="EUM68" s="627"/>
      <c r="EUO68" s="627"/>
      <c r="EUQ68" s="627"/>
      <c r="EUS68" s="627"/>
      <c r="EUU68" s="627"/>
      <c r="EUW68" s="627"/>
      <c r="EUY68" s="627"/>
      <c r="EVA68" s="627"/>
      <c r="EVC68" s="627"/>
      <c r="EVE68" s="627"/>
      <c r="EVG68" s="627"/>
      <c r="EVI68" s="627"/>
      <c r="EVK68" s="627"/>
      <c r="EVM68" s="627"/>
      <c r="EVO68" s="627"/>
      <c r="EVQ68" s="627"/>
      <c r="EVS68" s="627"/>
      <c r="EVU68" s="627"/>
      <c r="EVW68" s="627"/>
      <c r="EVY68" s="627"/>
      <c r="EWA68" s="627"/>
      <c r="EWC68" s="627"/>
      <c r="EWE68" s="627"/>
      <c r="EWG68" s="627"/>
      <c r="EWI68" s="627"/>
      <c r="EWK68" s="627"/>
      <c r="EWM68" s="627"/>
      <c r="EWO68" s="627"/>
      <c r="EWQ68" s="627"/>
      <c r="EWS68" s="627"/>
      <c r="EWU68" s="627"/>
      <c r="EWW68" s="627"/>
      <c r="EWY68" s="627"/>
      <c r="EXA68" s="627"/>
      <c r="EXC68" s="627"/>
      <c r="EXE68" s="627"/>
      <c r="EXG68" s="627"/>
      <c r="EXI68" s="627"/>
      <c r="EXK68" s="627"/>
      <c r="EXM68" s="627"/>
      <c r="EXO68" s="627"/>
      <c r="EXQ68" s="627"/>
      <c r="EXS68" s="627"/>
      <c r="EXU68" s="627"/>
      <c r="EXW68" s="627"/>
      <c r="EXY68" s="627"/>
      <c r="EYA68" s="627"/>
      <c r="EYC68" s="627"/>
      <c r="EYE68" s="627"/>
      <c r="EYG68" s="627"/>
      <c r="EYI68" s="627"/>
      <c r="EYK68" s="627"/>
      <c r="EYM68" s="627"/>
      <c r="EYO68" s="627"/>
      <c r="EYQ68" s="627"/>
      <c r="EYS68" s="627"/>
      <c r="EYU68" s="627"/>
      <c r="EYW68" s="627"/>
      <c r="EYY68" s="627"/>
      <c r="EZA68" s="627"/>
      <c r="EZC68" s="627"/>
      <c r="EZE68" s="627"/>
      <c r="EZG68" s="627"/>
      <c r="EZI68" s="627"/>
      <c r="EZK68" s="627"/>
      <c r="EZM68" s="627"/>
      <c r="EZO68" s="627"/>
      <c r="EZQ68" s="627"/>
      <c r="EZS68" s="627"/>
      <c r="EZU68" s="627"/>
      <c r="EZW68" s="627"/>
      <c r="EZY68" s="627"/>
      <c r="FAA68" s="627"/>
      <c r="FAC68" s="627"/>
      <c r="FAE68" s="627"/>
      <c r="FAG68" s="627"/>
      <c r="FAI68" s="627"/>
      <c r="FAK68" s="627"/>
      <c r="FAM68" s="627"/>
      <c r="FAO68" s="627"/>
      <c r="FAQ68" s="627"/>
      <c r="FAS68" s="627"/>
      <c r="FAU68" s="627"/>
      <c r="FAW68" s="627"/>
      <c r="FAY68" s="627"/>
      <c r="FBA68" s="627"/>
      <c r="FBC68" s="627"/>
      <c r="FBE68" s="627"/>
      <c r="FBG68" s="627"/>
      <c r="FBI68" s="627"/>
      <c r="FBK68" s="627"/>
      <c r="FBM68" s="627"/>
      <c r="FBO68" s="627"/>
      <c r="FBQ68" s="627"/>
      <c r="FBS68" s="627"/>
      <c r="FBU68" s="627"/>
      <c r="FBW68" s="627"/>
      <c r="FBY68" s="627"/>
      <c r="FCA68" s="627"/>
      <c r="FCC68" s="627"/>
      <c r="FCE68" s="627"/>
      <c r="FCG68" s="627"/>
      <c r="FCI68" s="627"/>
      <c r="FCK68" s="627"/>
      <c r="FCM68" s="627"/>
      <c r="FCO68" s="627"/>
      <c r="FCQ68" s="627"/>
      <c r="FCS68" s="627"/>
      <c r="FCU68" s="627"/>
      <c r="FCW68" s="627"/>
      <c r="FCY68" s="627"/>
      <c r="FDA68" s="627"/>
      <c r="FDC68" s="627"/>
      <c r="FDE68" s="627"/>
      <c r="FDG68" s="627"/>
      <c r="FDI68" s="627"/>
      <c r="FDK68" s="627"/>
      <c r="FDM68" s="627"/>
      <c r="FDO68" s="627"/>
      <c r="FDQ68" s="627"/>
      <c r="FDS68" s="627"/>
      <c r="FDU68" s="627"/>
      <c r="FDW68" s="627"/>
      <c r="FDY68" s="627"/>
      <c r="FEA68" s="627"/>
      <c r="FEC68" s="627"/>
      <c r="FEE68" s="627"/>
      <c r="FEG68" s="627"/>
      <c r="FEI68" s="627"/>
      <c r="FEK68" s="627"/>
      <c r="FEM68" s="627"/>
      <c r="FEO68" s="627"/>
      <c r="FEQ68" s="627"/>
      <c r="FES68" s="627"/>
      <c r="FEU68" s="627"/>
      <c r="FEW68" s="627"/>
      <c r="FEY68" s="627"/>
      <c r="FFA68" s="627"/>
      <c r="FFC68" s="627"/>
      <c r="FFE68" s="627"/>
      <c r="FFG68" s="627"/>
      <c r="FFI68" s="627"/>
      <c r="FFK68" s="627"/>
      <c r="FFM68" s="627"/>
      <c r="FFO68" s="627"/>
      <c r="FFQ68" s="627"/>
      <c r="FFS68" s="627"/>
      <c r="FFU68" s="627"/>
      <c r="FFW68" s="627"/>
      <c r="FFY68" s="627"/>
      <c r="FGA68" s="627"/>
      <c r="FGC68" s="627"/>
      <c r="FGE68" s="627"/>
      <c r="FGG68" s="627"/>
      <c r="FGI68" s="627"/>
      <c r="FGK68" s="627"/>
      <c r="FGM68" s="627"/>
      <c r="FGO68" s="627"/>
      <c r="FGQ68" s="627"/>
      <c r="FGS68" s="627"/>
      <c r="FGU68" s="627"/>
      <c r="FGW68" s="627"/>
      <c r="FGY68" s="627"/>
      <c r="FHA68" s="627"/>
      <c r="FHC68" s="627"/>
      <c r="FHE68" s="627"/>
      <c r="FHG68" s="627"/>
      <c r="FHI68" s="627"/>
      <c r="FHK68" s="627"/>
      <c r="FHM68" s="627"/>
      <c r="FHO68" s="627"/>
      <c r="FHQ68" s="627"/>
      <c r="FHS68" s="627"/>
      <c r="FHU68" s="627"/>
      <c r="FHW68" s="627"/>
      <c r="FHY68" s="627"/>
      <c r="FIA68" s="627"/>
      <c r="FIC68" s="627"/>
      <c r="FIE68" s="627"/>
      <c r="FIG68" s="627"/>
      <c r="FII68" s="627"/>
      <c r="FIK68" s="627"/>
      <c r="FIM68" s="627"/>
      <c r="FIO68" s="627"/>
      <c r="FIQ68" s="627"/>
      <c r="FIS68" s="627"/>
      <c r="FIU68" s="627"/>
      <c r="FIW68" s="627"/>
      <c r="FIY68" s="627"/>
      <c r="FJA68" s="627"/>
      <c r="FJC68" s="627"/>
      <c r="FJE68" s="627"/>
      <c r="FJG68" s="627"/>
      <c r="FJI68" s="627"/>
      <c r="FJK68" s="627"/>
      <c r="FJM68" s="627"/>
      <c r="FJO68" s="627"/>
      <c r="FJQ68" s="627"/>
      <c r="FJS68" s="627"/>
      <c r="FJU68" s="627"/>
      <c r="FJW68" s="627"/>
      <c r="FJY68" s="627"/>
      <c r="FKA68" s="627"/>
      <c r="FKC68" s="627"/>
      <c r="FKE68" s="627"/>
      <c r="FKG68" s="627"/>
      <c r="FKI68" s="627"/>
      <c r="FKK68" s="627"/>
      <c r="FKM68" s="627"/>
      <c r="FKO68" s="627"/>
      <c r="FKQ68" s="627"/>
      <c r="FKS68" s="627"/>
      <c r="FKU68" s="627"/>
      <c r="FKW68" s="627"/>
      <c r="FKY68" s="627"/>
      <c r="FLA68" s="627"/>
      <c r="FLC68" s="627"/>
      <c r="FLE68" s="627"/>
      <c r="FLG68" s="627"/>
      <c r="FLI68" s="627"/>
      <c r="FLK68" s="627"/>
      <c r="FLM68" s="627"/>
      <c r="FLO68" s="627"/>
      <c r="FLQ68" s="627"/>
      <c r="FLS68" s="627"/>
      <c r="FLU68" s="627"/>
      <c r="FLW68" s="627"/>
      <c r="FLY68" s="627"/>
      <c r="FMA68" s="627"/>
      <c r="FMC68" s="627"/>
      <c r="FME68" s="627"/>
      <c r="FMG68" s="627"/>
      <c r="FMI68" s="627"/>
      <c r="FMK68" s="627"/>
      <c r="FMM68" s="627"/>
      <c r="FMO68" s="627"/>
      <c r="FMQ68" s="627"/>
      <c r="FMS68" s="627"/>
      <c r="FMU68" s="627"/>
      <c r="FMW68" s="627"/>
      <c r="FMY68" s="627"/>
      <c r="FNA68" s="627"/>
      <c r="FNC68" s="627"/>
      <c r="FNE68" s="627"/>
      <c r="FNG68" s="627"/>
      <c r="FNI68" s="627"/>
      <c r="FNK68" s="627"/>
      <c r="FNM68" s="627"/>
      <c r="FNO68" s="627"/>
      <c r="FNQ68" s="627"/>
      <c r="FNS68" s="627"/>
      <c r="FNU68" s="627"/>
      <c r="FNW68" s="627"/>
      <c r="FNY68" s="627"/>
      <c r="FOA68" s="627"/>
      <c r="FOC68" s="627"/>
      <c r="FOE68" s="627"/>
      <c r="FOG68" s="627"/>
      <c r="FOI68" s="627"/>
      <c r="FOK68" s="627"/>
      <c r="FOM68" s="627"/>
      <c r="FOO68" s="627"/>
      <c r="FOQ68" s="627"/>
      <c r="FOS68" s="627"/>
      <c r="FOU68" s="627"/>
      <c r="FOW68" s="627"/>
      <c r="FOY68" s="627"/>
      <c r="FPA68" s="627"/>
      <c r="FPC68" s="627"/>
      <c r="FPE68" s="627"/>
      <c r="FPG68" s="627"/>
      <c r="FPI68" s="627"/>
      <c r="FPK68" s="627"/>
      <c r="FPM68" s="627"/>
      <c r="FPO68" s="627"/>
      <c r="FPQ68" s="627"/>
      <c r="FPS68" s="627"/>
      <c r="FPU68" s="627"/>
      <c r="FPW68" s="627"/>
      <c r="FPY68" s="627"/>
      <c r="FQA68" s="627"/>
      <c r="FQC68" s="627"/>
      <c r="FQE68" s="627"/>
      <c r="FQG68" s="627"/>
      <c r="FQI68" s="627"/>
      <c r="FQK68" s="627"/>
      <c r="FQM68" s="627"/>
      <c r="FQO68" s="627"/>
      <c r="FQQ68" s="627"/>
      <c r="FQS68" s="627"/>
      <c r="FQU68" s="627"/>
      <c r="FQW68" s="627"/>
      <c r="FQY68" s="627"/>
      <c r="FRA68" s="627"/>
      <c r="FRC68" s="627"/>
      <c r="FRE68" s="627"/>
      <c r="FRG68" s="627"/>
      <c r="FRI68" s="627"/>
      <c r="FRK68" s="627"/>
      <c r="FRM68" s="627"/>
      <c r="FRO68" s="627"/>
      <c r="FRQ68" s="627"/>
      <c r="FRS68" s="627"/>
      <c r="FRU68" s="627"/>
      <c r="FRW68" s="627"/>
      <c r="FRY68" s="627"/>
      <c r="FSA68" s="627"/>
      <c r="FSC68" s="627"/>
      <c r="FSE68" s="627"/>
      <c r="FSG68" s="627"/>
      <c r="FSI68" s="627"/>
      <c r="FSK68" s="627"/>
      <c r="FSM68" s="627"/>
      <c r="FSO68" s="627"/>
      <c r="FSQ68" s="627"/>
      <c r="FSS68" s="627"/>
      <c r="FSU68" s="627"/>
      <c r="FSW68" s="627"/>
      <c r="FSY68" s="627"/>
      <c r="FTA68" s="627"/>
      <c r="FTC68" s="627"/>
      <c r="FTE68" s="627"/>
      <c r="FTG68" s="627"/>
      <c r="FTI68" s="627"/>
      <c r="FTK68" s="627"/>
      <c r="FTM68" s="627"/>
      <c r="FTO68" s="627"/>
      <c r="FTQ68" s="627"/>
      <c r="FTS68" s="627"/>
      <c r="FTU68" s="627"/>
      <c r="FTW68" s="627"/>
      <c r="FTY68" s="627"/>
      <c r="FUA68" s="627"/>
      <c r="FUC68" s="627"/>
      <c r="FUE68" s="627"/>
      <c r="FUG68" s="627"/>
      <c r="FUI68" s="627"/>
      <c r="FUK68" s="627"/>
      <c r="FUM68" s="627"/>
      <c r="FUO68" s="627"/>
      <c r="FUQ68" s="627"/>
      <c r="FUS68" s="627"/>
      <c r="FUU68" s="627"/>
      <c r="FUW68" s="627"/>
      <c r="FUY68" s="627"/>
      <c r="FVA68" s="627"/>
      <c r="FVC68" s="627"/>
      <c r="FVE68" s="627"/>
      <c r="FVG68" s="627"/>
      <c r="FVI68" s="627"/>
      <c r="FVK68" s="627"/>
      <c r="FVM68" s="627"/>
      <c r="FVO68" s="627"/>
      <c r="FVQ68" s="627"/>
      <c r="FVS68" s="627"/>
      <c r="FVU68" s="627"/>
      <c r="FVW68" s="627"/>
      <c r="FVY68" s="627"/>
      <c r="FWA68" s="627"/>
      <c r="FWC68" s="627"/>
      <c r="FWE68" s="627"/>
      <c r="FWG68" s="627"/>
      <c r="FWI68" s="627"/>
      <c r="FWK68" s="627"/>
      <c r="FWM68" s="627"/>
      <c r="FWO68" s="627"/>
      <c r="FWQ68" s="627"/>
      <c r="FWS68" s="627"/>
      <c r="FWU68" s="627"/>
      <c r="FWW68" s="627"/>
      <c r="FWY68" s="627"/>
      <c r="FXA68" s="627"/>
      <c r="FXC68" s="627"/>
      <c r="FXE68" s="627"/>
      <c r="FXG68" s="627"/>
      <c r="FXI68" s="627"/>
      <c r="FXK68" s="627"/>
      <c r="FXM68" s="627"/>
      <c r="FXO68" s="627"/>
      <c r="FXQ68" s="627"/>
      <c r="FXS68" s="627"/>
      <c r="FXU68" s="627"/>
      <c r="FXW68" s="627"/>
      <c r="FXY68" s="627"/>
      <c r="FYA68" s="627"/>
      <c r="FYC68" s="627"/>
      <c r="FYE68" s="627"/>
      <c r="FYG68" s="627"/>
      <c r="FYI68" s="627"/>
      <c r="FYK68" s="627"/>
      <c r="FYM68" s="627"/>
      <c r="FYO68" s="627"/>
      <c r="FYQ68" s="627"/>
      <c r="FYS68" s="627"/>
      <c r="FYU68" s="627"/>
      <c r="FYW68" s="627"/>
      <c r="FYY68" s="627"/>
      <c r="FZA68" s="627"/>
      <c r="FZC68" s="627"/>
      <c r="FZE68" s="627"/>
      <c r="FZG68" s="627"/>
      <c r="FZI68" s="627"/>
      <c r="FZK68" s="627"/>
      <c r="FZM68" s="627"/>
      <c r="FZO68" s="627"/>
      <c r="FZQ68" s="627"/>
      <c r="FZS68" s="627"/>
      <c r="FZU68" s="627"/>
      <c r="FZW68" s="627"/>
      <c r="FZY68" s="627"/>
      <c r="GAA68" s="627"/>
      <c r="GAC68" s="627"/>
      <c r="GAE68" s="627"/>
      <c r="GAG68" s="627"/>
      <c r="GAI68" s="627"/>
      <c r="GAK68" s="627"/>
      <c r="GAM68" s="627"/>
      <c r="GAO68" s="627"/>
      <c r="GAQ68" s="627"/>
      <c r="GAS68" s="627"/>
      <c r="GAU68" s="627"/>
      <c r="GAW68" s="627"/>
      <c r="GAY68" s="627"/>
      <c r="GBA68" s="627"/>
      <c r="GBC68" s="627"/>
      <c r="GBE68" s="627"/>
      <c r="GBG68" s="627"/>
      <c r="GBI68" s="627"/>
      <c r="GBK68" s="627"/>
      <c r="GBM68" s="627"/>
      <c r="GBO68" s="627"/>
      <c r="GBQ68" s="627"/>
      <c r="GBS68" s="627"/>
      <c r="GBU68" s="627"/>
      <c r="GBW68" s="627"/>
      <c r="GBY68" s="627"/>
      <c r="GCA68" s="627"/>
      <c r="GCC68" s="627"/>
      <c r="GCE68" s="627"/>
      <c r="GCG68" s="627"/>
      <c r="GCI68" s="627"/>
      <c r="GCK68" s="627"/>
      <c r="GCM68" s="627"/>
      <c r="GCO68" s="627"/>
      <c r="GCQ68" s="627"/>
      <c r="GCS68" s="627"/>
      <c r="GCU68" s="627"/>
      <c r="GCW68" s="627"/>
      <c r="GCY68" s="627"/>
      <c r="GDA68" s="627"/>
      <c r="GDC68" s="627"/>
      <c r="GDE68" s="627"/>
      <c r="GDG68" s="627"/>
      <c r="GDI68" s="627"/>
      <c r="GDK68" s="627"/>
      <c r="GDM68" s="627"/>
      <c r="GDO68" s="627"/>
      <c r="GDQ68" s="627"/>
      <c r="GDS68" s="627"/>
      <c r="GDU68" s="627"/>
      <c r="GDW68" s="627"/>
      <c r="GDY68" s="627"/>
      <c r="GEA68" s="627"/>
      <c r="GEC68" s="627"/>
      <c r="GEE68" s="627"/>
      <c r="GEG68" s="627"/>
      <c r="GEI68" s="627"/>
      <c r="GEK68" s="627"/>
      <c r="GEM68" s="627"/>
      <c r="GEO68" s="627"/>
      <c r="GEQ68" s="627"/>
      <c r="GES68" s="627"/>
      <c r="GEU68" s="627"/>
      <c r="GEW68" s="627"/>
      <c r="GEY68" s="627"/>
      <c r="GFA68" s="627"/>
      <c r="GFC68" s="627"/>
      <c r="GFE68" s="627"/>
      <c r="GFG68" s="627"/>
      <c r="GFI68" s="627"/>
      <c r="GFK68" s="627"/>
      <c r="GFM68" s="627"/>
      <c r="GFO68" s="627"/>
      <c r="GFQ68" s="627"/>
      <c r="GFS68" s="627"/>
      <c r="GFU68" s="627"/>
      <c r="GFW68" s="627"/>
      <c r="GFY68" s="627"/>
      <c r="GGA68" s="627"/>
      <c r="GGC68" s="627"/>
      <c r="GGE68" s="627"/>
      <c r="GGG68" s="627"/>
      <c r="GGI68" s="627"/>
      <c r="GGK68" s="627"/>
      <c r="GGM68" s="627"/>
      <c r="GGO68" s="627"/>
      <c r="GGQ68" s="627"/>
      <c r="GGS68" s="627"/>
      <c r="GGU68" s="627"/>
      <c r="GGW68" s="627"/>
      <c r="GGY68" s="627"/>
      <c r="GHA68" s="627"/>
      <c r="GHC68" s="627"/>
      <c r="GHE68" s="627"/>
      <c r="GHG68" s="627"/>
      <c r="GHI68" s="627"/>
      <c r="GHK68" s="627"/>
      <c r="GHM68" s="627"/>
      <c r="GHO68" s="627"/>
      <c r="GHQ68" s="627"/>
      <c r="GHS68" s="627"/>
      <c r="GHU68" s="627"/>
      <c r="GHW68" s="627"/>
      <c r="GHY68" s="627"/>
      <c r="GIA68" s="627"/>
      <c r="GIC68" s="627"/>
      <c r="GIE68" s="627"/>
      <c r="GIG68" s="627"/>
      <c r="GII68" s="627"/>
      <c r="GIK68" s="627"/>
      <c r="GIM68" s="627"/>
      <c r="GIO68" s="627"/>
      <c r="GIQ68" s="627"/>
      <c r="GIS68" s="627"/>
      <c r="GIU68" s="627"/>
      <c r="GIW68" s="627"/>
      <c r="GIY68" s="627"/>
      <c r="GJA68" s="627"/>
      <c r="GJC68" s="627"/>
      <c r="GJE68" s="627"/>
      <c r="GJG68" s="627"/>
      <c r="GJI68" s="627"/>
      <c r="GJK68" s="627"/>
      <c r="GJM68" s="627"/>
      <c r="GJO68" s="627"/>
      <c r="GJQ68" s="627"/>
      <c r="GJS68" s="627"/>
      <c r="GJU68" s="627"/>
      <c r="GJW68" s="627"/>
      <c r="GJY68" s="627"/>
      <c r="GKA68" s="627"/>
      <c r="GKC68" s="627"/>
      <c r="GKE68" s="627"/>
      <c r="GKG68" s="627"/>
      <c r="GKI68" s="627"/>
      <c r="GKK68" s="627"/>
      <c r="GKM68" s="627"/>
      <c r="GKO68" s="627"/>
      <c r="GKQ68" s="627"/>
      <c r="GKS68" s="627"/>
      <c r="GKU68" s="627"/>
      <c r="GKW68" s="627"/>
      <c r="GKY68" s="627"/>
      <c r="GLA68" s="627"/>
      <c r="GLC68" s="627"/>
      <c r="GLE68" s="627"/>
      <c r="GLG68" s="627"/>
      <c r="GLI68" s="627"/>
      <c r="GLK68" s="627"/>
      <c r="GLM68" s="627"/>
      <c r="GLO68" s="627"/>
      <c r="GLQ68" s="627"/>
      <c r="GLS68" s="627"/>
      <c r="GLU68" s="627"/>
      <c r="GLW68" s="627"/>
      <c r="GLY68" s="627"/>
      <c r="GMA68" s="627"/>
      <c r="GMC68" s="627"/>
      <c r="GME68" s="627"/>
      <c r="GMG68" s="627"/>
      <c r="GMI68" s="627"/>
      <c r="GMK68" s="627"/>
      <c r="GMM68" s="627"/>
      <c r="GMO68" s="627"/>
      <c r="GMQ68" s="627"/>
      <c r="GMS68" s="627"/>
      <c r="GMU68" s="627"/>
      <c r="GMW68" s="627"/>
      <c r="GMY68" s="627"/>
      <c r="GNA68" s="627"/>
      <c r="GNC68" s="627"/>
      <c r="GNE68" s="627"/>
      <c r="GNG68" s="627"/>
      <c r="GNI68" s="627"/>
      <c r="GNK68" s="627"/>
      <c r="GNM68" s="627"/>
      <c r="GNO68" s="627"/>
      <c r="GNQ68" s="627"/>
      <c r="GNS68" s="627"/>
      <c r="GNU68" s="627"/>
      <c r="GNW68" s="627"/>
      <c r="GNY68" s="627"/>
      <c r="GOA68" s="627"/>
      <c r="GOC68" s="627"/>
      <c r="GOE68" s="627"/>
      <c r="GOG68" s="627"/>
      <c r="GOI68" s="627"/>
      <c r="GOK68" s="627"/>
      <c r="GOM68" s="627"/>
      <c r="GOO68" s="627"/>
      <c r="GOQ68" s="627"/>
      <c r="GOS68" s="627"/>
      <c r="GOU68" s="627"/>
      <c r="GOW68" s="627"/>
      <c r="GOY68" s="627"/>
      <c r="GPA68" s="627"/>
      <c r="GPC68" s="627"/>
      <c r="GPE68" s="627"/>
      <c r="GPG68" s="627"/>
      <c r="GPI68" s="627"/>
      <c r="GPK68" s="627"/>
      <c r="GPM68" s="627"/>
      <c r="GPO68" s="627"/>
      <c r="GPQ68" s="627"/>
      <c r="GPS68" s="627"/>
      <c r="GPU68" s="627"/>
      <c r="GPW68" s="627"/>
      <c r="GPY68" s="627"/>
      <c r="GQA68" s="627"/>
      <c r="GQC68" s="627"/>
      <c r="GQE68" s="627"/>
      <c r="GQG68" s="627"/>
      <c r="GQI68" s="627"/>
      <c r="GQK68" s="627"/>
      <c r="GQM68" s="627"/>
      <c r="GQO68" s="627"/>
      <c r="GQQ68" s="627"/>
      <c r="GQS68" s="627"/>
      <c r="GQU68" s="627"/>
      <c r="GQW68" s="627"/>
      <c r="GQY68" s="627"/>
      <c r="GRA68" s="627"/>
      <c r="GRC68" s="627"/>
      <c r="GRE68" s="627"/>
      <c r="GRG68" s="627"/>
      <c r="GRI68" s="627"/>
      <c r="GRK68" s="627"/>
      <c r="GRM68" s="627"/>
      <c r="GRO68" s="627"/>
      <c r="GRQ68" s="627"/>
      <c r="GRS68" s="627"/>
      <c r="GRU68" s="627"/>
      <c r="GRW68" s="627"/>
      <c r="GRY68" s="627"/>
      <c r="GSA68" s="627"/>
      <c r="GSC68" s="627"/>
      <c r="GSE68" s="627"/>
      <c r="GSG68" s="627"/>
      <c r="GSI68" s="627"/>
      <c r="GSK68" s="627"/>
      <c r="GSM68" s="627"/>
      <c r="GSO68" s="627"/>
      <c r="GSQ68" s="627"/>
      <c r="GSS68" s="627"/>
      <c r="GSU68" s="627"/>
      <c r="GSW68" s="627"/>
      <c r="GSY68" s="627"/>
      <c r="GTA68" s="627"/>
      <c r="GTC68" s="627"/>
      <c r="GTE68" s="627"/>
      <c r="GTG68" s="627"/>
      <c r="GTI68" s="627"/>
      <c r="GTK68" s="627"/>
      <c r="GTM68" s="627"/>
      <c r="GTO68" s="627"/>
      <c r="GTQ68" s="627"/>
      <c r="GTS68" s="627"/>
      <c r="GTU68" s="627"/>
      <c r="GTW68" s="627"/>
      <c r="GTY68" s="627"/>
      <c r="GUA68" s="627"/>
      <c r="GUC68" s="627"/>
      <c r="GUE68" s="627"/>
      <c r="GUG68" s="627"/>
      <c r="GUI68" s="627"/>
      <c r="GUK68" s="627"/>
      <c r="GUM68" s="627"/>
      <c r="GUO68" s="627"/>
      <c r="GUQ68" s="627"/>
      <c r="GUS68" s="627"/>
      <c r="GUU68" s="627"/>
      <c r="GUW68" s="627"/>
      <c r="GUY68" s="627"/>
      <c r="GVA68" s="627"/>
      <c r="GVC68" s="627"/>
      <c r="GVE68" s="627"/>
      <c r="GVG68" s="627"/>
      <c r="GVI68" s="627"/>
      <c r="GVK68" s="627"/>
      <c r="GVM68" s="627"/>
      <c r="GVO68" s="627"/>
      <c r="GVQ68" s="627"/>
      <c r="GVS68" s="627"/>
      <c r="GVU68" s="627"/>
      <c r="GVW68" s="627"/>
      <c r="GVY68" s="627"/>
      <c r="GWA68" s="627"/>
      <c r="GWC68" s="627"/>
      <c r="GWE68" s="627"/>
      <c r="GWG68" s="627"/>
      <c r="GWI68" s="627"/>
      <c r="GWK68" s="627"/>
      <c r="GWM68" s="627"/>
      <c r="GWO68" s="627"/>
      <c r="GWQ68" s="627"/>
      <c r="GWS68" s="627"/>
      <c r="GWU68" s="627"/>
      <c r="GWW68" s="627"/>
      <c r="GWY68" s="627"/>
      <c r="GXA68" s="627"/>
      <c r="GXC68" s="627"/>
      <c r="GXE68" s="627"/>
      <c r="GXG68" s="627"/>
      <c r="GXI68" s="627"/>
      <c r="GXK68" s="627"/>
      <c r="GXM68" s="627"/>
      <c r="GXO68" s="627"/>
      <c r="GXQ68" s="627"/>
      <c r="GXS68" s="627"/>
      <c r="GXU68" s="627"/>
      <c r="GXW68" s="627"/>
      <c r="GXY68" s="627"/>
      <c r="GYA68" s="627"/>
      <c r="GYC68" s="627"/>
      <c r="GYE68" s="627"/>
      <c r="GYG68" s="627"/>
      <c r="GYI68" s="627"/>
      <c r="GYK68" s="627"/>
      <c r="GYM68" s="627"/>
      <c r="GYO68" s="627"/>
      <c r="GYQ68" s="627"/>
      <c r="GYS68" s="627"/>
      <c r="GYU68" s="627"/>
      <c r="GYW68" s="627"/>
      <c r="GYY68" s="627"/>
      <c r="GZA68" s="627"/>
      <c r="GZC68" s="627"/>
      <c r="GZE68" s="627"/>
      <c r="GZG68" s="627"/>
      <c r="GZI68" s="627"/>
      <c r="GZK68" s="627"/>
      <c r="GZM68" s="627"/>
      <c r="GZO68" s="627"/>
      <c r="GZQ68" s="627"/>
      <c r="GZS68" s="627"/>
      <c r="GZU68" s="627"/>
      <c r="GZW68" s="627"/>
      <c r="GZY68" s="627"/>
      <c r="HAA68" s="627"/>
      <c r="HAC68" s="627"/>
      <c r="HAE68" s="627"/>
      <c r="HAG68" s="627"/>
      <c r="HAI68" s="627"/>
      <c r="HAK68" s="627"/>
      <c r="HAM68" s="627"/>
      <c r="HAO68" s="627"/>
      <c r="HAQ68" s="627"/>
      <c r="HAS68" s="627"/>
      <c r="HAU68" s="627"/>
      <c r="HAW68" s="627"/>
      <c r="HAY68" s="627"/>
      <c r="HBA68" s="627"/>
      <c r="HBC68" s="627"/>
      <c r="HBE68" s="627"/>
      <c r="HBG68" s="627"/>
      <c r="HBI68" s="627"/>
      <c r="HBK68" s="627"/>
      <c r="HBM68" s="627"/>
      <c r="HBO68" s="627"/>
      <c r="HBQ68" s="627"/>
      <c r="HBS68" s="627"/>
      <c r="HBU68" s="627"/>
      <c r="HBW68" s="627"/>
      <c r="HBY68" s="627"/>
      <c r="HCA68" s="627"/>
      <c r="HCC68" s="627"/>
      <c r="HCE68" s="627"/>
      <c r="HCG68" s="627"/>
      <c r="HCI68" s="627"/>
      <c r="HCK68" s="627"/>
      <c r="HCM68" s="627"/>
      <c r="HCO68" s="627"/>
      <c r="HCQ68" s="627"/>
      <c r="HCS68" s="627"/>
      <c r="HCU68" s="627"/>
      <c r="HCW68" s="627"/>
      <c r="HCY68" s="627"/>
      <c r="HDA68" s="627"/>
      <c r="HDC68" s="627"/>
      <c r="HDE68" s="627"/>
      <c r="HDG68" s="627"/>
      <c r="HDI68" s="627"/>
      <c r="HDK68" s="627"/>
      <c r="HDM68" s="627"/>
      <c r="HDO68" s="627"/>
      <c r="HDQ68" s="627"/>
      <c r="HDS68" s="627"/>
      <c r="HDU68" s="627"/>
      <c r="HDW68" s="627"/>
      <c r="HDY68" s="627"/>
      <c r="HEA68" s="627"/>
      <c r="HEC68" s="627"/>
      <c r="HEE68" s="627"/>
      <c r="HEG68" s="627"/>
      <c r="HEI68" s="627"/>
      <c r="HEK68" s="627"/>
      <c r="HEM68" s="627"/>
      <c r="HEO68" s="627"/>
      <c r="HEQ68" s="627"/>
      <c r="HES68" s="627"/>
      <c r="HEU68" s="627"/>
      <c r="HEW68" s="627"/>
      <c r="HEY68" s="627"/>
      <c r="HFA68" s="627"/>
      <c r="HFC68" s="627"/>
      <c r="HFE68" s="627"/>
      <c r="HFG68" s="627"/>
      <c r="HFI68" s="627"/>
      <c r="HFK68" s="627"/>
      <c r="HFM68" s="627"/>
      <c r="HFO68" s="627"/>
      <c r="HFQ68" s="627"/>
      <c r="HFS68" s="627"/>
      <c r="HFU68" s="627"/>
      <c r="HFW68" s="627"/>
      <c r="HFY68" s="627"/>
      <c r="HGA68" s="627"/>
      <c r="HGC68" s="627"/>
      <c r="HGE68" s="627"/>
      <c r="HGG68" s="627"/>
      <c r="HGI68" s="627"/>
      <c r="HGK68" s="627"/>
      <c r="HGM68" s="627"/>
      <c r="HGO68" s="627"/>
      <c r="HGQ68" s="627"/>
      <c r="HGS68" s="627"/>
      <c r="HGU68" s="627"/>
      <c r="HGW68" s="627"/>
      <c r="HGY68" s="627"/>
      <c r="HHA68" s="627"/>
      <c r="HHC68" s="627"/>
      <c r="HHE68" s="627"/>
      <c r="HHG68" s="627"/>
      <c r="HHI68" s="627"/>
      <c r="HHK68" s="627"/>
      <c r="HHM68" s="627"/>
      <c r="HHO68" s="627"/>
      <c r="HHQ68" s="627"/>
      <c r="HHS68" s="627"/>
      <c r="HHU68" s="627"/>
      <c r="HHW68" s="627"/>
      <c r="HHY68" s="627"/>
      <c r="HIA68" s="627"/>
      <c r="HIC68" s="627"/>
      <c r="HIE68" s="627"/>
      <c r="HIG68" s="627"/>
      <c r="HII68" s="627"/>
      <c r="HIK68" s="627"/>
      <c r="HIM68" s="627"/>
      <c r="HIO68" s="627"/>
      <c r="HIQ68" s="627"/>
      <c r="HIS68" s="627"/>
      <c r="HIU68" s="627"/>
      <c r="HIW68" s="627"/>
      <c r="HIY68" s="627"/>
      <c r="HJA68" s="627"/>
      <c r="HJC68" s="627"/>
      <c r="HJE68" s="627"/>
      <c r="HJG68" s="627"/>
      <c r="HJI68" s="627"/>
      <c r="HJK68" s="627"/>
      <c r="HJM68" s="627"/>
      <c r="HJO68" s="627"/>
      <c r="HJQ68" s="627"/>
      <c r="HJS68" s="627"/>
      <c r="HJU68" s="627"/>
      <c r="HJW68" s="627"/>
      <c r="HJY68" s="627"/>
      <c r="HKA68" s="627"/>
      <c r="HKC68" s="627"/>
      <c r="HKE68" s="627"/>
      <c r="HKG68" s="627"/>
      <c r="HKI68" s="627"/>
      <c r="HKK68" s="627"/>
      <c r="HKM68" s="627"/>
      <c r="HKO68" s="627"/>
      <c r="HKQ68" s="627"/>
      <c r="HKS68" s="627"/>
      <c r="HKU68" s="627"/>
      <c r="HKW68" s="627"/>
      <c r="HKY68" s="627"/>
      <c r="HLA68" s="627"/>
      <c r="HLC68" s="627"/>
      <c r="HLE68" s="627"/>
      <c r="HLG68" s="627"/>
      <c r="HLI68" s="627"/>
      <c r="HLK68" s="627"/>
      <c r="HLM68" s="627"/>
      <c r="HLO68" s="627"/>
      <c r="HLQ68" s="627"/>
      <c r="HLS68" s="627"/>
      <c r="HLU68" s="627"/>
      <c r="HLW68" s="627"/>
      <c r="HLY68" s="627"/>
      <c r="HMA68" s="627"/>
      <c r="HMC68" s="627"/>
      <c r="HME68" s="627"/>
      <c r="HMG68" s="627"/>
      <c r="HMI68" s="627"/>
      <c r="HMK68" s="627"/>
      <c r="HMM68" s="627"/>
      <c r="HMO68" s="627"/>
      <c r="HMQ68" s="627"/>
      <c r="HMS68" s="627"/>
      <c r="HMU68" s="627"/>
      <c r="HMW68" s="627"/>
      <c r="HMY68" s="627"/>
      <c r="HNA68" s="627"/>
      <c r="HNC68" s="627"/>
      <c r="HNE68" s="627"/>
      <c r="HNG68" s="627"/>
      <c r="HNI68" s="627"/>
      <c r="HNK68" s="627"/>
      <c r="HNM68" s="627"/>
      <c r="HNO68" s="627"/>
      <c r="HNQ68" s="627"/>
      <c r="HNS68" s="627"/>
      <c r="HNU68" s="627"/>
      <c r="HNW68" s="627"/>
      <c r="HNY68" s="627"/>
      <c r="HOA68" s="627"/>
      <c r="HOC68" s="627"/>
      <c r="HOE68" s="627"/>
      <c r="HOG68" s="627"/>
      <c r="HOI68" s="627"/>
      <c r="HOK68" s="627"/>
      <c r="HOM68" s="627"/>
      <c r="HOO68" s="627"/>
      <c r="HOQ68" s="627"/>
      <c r="HOS68" s="627"/>
      <c r="HOU68" s="627"/>
      <c r="HOW68" s="627"/>
      <c r="HOY68" s="627"/>
      <c r="HPA68" s="627"/>
      <c r="HPC68" s="627"/>
      <c r="HPE68" s="627"/>
      <c r="HPG68" s="627"/>
      <c r="HPI68" s="627"/>
      <c r="HPK68" s="627"/>
      <c r="HPM68" s="627"/>
      <c r="HPO68" s="627"/>
      <c r="HPQ68" s="627"/>
      <c r="HPS68" s="627"/>
      <c r="HPU68" s="627"/>
      <c r="HPW68" s="627"/>
      <c r="HPY68" s="627"/>
      <c r="HQA68" s="627"/>
      <c r="HQC68" s="627"/>
      <c r="HQE68" s="627"/>
      <c r="HQG68" s="627"/>
      <c r="HQI68" s="627"/>
      <c r="HQK68" s="627"/>
      <c r="HQM68" s="627"/>
      <c r="HQO68" s="627"/>
      <c r="HQQ68" s="627"/>
      <c r="HQS68" s="627"/>
      <c r="HQU68" s="627"/>
      <c r="HQW68" s="627"/>
      <c r="HQY68" s="627"/>
      <c r="HRA68" s="627"/>
      <c r="HRC68" s="627"/>
      <c r="HRE68" s="627"/>
      <c r="HRG68" s="627"/>
      <c r="HRI68" s="627"/>
      <c r="HRK68" s="627"/>
      <c r="HRM68" s="627"/>
      <c r="HRO68" s="627"/>
      <c r="HRQ68" s="627"/>
      <c r="HRS68" s="627"/>
      <c r="HRU68" s="627"/>
      <c r="HRW68" s="627"/>
      <c r="HRY68" s="627"/>
      <c r="HSA68" s="627"/>
      <c r="HSC68" s="627"/>
      <c r="HSE68" s="627"/>
      <c r="HSG68" s="627"/>
      <c r="HSI68" s="627"/>
      <c r="HSK68" s="627"/>
      <c r="HSM68" s="627"/>
      <c r="HSO68" s="627"/>
      <c r="HSQ68" s="627"/>
      <c r="HSS68" s="627"/>
      <c r="HSU68" s="627"/>
      <c r="HSW68" s="627"/>
      <c r="HSY68" s="627"/>
      <c r="HTA68" s="627"/>
      <c r="HTC68" s="627"/>
      <c r="HTE68" s="627"/>
      <c r="HTG68" s="627"/>
      <c r="HTI68" s="627"/>
      <c r="HTK68" s="627"/>
      <c r="HTM68" s="627"/>
      <c r="HTO68" s="627"/>
      <c r="HTQ68" s="627"/>
      <c r="HTS68" s="627"/>
      <c r="HTU68" s="627"/>
      <c r="HTW68" s="627"/>
      <c r="HTY68" s="627"/>
      <c r="HUA68" s="627"/>
      <c r="HUC68" s="627"/>
      <c r="HUE68" s="627"/>
      <c r="HUG68" s="627"/>
      <c r="HUI68" s="627"/>
      <c r="HUK68" s="627"/>
      <c r="HUM68" s="627"/>
      <c r="HUO68" s="627"/>
      <c r="HUQ68" s="627"/>
      <c r="HUS68" s="627"/>
      <c r="HUU68" s="627"/>
      <c r="HUW68" s="627"/>
      <c r="HUY68" s="627"/>
      <c r="HVA68" s="627"/>
      <c r="HVC68" s="627"/>
      <c r="HVE68" s="627"/>
      <c r="HVG68" s="627"/>
      <c r="HVI68" s="627"/>
      <c r="HVK68" s="627"/>
      <c r="HVM68" s="627"/>
      <c r="HVO68" s="627"/>
      <c r="HVQ68" s="627"/>
      <c r="HVS68" s="627"/>
      <c r="HVU68" s="627"/>
      <c r="HVW68" s="627"/>
      <c r="HVY68" s="627"/>
      <c r="HWA68" s="627"/>
      <c r="HWC68" s="627"/>
      <c r="HWE68" s="627"/>
      <c r="HWG68" s="627"/>
      <c r="HWI68" s="627"/>
      <c r="HWK68" s="627"/>
      <c r="HWM68" s="627"/>
      <c r="HWO68" s="627"/>
      <c r="HWQ68" s="627"/>
      <c r="HWS68" s="627"/>
      <c r="HWU68" s="627"/>
      <c r="HWW68" s="627"/>
      <c r="HWY68" s="627"/>
      <c r="HXA68" s="627"/>
      <c r="HXC68" s="627"/>
      <c r="HXE68" s="627"/>
      <c r="HXG68" s="627"/>
      <c r="HXI68" s="627"/>
      <c r="HXK68" s="627"/>
      <c r="HXM68" s="627"/>
      <c r="HXO68" s="627"/>
      <c r="HXQ68" s="627"/>
      <c r="HXS68" s="627"/>
      <c r="HXU68" s="627"/>
      <c r="HXW68" s="627"/>
      <c r="HXY68" s="627"/>
      <c r="HYA68" s="627"/>
      <c r="HYC68" s="627"/>
      <c r="HYE68" s="627"/>
      <c r="HYG68" s="627"/>
      <c r="HYI68" s="627"/>
      <c r="HYK68" s="627"/>
      <c r="HYM68" s="627"/>
      <c r="HYO68" s="627"/>
      <c r="HYQ68" s="627"/>
      <c r="HYS68" s="627"/>
      <c r="HYU68" s="627"/>
      <c r="HYW68" s="627"/>
      <c r="HYY68" s="627"/>
      <c r="HZA68" s="627"/>
      <c r="HZC68" s="627"/>
      <c r="HZE68" s="627"/>
      <c r="HZG68" s="627"/>
      <c r="HZI68" s="627"/>
      <c r="HZK68" s="627"/>
      <c r="HZM68" s="627"/>
      <c r="HZO68" s="627"/>
      <c r="HZQ68" s="627"/>
      <c r="HZS68" s="627"/>
      <c r="HZU68" s="627"/>
      <c r="HZW68" s="627"/>
      <c r="HZY68" s="627"/>
      <c r="IAA68" s="627"/>
      <c r="IAC68" s="627"/>
      <c r="IAE68" s="627"/>
      <c r="IAG68" s="627"/>
      <c r="IAI68" s="627"/>
      <c r="IAK68" s="627"/>
      <c r="IAM68" s="627"/>
      <c r="IAO68" s="627"/>
      <c r="IAQ68" s="627"/>
      <c r="IAS68" s="627"/>
      <c r="IAU68" s="627"/>
      <c r="IAW68" s="627"/>
      <c r="IAY68" s="627"/>
      <c r="IBA68" s="627"/>
      <c r="IBC68" s="627"/>
      <c r="IBE68" s="627"/>
      <c r="IBG68" s="627"/>
      <c r="IBI68" s="627"/>
      <c r="IBK68" s="627"/>
      <c r="IBM68" s="627"/>
      <c r="IBO68" s="627"/>
      <c r="IBQ68" s="627"/>
      <c r="IBS68" s="627"/>
      <c r="IBU68" s="627"/>
      <c r="IBW68" s="627"/>
      <c r="IBY68" s="627"/>
      <c r="ICA68" s="627"/>
      <c r="ICC68" s="627"/>
      <c r="ICE68" s="627"/>
      <c r="ICG68" s="627"/>
      <c r="ICI68" s="627"/>
      <c r="ICK68" s="627"/>
      <c r="ICM68" s="627"/>
      <c r="ICO68" s="627"/>
      <c r="ICQ68" s="627"/>
      <c r="ICS68" s="627"/>
      <c r="ICU68" s="627"/>
      <c r="ICW68" s="627"/>
      <c r="ICY68" s="627"/>
      <c r="IDA68" s="627"/>
      <c r="IDC68" s="627"/>
      <c r="IDE68" s="627"/>
      <c r="IDG68" s="627"/>
      <c r="IDI68" s="627"/>
      <c r="IDK68" s="627"/>
      <c r="IDM68" s="627"/>
      <c r="IDO68" s="627"/>
      <c r="IDQ68" s="627"/>
      <c r="IDS68" s="627"/>
      <c r="IDU68" s="627"/>
      <c r="IDW68" s="627"/>
      <c r="IDY68" s="627"/>
      <c r="IEA68" s="627"/>
      <c r="IEC68" s="627"/>
      <c r="IEE68" s="627"/>
      <c r="IEG68" s="627"/>
      <c r="IEI68" s="627"/>
      <c r="IEK68" s="627"/>
      <c r="IEM68" s="627"/>
      <c r="IEO68" s="627"/>
      <c r="IEQ68" s="627"/>
      <c r="IES68" s="627"/>
      <c r="IEU68" s="627"/>
      <c r="IEW68" s="627"/>
      <c r="IEY68" s="627"/>
      <c r="IFA68" s="627"/>
      <c r="IFC68" s="627"/>
      <c r="IFE68" s="627"/>
      <c r="IFG68" s="627"/>
      <c r="IFI68" s="627"/>
      <c r="IFK68" s="627"/>
      <c r="IFM68" s="627"/>
      <c r="IFO68" s="627"/>
      <c r="IFQ68" s="627"/>
      <c r="IFS68" s="627"/>
      <c r="IFU68" s="627"/>
      <c r="IFW68" s="627"/>
      <c r="IFY68" s="627"/>
      <c r="IGA68" s="627"/>
      <c r="IGC68" s="627"/>
      <c r="IGE68" s="627"/>
      <c r="IGG68" s="627"/>
      <c r="IGI68" s="627"/>
      <c r="IGK68" s="627"/>
      <c r="IGM68" s="627"/>
      <c r="IGO68" s="627"/>
      <c r="IGQ68" s="627"/>
      <c r="IGS68" s="627"/>
      <c r="IGU68" s="627"/>
      <c r="IGW68" s="627"/>
      <c r="IGY68" s="627"/>
      <c r="IHA68" s="627"/>
      <c r="IHC68" s="627"/>
      <c r="IHE68" s="627"/>
      <c r="IHG68" s="627"/>
      <c r="IHI68" s="627"/>
      <c r="IHK68" s="627"/>
      <c r="IHM68" s="627"/>
      <c r="IHO68" s="627"/>
      <c r="IHQ68" s="627"/>
      <c r="IHS68" s="627"/>
      <c r="IHU68" s="627"/>
      <c r="IHW68" s="627"/>
      <c r="IHY68" s="627"/>
      <c r="IIA68" s="627"/>
      <c r="IIC68" s="627"/>
      <c r="IIE68" s="627"/>
      <c r="IIG68" s="627"/>
      <c r="III68" s="627"/>
      <c r="IIK68" s="627"/>
      <c r="IIM68" s="627"/>
      <c r="IIO68" s="627"/>
      <c r="IIQ68" s="627"/>
      <c r="IIS68" s="627"/>
      <c r="IIU68" s="627"/>
      <c r="IIW68" s="627"/>
      <c r="IIY68" s="627"/>
      <c r="IJA68" s="627"/>
      <c r="IJC68" s="627"/>
      <c r="IJE68" s="627"/>
      <c r="IJG68" s="627"/>
      <c r="IJI68" s="627"/>
      <c r="IJK68" s="627"/>
      <c r="IJM68" s="627"/>
      <c r="IJO68" s="627"/>
      <c r="IJQ68" s="627"/>
      <c r="IJS68" s="627"/>
      <c r="IJU68" s="627"/>
      <c r="IJW68" s="627"/>
      <c r="IJY68" s="627"/>
      <c r="IKA68" s="627"/>
      <c r="IKC68" s="627"/>
      <c r="IKE68" s="627"/>
      <c r="IKG68" s="627"/>
      <c r="IKI68" s="627"/>
      <c r="IKK68" s="627"/>
      <c r="IKM68" s="627"/>
      <c r="IKO68" s="627"/>
      <c r="IKQ68" s="627"/>
      <c r="IKS68" s="627"/>
      <c r="IKU68" s="627"/>
      <c r="IKW68" s="627"/>
      <c r="IKY68" s="627"/>
      <c r="ILA68" s="627"/>
      <c r="ILC68" s="627"/>
      <c r="ILE68" s="627"/>
      <c r="ILG68" s="627"/>
      <c r="ILI68" s="627"/>
      <c r="ILK68" s="627"/>
      <c r="ILM68" s="627"/>
      <c r="ILO68" s="627"/>
      <c r="ILQ68" s="627"/>
      <c r="ILS68" s="627"/>
      <c r="ILU68" s="627"/>
      <c r="ILW68" s="627"/>
      <c r="ILY68" s="627"/>
      <c r="IMA68" s="627"/>
      <c r="IMC68" s="627"/>
      <c r="IME68" s="627"/>
      <c r="IMG68" s="627"/>
      <c r="IMI68" s="627"/>
      <c r="IMK68" s="627"/>
      <c r="IMM68" s="627"/>
      <c r="IMO68" s="627"/>
      <c r="IMQ68" s="627"/>
      <c r="IMS68" s="627"/>
      <c r="IMU68" s="627"/>
      <c r="IMW68" s="627"/>
      <c r="IMY68" s="627"/>
      <c r="INA68" s="627"/>
      <c r="INC68" s="627"/>
      <c r="INE68" s="627"/>
      <c r="ING68" s="627"/>
      <c r="INI68" s="627"/>
      <c r="INK68" s="627"/>
      <c r="INM68" s="627"/>
      <c r="INO68" s="627"/>
      <c r="INQ68" s="627"/>
      <c r="INS68" s="627"/>
      <c r="INU68" s="627"/>
      <c r="INW68" s="627"/>
      <c r="INY68" s="627"/>
      <c r="IOA68" s="627"/>
      <c r="IOC68" s="627"/>
      <c r="IOE68" s="627"/>
      <c r="IOG68" s="627"/>
      <c r="IOI68" s="627"/>
      <c r="IOK68" s="627"/>
      <c r="IOM68" s="627"/>
      <c r="IOO68" s="627"/>
      <c r="IOQ68" s="627"/>
      <c r="IOS68" s="627"/>
      <c r="IOU68" s="627"/>
      <c r="IOW68" s="627"/>
      <c r="IOY68" s="627"/>
      <c r="IPA68" s="627"/>
      <c r="IPC68" s="627"/>
      <c r="IPE68" s="627"/>
      <c r="IPG68" s="627"/>
      <c r="IPI68" s="627"/>
      <c r="IPK68" s="627"/>
      <c r="IPM68" s="627"/>
      <c r="IPO68" s="627"/>
      <c r="IPQ68" s="627"/>
      <c r="IPS68" s="627"/>
      <c r="IPU68" s="627"/>
      <c r="IPW68" s="627"/>
      <c r="IPY68" s="627"/>
      <c r="IQA68" s="627"/>
      <c r="IQC68" s="627"/>
      <c r="IQE68" s="627"/>
      <c r="IQG68" s="627"/>
      <c r="IQI68" s="627"/>
      <c r="IQK68" s="627"/>
      <c r="IQM68" s="627"/>
      <c r="IQO68" s="627"/>
      <c r="IQQ68" s="627"/>
      <c r="IQS68" s="627"/>
      <c r="IQU68" s="627"/>
      <c r="IQW68" s="627"/>
      <c r="IQY68" s="627"/>
      <c r="IRA68" s="627"/>
      <c r="IRC68" s="627"/>
      <c r="IRE68" s="627"/>
      <c r="IRG68" s="627"/>
      <c r="IRI68" s="627"/>
      <c r="IRK68" s="627"/>
      <c r="IRM68" s="627"/>
      <c r="IRO68" s="627"/>
      <c r="IRQ68" s="627"/>
      <c r="IRS68" s="627"/>
      <c r="IRU68" s="627"/>
      <c r="IRW68" s="627"/>
      <c r="IRY68" s="627"/>
      <c r="ISA68" s="627"/>
      <c r="ISC68" s="627"/>
      <c r="ISE68" s="627"/>
      <c r="ISG68" s="627"/>
      <c r="ISI68" s="627"/>
      <c r="ISK68" s="627"/>
      <c r="ISM68" s="627"/>
      <c r="ISO68" s="627"/>
      <c r="ISQ68" s="627"/>
      <c r="ISS68" s="627"/>
      <c r="ISU68" s="627"/>
      <c r="ISW68" s="627"/>
      <c r="ISY68" s="627"/>
      <c r="ITA68" s="627"/>
      <c r="ITC68" s="627"/>
      <c r="ITE68" s="627"/>
      <c r="ITG68" s="627"/>
      <c r="ITI68" s="627"/>
      <c r="ITK68" s="627"/>
      <c r="ITM68" s="627"/>
      <c r="ITO68" s="627"/>
      <c r="ITQ68" s="627"/>
      <c r="ITS68" s="627"/>
      <c r="ITU68" s="627"/>
      <c r="ITW68" s="627"/>
      <c r="ITY68" s="627"/>
      <c r="IUA68" s="627"/>
      <c r="IUC68" s="627"/>
      <c r="IUE68" s="627"/>
      <c r="IUG68" s="627"/>
      <c r="IUI68" s="627"/>
      <c r="IUK68" s="627"/>
      <c r="IUM68" s="627"/>
      <c r="IUO68" s="627"/>
      <c r="IUQ68" s="627"/>
      <c r="IUS68" s="627"/>
      <c r="IUU68" s="627"/>
      <c r="IUW68" s="627"/>
      <c r="IUY68" s="627"/>
      <c r="IVA68" s="627"/>
      <c r="IVC68" s="627"/>
      <c r="IVE68" s="627"/>
      <c r="IVG68" s="627"/>
      <c r="IVI68" s="627"/>
      <c r="IVK68" s="627"/>
      <c r="IVM68" s="627"/>
      <c r="IVO68" s="627"/>
      <c r="IVQ68" s="627"/>
      <c r="IVS68" s="627"/>
      <c r="IVU68" s="627"/>
      <c r="IVW68" s="627"/>
      <c r="IVY68" s="627"/>
      <c r="IWA68" s="627"/>
      <c r="IWC68" s="627"/>
      <c r="IWE68" s="627"/>
      <c r="IWG68" s="627"/>
      <c r="IWI68" s="627"/>
      <c r="IWK68" s="627"/>
      <c r="IWM68" s="627"/>
      <c r="IWO68" s="627"/>
      <c r="IWQ68" s="627"/>
      <c r="IWS68" s="627"/>
      <c r="IWU68" s="627"/>
      <c r="IWW68" s="627"/>
      <c r="IWY68" s="627"/>
      <c r="IXA68" s="627"/>
      <c r="IXC68" s="627"/>
      <c r="IXE68" s="627"/>
      <c r="IXG68" s="627"/>
      <c r="IXI68" s="627"/>
      <c r="IXK68" s="627"/>
      <c r="IXM68" s="627"/>
      <c r="IXO68" s="627"/>
      <c r="IXQ68" s="627"/>
      <c r="IXS68" s="627"/>
      <c r="IXU68" s="627"/>
      <c r="IXW68" s="627"/>
      <c r="IXY68" s="627"/>
      <c r="IYA68" s="627"/>
      <c r="IYC68" s="627"/>
      <c r="IYE68" s="627"/>
      <c r="IYG68" s="627"/>
      <c r="IYI68" s="627"/>
      <c r="IYK68" s="627"/>
      <c r="IYM68" s="627"/>
      <c r="IYO68" s="627"/>
      <c r="IYQ68" s="627"/>
      <c r="IYS68" s="627"/>
      <c r="IYU68" s="627"/>
      <c r="IYW68" s="627"/>
      <c r="IYY68" s="627"/>
      <c r="IZA68" s="627"/>
      <c r="IZC68" s="627"/>
      <c r="IZE68" s="627"/>
      <c r="IZG68" s="627"/>
      <c r="IZI68" s="627"/>
      <c r="IZK68" s="627"/>
      <c r="IZM68" s="627"/>
      <c r="IZO68" s="627"/>
      <c r="IZQ68" s="627"/>
      <c r="IZS68" s="627"/>
      <c r="IZU68" s="627"/>
      <c r="IZW68" s="627"/>
      <c r="IZY68" s="627"/>
      <c r="JAA68" s="627"/>
      <c r="JAC68" s="627"/>
      <c r="JAE68" s="627"/>
      <c r="JAG68" s="627"/>
      <c r="JAI68" s="627"/>
      <c r="JAK68" s="627"/>
      <c r="JAM68" s="627"/>
      <c r="JAO68" s="627"/>
      <c r="JAQ68" s="627"/>
      <c r="JAS68" s="627"/>
      <c r="JAU68" s="627"/>
      <c r="JAW68" s="627"/>
      <c r="JAY68" s="627"/>
      <c r="JBA68" s="627"/>
      <c r="JBC68" s="627"/>
      <c r="JBE68" s="627"/>
      <c r="JBG68" s="627"/>
      <c r="JBI68" s="627"/>
      <c r="JBK68" s="627"/>
      <c r="JBM68" s="627"/>
      <c r="JBO68" s="627"/>
      <c r="JBQ68" s="627"/>
      <c r="JBS68" s="627"/>
      <c r="JBU68" s="627"/>
      <c r="JBW68" s="627"/>
      <c r="JBY68" s="627"/>
      <c r="JCA68" s="627"/>
      <c r="JCC68" s="627"/>
      <c r="JCE68" s="627"/>
      <c r="JCG68" s="627"/>
      <c r="JCI68" s="627"/>
      <c r="JCK68" s="627"/>
      <c r="JCM68" s="627"/>
      <c r="JCO68" s="627"/>
      <c r="JCQ68" s="627"/>
      <c r="JCS68" s="627"/>
      <c r="JCU68" s="627"/>
      <c r="JCW68" s="627"/>
      <c r="JCY68" s="627"/>
      <c r="JDA68" s="627"/>
      <c r="JDC68" s="627"/>
      <c r="JDE68" s="627"/>
      <c r="JDG68" s="627"/>
      <c r="JDI68" s="627"/>
      <c r="JDK68" s="627"/>
      <c r="JDM68" s="627"/>
      <c r="JDO68" s="627"/>
      <c r="JDQ68" s="627"/>
      <c r="JDS68" s="627"/>
      <c r="JDU68" s="627"/>
      <c r="JDW68" s="627"/>
      <c r="JDY68" s="627"/>
      <c r="JEA68" s="627"/>
      <c r="JEC68" s="627"/>
      <c r="JEE68" s="627"/>
      <c r="JEG68" s="627"/>
      <c r="JEI68" s="627"/>
      <c r="JEK68" s="627"/>
      <c r="JEM68" s="627"/>
      <c r="JEO68" s="627"/>
      <c r="JEQ68" s="627"/>
      <c r="JES68" s="627"/>
      <c r="JEU68" s="627"/>
      <c r="JEW68" s="627"/>
      <c r="JEY68" s="627"/>
      <c r="JFA68" s="627"/>
      <c r="JFC68" s="627"/>
      <c r="JFE68" s="627"/>
      <c r="JFG68" s="627"/>
      <c r="JFI68" s="627"/>
      <c r="JFK68" s="627"/>
      <c r="JFM68" s="627"/>
      <c r="JFO68" s="627"/>
      <c r="JFQ68" s="627"/>
      <c r="JFS68" s="627"/>
      <c r="JFU68" s="627"/>
      <c r="JFW68" s="627"/>
      <c r="JFY68" s="627"/>
      <c r="JGA68" s="627"/>
      <c r="JGC68" s="627"/>
      <c r="JGE68" s="627"/>
      <c r="JGG68" s="627"/>
      <c r="JGI68" s="627"/>
      <c r="JGK68" s="627"/>
      <c r="JGM68" s="627"/>
      <c r="JGO68" s="627"/>
      <c r="JGQ68" s="627"/>
      <c r="JGS68" s="627"/>
      <c r="JGU68" s="627"/>
      <c r="JGW68" s="627"/>
      <c r="JGY68" s="627"/>
      <c r="JHA68" s="627"/>
      <c r="JHC68" s="627"/>
      <c r="JHE68" s="627"/>
      <c r="JHG68" s="627"/>
      <c r="JHI68" s="627"/>
      <c r="JHK68" s="627"/>
      <c r="JHM68" s="627"/>
      <c r="JHO68" s="627"/>
      <c r="JHQ68" s="627"/>
      <c r="JHS68" s="627"/>
      <c r="JHU68" s="627"/>
      <c r="JHW68" s="627"/>
      <c r="JHY68" s="627"/>
      <c r="JIA68" s="627"/>
      <c r="JIC68" s="627"/>
      <c r="JIE68" s="627"/>
      <c r="JIG68" s="627"/>
      <c r="JII68" s="627"/>
      <c r="JIK68" s="627"/>
      <c r="JIM68" s="627"/>
      <c r="JIO68" s="627"/>
      <c r="JIQ68" s="627"/>
      <c r="JIS68" s="627"/>
      <c r="JIU68" s="627"/>
      <c r="JIW68" s="627"/>
      <c r="JIY68" s="627"/>
      <c r="JJA68" s="627"/>
      <c r="JJC68" s="627"/>
      <c r="JJE68" s="627"/>
      <c r="JJG68" s="627"/>
      <c r="JJI68" s="627"/>
      <c r="JJK68" s="627"/>
      <c r="JJM68" s="627"/>
      <c r="JJO68" s="627"/>
      <c r="JJQ68" s="627"/>
      <c r="JJS68" s="627"/>
      <c r="JJU68" s="627"/>
      <c r="JJW68" s="627"/>
      <c r="JJY68" s="627"/>
      <c r="JKA68" s="627"/>
      <c r="JKC68" s="627"/>
      <c r="JKE68" s="627"/>
      <c r="JKG68" s="627"/>
      <c r="JKI68" s="627"/>
      <c r="JKK68" s="627"/>
      <c r="JKM68" s="627"/>
      <c r="JKO68" s="627"/>
      <c r="JKQ68" s="627"/>
      <c r="JKS68" s="627"/>
      <c r="JKU68" s="627"/>
      <c r="JKW68" s="627"/>
      <c r="JKY68" s="627"/>
      <c r="JLA68" s="627"/>
      <c r="JLC68" s="627"/>
      <c r="JLE68" s="627"/>
      <c r="JLG68" s="627"/>
      <c r="JLI68" s="627"/>
      <c r="JLK68" s="627"/>
      <c r="JLM68" s="627"/>
      <c r="JLO68" s="627"/>
      <c r="JLQ68" s="627"/>
      <c r="JLS68" s="627"/>
      <c r="JLU68" s="627"/>
      <c r="JLW68" s="627"/>
      <c r="JLY68" s="627"/>
      <c r="JMA68" s="627"/>
      <c r="JMC68" s="627"/>
      <c r="JME68" s="627"/>
      <c r="JMG68" s="627"/>
      <c r="JMI68" s="627"/>
      <c r="JMK68" s="627"/>
      <c r="JMM68" s="627"/>
      <c r="JMO68" s="627"/>
      <c r="JMQ68" s="627"/>
      <c r="JMS68" s="627"/>
      <c r="JMU68" s="627"/>
      <c r="JMW68" s="627"/>
      <c r="JMY68" s="627"/>
      <c r="JNA68" s="627"/>
      <c r="JNC68" s="627"/>
      <c r="JNE68" s="627"/>
      <c r="JNG68" s="627"/>
      <c r="JNI68" s="627"/>
      <c r="JNK68" s="627"/>
      <c r="JNM68" s="627"/>
      <c r="JNO68" s="627"/>
      <c r="JNQ68" s="627"/>
      <c r="JNS68" s="627"/>
      <c r="JNU68" s="627"/>
      <c r="JNW68" s="627"/>
      <c r="JNY68" s="627"/>
      <c r="JOA68" s="627"/>
      <c r="JOC68" s="627"/>
      <c r="JOE68" s="627"/>
      <c r="JOG68" s="627"/>
      <c r="JOI68" s="627"/>
      <c r="JOK68" s="627"/>
      <c r="JOM68" s="627"/>
      <c r="JOO68" s="627"/>
      <c r="JOQ68" s="627"/>
      <c r="JOS68" s="627"/>
      <c r="JOU68" s="627"/>
      <c r="JOW68" s="627"/>
      <c r="JOY68" s="627"/>
      <c r="JPA68" s="627"/>
      <c r="JPC68" s="627"/>
      <c r="JPE68" s="627"/>
      <c r="JPG68" s="627"/>
      <c r="JPI68" s="627"/>
      <c r="JPK68" s="627"/>
      <c r="JPM68" s="627"/>
      <c r="JPO68" s="627"/>
      <c r="JPQ68" s="627"/>
      <c r="JPS68" s="627"/>
      <c r="JPU68" s="627"/>
      <c r="JPW68" s="627"/>
      <c r="JPY68" s="627"/>
      <c r="JQA68" s="627"/>
      <c r="JQC68" s="627"/>
      <c r="JQE68" s="627"/>
      <c r="JQG68" s="627"/>
      <c r="JQI68" s="627"/>
      <c r="JQK68" s="627"/>
      <c r="JQM68" s="627"/>
      <c r="JQO68" s="627"/>
      <c r="JQQ68" s="627"/>
      <c r="JQS68" s="627"/>
      <c r="JQU68" s="627"/>
      <c r="JQW68" s="627"/>
      <c r="JQY68" s="627"/>
      <c r="JRA68" s="627"/>
      <c r="JRC68" s="627"/>
      <c r="JRE68" s="627"/>
      <c r="JRG68" s="627"/>
      <c r="JRI68" s="627"/>
      <c r="JRK68" s="627"/>
      <c r="JRM68" s="627"/>
      <c r="JRO68" s="627"/>
      <c r="JRQ68" s="627"/>
      <c r="JRS68" s="627"/>
      <c r="JRU68" s="627"/>
      <c r="JRW68" s="627"/>
      <c r="JRY68" s="627"/>
      <c r="JSA68" s="627"/>
      <c r="JSC68" s="627"/>
      <c r="JSE68" s="627"/>
      <c r="JSG68" s="627"/>
      <c r="JSI68" s="627"/>
      <c r="JSK68" s="627"/>
      <c r="JSM68" s="627"/>
      <c r="JSO68" s="627"/>
      <c r="JSQ68" s="627"/>
      <c r="JSS68" s="627"/>
      <c r="JSU68" s="627"/>
      <c r="JSW68" s="627"/>
      <c r="JSY68" s="627"/>
      <c r="JTA68" s="627"/>
      <c r="JTC68" s="627"/>
      <c r="JTE68" s="627"/>
      <c r="JTG68" s="627"/>
      <c r="JTI68" s="627"/>
      <c r="JTK68" s="627"/>
      <c r="JTM68" s="627"/>
      <c r="JTO68" s="627"/>
      <c r="JTQ68" s="627"/>
      <c r="JTS68" s="627"/>
      <c r="JTU68" s="627"/>
      <c r="JTW68" s="627"/>
      <c r="JTY68" s="627"/>
      <c r="JUA68" s="627"/>
      <c r="JUC68" s="627"/>
      <c r="JUE68" s="627"/>
      <c r="JUG68" s="627"/>
      <c r="JUI68" s="627"/>
      <c r="JUK68" s="627"/>
      <c r="JUM68" s="627"/>
      <c r="JUO68" s="627"/>
      <c r="JUQ68" s="627"/>
      <c r="JUS68" s="627"/>
      <c r="JUU68" s="627"/>
      <c r="JUW68" s="627"/>
      <c r="JUY68" s="627"/>
      <c r="JVA68" s="627"/>
      <c r="JVC68" s="627"/>
      <c r="JVE68" s="627"/>
      <c r="JVG68" s="627"/>
      <c r="JVI68" s="627"/>
      <c r="JVK68" s="627"/>
      <c r="JVM68" s="627"/>
      <c r="JVO68" s="627"/>
      <c r="JVQ68" s="627"/>
      <c r="JVS68" s="627"/>
      <c r="JVU68" s="627"/>
      <c r="JVW68" s="627"/>
      <c r="JVY68" s="627"/>
      <c r="JWA68" s="627"/>
      <c r="JWC68" s="627"/>
      <c r="JWE68" s="627"/>
      <c r="JWG68" s="627"/>
      <c r="JWI68" s="627"/>
      <c r="JWK68" s="627"/>
      <c r="JWM68" s="627"/>
      <c r="JWO68" s="627"/>
      <c r="JWQ68" s="627"/>
      <c r="JWS68" s="627"/>
      <c r="JWU68" s="627"/>
      <c r="JWW68" s="627"/>
      <c r="JWY68" s="627"/>
      <c r="JXA68" s="627"/>
      <c r="JXC68" s="627"/>
      <c r="JXE68" s="627"/>
      <c r="JXG68" s="627"/>
      <c r="JXI68" s="627"/>
      <c r="JXK68" s="627"/>
      <c r="JXM68" s="627"/>
      <c r="JXO68" s="627"/>
      <c r="JXQ68" s="627"/>
      <c r="JXS68" s="627"/>
      <c r="JXU68" s="627"/>
      <c r="JXW68" s="627"/>
      <c r="JXY68" s="627"/>
      <c r="JYA68" s="627"/>
      <c r="JYC68" s="627"/>
      <c r="JYE68" s="627"/>
      <c r="JYG68" s="627"/>
      <c r="JYI68" s="627"/>
      <c r="JYK68" s="627"/>
      <c r="JYM68" s="627"/>
      <c r="JYO68" s="627"/>
      <c r="JYQ68" s="627"/>
      <c r="JYS68" s="627"/>
      <c r="JYU68" s="627"/>
      <c r="JYW68" s="627"/>
      <c r="JYY68" s="627"/>
      <c r="JZA68" s="627"/>
      <c r="JZC68" s="627"/>
      <c r="JZE68" s="627"/>
      <c r="JZG68" s="627"/>
      <c r="JZI68" s="627"/>
      <c r="JZK68" s="627"/>
      <c r="JZM68" s="627"/>
      <c r="JZO68" s="627"/>
      <c r="JZQ68" s="627"/>
      <c r="JZS68" s="627"/>
      <c r="JZU68" s="627"/>
      <c r="JZW68" s="627"/>
      <c r="JZY68" s="627"/>
      <c r="KAA68" s="627"/>
      <c r="KAC68" s="627"/>
      <c r="KAE68" s="627"/>
      <c r="KAG68" s="627"/>
      <c r="KAI68" s="627"/>
      <c r="KAK68" s="627"/>
      <c r="KAM68" s="627"/>
      <c r="KAO68" s="627"/>
      <c r="KAQ68" s="627"/>
      <c r="KAS68" s="627"/>
      <c r="KAU68" s="627"/>
      <c r="KAW68" s="627"/>
      <c r="KAY68" s="627"/>
      <c r="KBA68" s="627"/>
      <c r="KBC68" s="627"/>
      <c r="KBE68" s="627"/>
      <c r="KBG68" s="627"/>
      <c r="KBI68" s="627"/>
      <c r="KBK68" s="627"/>
      <c r="KBM68" s="627"/>
      <c r="KBO68" s="627"/>
      <c r="KBQ68" s="627"/>
      <c r="KBS68" s="627"/>
      <c r="KBU68" s="627"/>
      <c r="KBW68" s="627"/>
      <c r="KBY68" s="627"/>
      <c r="KCA68" s="627"/>
      <c r="KCC68" s="627"/>
      <c r="KCE68" s="627"/>
      <c r="KCG68" s="627"/>
      <c r="KCI68" s="627"/>
      <c r="KCK68" s="627"/>
      <c r="KCM68" s="627"/>
      <c r="KCO68" s="627"/>
      <c r="KCQ68" s="627"/>
      <c r="KCS68" s="627"/>
      <c r="KCU68" s="627"/>
      <c r="KCW68" s="627"/>
      <c r="KCY68" s="627"/>
      <c r="KDA68" s="627"/>
      <c r="KDC68" s="627"/>
      <c r="KDE68" s="627"/>
      <c r="KDG68" s="627"/>
      <c r="KDI68" s="627"/>
      <c r="KDK68" s="627"/>
      <c r="KDM68" s="627"/>
      <c r="KDO68" s="627"/>
      <c r="KDQ68" s="627"/>
      <c r="KDS68" s="627"/>
      <c r="KDU68" s="627"/>
      <c r="KDW68" s="627"/>
      <c r="KDY68" s="627"/>
      <c r="KEA68" s="627"/>
      <c r="KEC68" s="627"/>
      <c r="KEE68" s="627"/>
      <c r="KEG68" s="627"/>
      <c r="KEI68" s="627"/>
      <c r="KEK68" s="627"/>
      <c r="KEM68" s="627"/>
      <c r="KEO68" s="627"/>
      <c r="KEQ68" s="627"/>
      <c r="KES68" s="627"/>
      <c r="KEU68" s="627"/>
      <c r="KEW68" s="627"/>
      <c r="KEY68" s="627"/>
      <c r="KFA68" s="627"/>
      <c r="KFC68" s="627"/>
      <c r="KFE68" s="627"/>
      <c r="KFG68" s="627"/>
      <c r="KFI68" s="627"/>
      <c r="KFK68" s="627"/>
      <c r="KFM68" s="627"/>
      <c r="KFO68" s="627"/>
      <c r="KFQ68" s="627"/>
      <c r="KFS68" s="627"/>
      <c r="KFU68" s="627"/>
      <c r="KFW68" s="627"/>
      <c r="KFY68" s="627"/>
      <c r="KGA68" s="627"/>
      <c r="KGC68" s="627"/>
      <c r="KGE68" s="627"/>
      <c r="KGG68" s="627"/>
      <c r="KGI68" s="627"/>
      <c r="KGK68" s="627"/>
      <c r="KGM68" s="627"/>
      <c r="KGO68" s="627"/>
      <c r="KGQ68" s="627"/>
      <c r="KGS68" s="627"/>
      <c r="KGU68" s="627"/>
      <c r="KGW68" s="627"/>
      <c r="KGY68" s="627"/>
      <c r="KHA68" s="627"/>
      <c r="KHC68" s="627"/>
      <c r="KHE68" s="627"/>
      <c r="KHG68" s="627"/>
      <c r="KHI68" s="627"/>
      <c r="KHK68" s="627"/>
      <c r="KHM68" s="627"/>
      <c r="KHO68" s="627"/>
      <c r="KHQ68" s="627"/>
      <c r="KHS68" s="627"/>
      <c r="KHU68" s="627"/>
      <c r="KHW68" s="627"/>
      <c r="KHY68" s="627"/>
      <c r="KIA68" s="627"/>
      <c r="KIC68" s="627"/>
      <c r="KIE68" s="627"/>
      <c r="KIG68" s="627"/>
      <c r="KII68" s="627"/>
      <c r="KIK68" s="627"/>
      <c r="KIM68" s="627"/>
      <c r="KIO68" s="627"/>
      <c r="KIQ68" s="627"/>
      <c r="KIS68" s="627"/>
      <c r="KIU68" s="627"/>
      <c r="KIW68" s="627"/>
      <c r="KIY68" s="627"/>
      <c r="KJA68" s="627"/>
      <c r="KJC68" s="627"/>
      <c r="KJE68" s="627"/>
      <c r="KJG68" s="627"/>
      <c r="KJI68" s="627"/>
      <c r="KJK68" s="627"/>
      <c r="KJM68" s="627"/>
      <c r="KJO68" s="627"/>
      <c r="KJQ68" s="627"/>
      <c r="KJS68" s="627"/>
      <c r="KJU68" s="627"/>
      <c r="KJW68" s="627"/>
      <c r="KJY68" s="627"/>
      <c r="KKA68" s="627"/>
      <c r="KKC68" s="627"/>
      <c r="KKE68" s="627"/>
      <c r="KKG68" s="627"/>
      <c r="KKI68" s="627"/>
      <c r="KKK68" s="627"/>
      <c r="KKM68" s="627"/>
      <c r="KKO68" s="627"/>
      <c r="KKQ68" s="627"/>
      <c r="KKS68" s="627"/>
      <c r="KKU68" s="627"/>
      <c r="KKW68" s="627"/>
      <c r="KKY68" s="627"/>
      <c r="KLA68" s="627"/>
      <c r="KLC68" s="627"/>
      <c r="KLE68" s="627"/>
      <c r="KLG68" s="627"/>
      <c r="KLI68" s="627"/>
      <c r="KLK68" s="627"/>
      <c r="KLM68" s="627"/>
      <c r="KLO68" s="627"/>
      <c r="KLQ68" s="627"/>
      <c r="KLS68" s="627"/>
      <c r="KLU68" s="627"/>
      <c r="KLW68" s="627"/>
      <c r="KLY68" s="627"/>
      <c r="KMA68" s="627"/>
      <c r="KMC68" s="627"/>
      <c r="KME68" s="627"/>
      <c r="KMG68" s="627"/>
      <c r="KMI68" s="627"/>
      <c r="KMK68" s="627"/>
      <c r="KMM68" s="627"/>
      <c r="KMO68" s="627"/>
      <c r="KMQ68" s="627"/>
      <c r="KMS68" s="627"/>
      <c r="KMU68" s="627"/>
      <c r="KMW68" s="627"/>
      <c r="KMY68" s="627"/>
      <c r="KNA68" s="627"/>
      <c r="KNC68" s="627"/>
      <c r="KNE68" s="627"/>
      <c r="KNG68" s="627"/>
      <c r="KNI68" s="627"/>
      <c r="KNK68" s="627"/>
      <c r="KNM68" s="627"/>
      <c r="KNO68" s="627"/>
      <c r="KNQ68" s="627"/>
      <c r="KNS68" s="627"/>
      <c r="KNU68" s="627"/>
      <c r="KNW68" s="627"/>
      <c r="KNY68" s="627"/>
      <c r="KOA68" s="627"/>
      <c r="KOC68" s="627"/>
      <c r="KOE68" s="627"/>
      <c r="KOG68" s="627"/>
      <c r="KOI68" s="627"/>
      <c r="KOK68" s="627"/>
      <c r="KOM68" s="627"/>
      <c r="KOO68" s="627"/>
      <c r="KOQ68" s="627"/>
      <c r="KOS68" s="627"/>
      <c r="KOU68" s="627"/>
      <c r="KOW68" s="627"/>
      <c r="KOY68" s="627"/>
      <c r="KPA68" s="627"/>
      <c r="KPC68" s="627"/>
      <c r="KPE68" s="627"/>
      <c r="KPG68" s="627"/>
      <c r="KPI68" s="627"/>
      <c r="KPK68" s="627"/>
      <c r="KPM68" s="627"/>
      <c r="KPO68" s="627"/>
      <c r="KPQ68" s="627"/>
      <c r="KPS68" s="627"/>
      <c r="KPU68" s="627"/>
      <c r="KPW68" s="627"/>
      <c r="KPY68" s="627"/>
      <c r="KQA68" s="627"/>
      <c r="KQC68" s="627"/>
      <c r="KQE68" s="627"/>
      <c r="KQG68" s="627"/>
      <c r="KQI68" s="627"/>
      <c r="KQK68" s="627"/>
      <c r="KQM68" s="627"/>
      <c r="KQO68" s="627"/>
      <c r="KQQ68" s="627"/>
      <c r="KQS68" s="627"/>
      <c r="KQU68" s="627"/>
      <c r="KQW68" s="627"/>
      <c r="KQY68" s="627"/>
      <c r="KRA68" s="627"/>
      <c r="KRC68" s="627"/>
      <c r="KRE68" s="627"/>
      <c r="KRG68" s="627"/>
      <c r="KRI68" s="627"/>
      <c r="KRK68" s="627"/>
      <c r="KRM68" s="627"/>
      <c r="KRO68" s="627"/>
      <c r="KRQ68" s="627"/>
      <c r="KRS68" s="627"/>
      <c r="KRU68" s="627"/>
      <c r="KRW68" s="627"/>
      <c r="KRY68" s="627"/>
      <c r="KSA68" s="627"/>
      <c r="KSC68" s="627"/>
      <c r="KSE68" s="627"/>
      <c r="KSG68" s="627"/>
      <c r="KSI68" s="627"/>
      <c r="KSK68" s="627"/>
      <c r="KSM68" s="627"/>
      <c r="KSO68" s="627"/>
      <c r="KSQ68" s="627"/>
      <c r="KSS68" s="627"/>
      <c r="KSU68" s="627"/>
      <c r="KSW68" s="627"/>
      <c r="KSY68" s="627"/>
      <c r="KTA68" s="627"/>
      <c r="KTC68" s="627"/>
      <c r="KTE68" s="627"/>
      <c r="KTG68" s="627"/>
      <c r="KTI68" s="627"/>
      <c r="KTK68" s="627"/>
      <c r="KTM68" s="627"/>
      <c r="KTO68" s="627"/>
      <c r="KTQ68" s="627"/>
      <c r="KTS68" s="627"/>
      <c r="KTU68" s="627"/>
      <c r="KTW68" s="627"/>
      <c r="KTY68" s="627"/>
      <c r="KUA68" s="627"/>
      <c r="KUC68" s="627"/>
      <c r="KUE68" s="627"/>
      <c r="KUG68" s="627"/>
      <c r="KUI68" s="627"/>
      <c r="KUK68" s="627"/>
      <c r="KUM68" s="627"/>
      <c r="KUO68" s="627"/>
      <c r="KUQ68" s="627"/>
      <c r="KUS68" s="627"/>
      <c r="KUU68" s="627"/>
      <c r="KUW68" s="627"/>
      <c r="KUY68" s="627"/>
      <c r="KVA68" s="627"/>
      <c r="KVC68" s="627"/>
      <c r="KVE68" s="627"/>
      <c r="KVG68" s="627"/>
      <c r="KVI68" s="627"/>
      <c r="KVK68" s="627"/>
      <c r="KVM68" s="627"/>
      <c r="KVO68" s="627"/>
      <c r="KVQ68" s="627"/>
      <c r="KVS68" s="627"/>
      <c r="KVU68" s="627"/>
      <c r="KVW68" s="627"/>
      <c r="KVY68" s="627"/>
      <c r="KWA68" s="627"/>
      <c r="KWC68" s="627"/>
      <c r="KWE68" s="627"/>
      <c r="KWG68" s="627"/>
      <c r="KWI68" s="627"/>
      <c r="KWK68" s="627"/>
      <c r="KWM68" s="627"/>
      <c r="KWO68" s="627"/>
      <c r="KWQ68" s="627"/>
      <c r="KWS68" s="627"/>
      <c r="KWU68" s="627"/>
      <c r="KWW68" s="627"/>
      <c r="KWY68" s="627"/>
      <c r="KXA68" s="627"/>
      <c r="KXC68" s="627"/>
      <c r="KXE68" s="627"/>
      <c r="KXG68" s="627"/>
      <c r="KXI68" s="627"/>
      <c r="KXK68" s="627"/>
      <c r="KXM68" s="627"/>
      <c r="KXO68" s="627"/>
      <c r="KXQ68" s="627"/>
      <c r="KXS68" s="627"/>
      <c r="KXU68" s="627"/>
      <c r="KXW68" s="627"/>
      <c r="KXY68" s="627"/>
      <c r="KYA68" s="627"/>
      <c r="KYC68" s="627"/>
      <c r="KYE68" s="627"/>
      <c r="KYG68" s="627"/>
      <c r="KYI68" s="627"/>
      <c r="KYK68" s="627"/>
      <c r="KYM68" s="627"/>
      <c r="KYO68" s="627"/>
      <c r="KYQ68" s="627"/>
      <c r="KYS68" s="627"/>
      <c r="KYU68" s="627"/>
      <c r="KYW68" s="627"/>
      <c r="KYY68" s="627"/>
      <c r="KZA68" s="627"/>
      <c r="KZC68" s="627"/>
      <c r="KZE68" s="627"/>
      <c r="KZG68" s="627"/>
      <c r="KZI68" s="627"/>
      <c r="KZK68" s="627"/>
      <c r="KZM68" s="627"/>
      <c r="KZO68" s="627"/>
      <c r="KZQ68" s="627"/>
      <c r="KZS68" s="627"/>
      <c r="KZU68" s="627"/>
      <c r="KZW68" s="627"/>
      <c r="KZY68" s="627"/>
      <c r="LAA68" s="627"/>
      <c r="LAC68" s="627"/>
      <c r="LAE68" s="627"/>
      <c r="LAG68" s="627"/>
      <c r="LAI68" s="627"/>
      <c r="LAK68" s="627"/>
      <c r="LAM68" s="627"/>
      <c r="LAO68" s="627"/>
      <c r="LAQ68" s="627"/>
      <c r="LAS68" s="627"/>
      <c r="LAU68" s="627"/>
      <c r="LAW68" s="627"/>
      <c r="LAY68" s="627"/>
      <c r="LBA68" s="627"/>
      <c r="LBC68" s="627"/>
      <c r="LBE68" s="627"/>
      <c r="LBG68" s="627"/>
      <c r="LBI68" s="627"/>
      <c r="LBK68" s="627"/>
      <c r="LBM68" s="627"/>
      <c r="LBO68" s="627"/>
      <c r="LBQ68" s="627"/>
      <c r="LBS68" s="627"/>
      <c r="LBU68" s="627"/>
      <c r="LBW68" s="627"/>
      <c r="LBY68" s="627"/>
      <c r="LCA68" s="627"/>
      <c r="LCC68" s="627"/>
      <c r="LCE68" s="627"/>
      <c r="LCG68" s="627"/>
      <c r="LCI68" s="627"/>
      <c r="LCK68" s="627"/>
      <c r="LCM68" s="627"/>
      <c r="LCO68" s="627"/>
      <c r="LCQ68" s="627"/>
      <c r="LCS68" s="627"/>
      <c r="LCU68" s="627"/>
      <c r="LCW68" s="627"/>
      <c r="LCY68" s="627"/>
      <c r="LDA68" s="627"/>
      <c r="LDC68" s="627"/>
      <c r="LDE68" s="627"/>
      <c r="LDG68" s="627"/>
      <c r="LDI68" s="627"/>
      <c r="LDK68" s="627"/>
      <c r="LDM68" s="627"/>
      <c r="LDO68" s="627"/>
      <c r="LDQ68" s="627"/>
      <c r="LDS68" s="627"/>
      <c r="LDU68" s="627"/>
      <c r="LDW68" s="627"/>
      <c r="LDY68" s="627"/>
      <c r="LEA68" s="627"/>
      <c r="LEC68" s="627"/>
      <c r="LEE68" s="627"/>
      <c r="LEG68" s="627"/>
      <c r="LEI68" s="627"/>
      <c r="LEK68" s="627"/>
      <c r="LEM68" s="627"/>
      <c r="LEO68" s="627"/>
      <c r="LEQ68" s="627"/>
      <c r="LES68" s="627"/>
      <c r="LEU68" s="627"/>
      <c r="LEW68" s="627"/>
      <c r="LEY68" s="627"/>
      <c r="LFA68" s="627"/>
      <c r="LFC68" s="627"/>
      <c r="LFE68" s="627"/>
      <c r="LFG68" s="627"/>
      <c r="LFI68" s="627"/>
      <c r="LFK68" s="627"/>
      <c r="LFM68" s="627"/>
      <c r="LFO68" s="627"/>
      <c r="LFQ68" s="627"/>
      <c r="LFS68" s="627"/>
      <c r="LFU68" s="627"/>
      <c r="LFW68" s="627"/>
      <c r="LFY68" s="627"/>
      <c r="LGA68" s="627"/>
      <c r="LGC68" s="627"/>
      <c r="LGE68" s="627"/>
      <c r="LGG68" s="627"/>
      <c r="LGI68" s="627"/>
      <c r="LGK68" s="627"/>
      <c r="LGM68" s="627"/>
      <c r="LGO68" s="627"/>
      <c r="LGQ68" s="627"/>
      <c r="LGS68" s="627"/>
      <c r="LGU68" s="627"/>
      <c r="LGW68" s="627"/>
      <c r="LGY68" s="627"/>
      <c r="LHA68" s="627"/>
      <c r="LHC68" s="627"/>
      <c r="LHE68" s="627"/>
      <c r="LHG68" s="627"/>
      <c r="LHI68" s="627"/>
      <c r="LHK68" s="627"/>
      <c r="LHM68" s="627"/>
      <c r="LHO68" s="627"/>
      <c r="LHQ68" s="627"/>
      <c r="LHS68" s="627"/>
      <c r="LHU68" s="627"/>
      <c r="LHW68" s="627"/>
      <c r="LHY68" s="627"/>
      <c r="LIA68" s="627"/>
      <c r="LIC68" s="627"/>
      <c r="LIE68" s="627"/>
      <c r="LIG68" s="627"/>
      <c r="LII68" s="627"/>
      <c r="LIK68" s="627"/>
      <c r="LIM68" s="627"/>
      <c r="LIO68" s="627"/>
      <c r="LIQ68" s="627"/>
      <c r="LIS68" s="627"/>
      <c r="LIU68" s="627"/>
      <c r="LIW68" s="627"/>
      <c r="LIY68" s="627"/>
      <c r="LJA68" s="627"/>
      <c r="LJC68" s="627"/>
      <c r="LJE68" s="627"/>
      <c r="LJG68" s="627"/>
      <c r="LJI68" s="627"/>
      <c r="LJK68" s="627"/>
      <c r="LJM68" s="627"/>
      <c r="LJO68" s="627"/>
      <c r="LJQ68" s="627"/>
      <c r="LJS68" s="627"/>
      <c r="LJU68" s="627"/>
      <c r="LJW68" s="627"/>
      <c r="LJY68" s="627"/>
      <c r="LKA68" s="627"/>
      <c r="LKC68" s="627"/>
      <c r="LKE68" s="627"/>
      <c r="LKG68" s="627"/>
      <c r="LKI68" s="627"/>
      <c r="LKK68" s="627"/>
      <c r="LKM68" s="627"/>
      <c r="LKO68" s="627"/>
      <c r="LKQ68" s="627"/>
      <c r="LKS68" s="627"/>
      <c r="LKU68" s="627"/>
      <c r="LKW68" s="627"/>
      <c r="LKY68" s="627"/>
      <c r="LLA68" s="627"/>
      <c r="LLC68" s="627"/>
      <c r="LLE68" s="627"/>
      <c r="LLG68" s="627"/>
      <c r="LLI68" s="627"/>
      <c r="LLK68" s="627"/>
      <c r="LLM68" s="627"/>
      <c r="LLO68" s="627"/>
      <c r="LLQ68" s="627"/>
      <c r="LLS68" s="627"/>
      <c r="LLU68" s="627"/>
      <c r="LLW68" s="627"/>
      <c r="LLY68" s="627"/>
      <c r="LMA68" s="627"/>
      <c r="LMC68" s="627"/>
      <c r="LME68" s="627"/>
      <c r="LMG68" s="627"/>
      <c r="LMI68" s="627"/>
      <c r="LMK68" s="627"/>
      <c r="LMM68" s="627"/>
      <c r="LMO68" s="627"/>
      <c r="LMQ68" s="627"/>
      <c r="LMS68" s="627"/>
      <c r="LMU68" s="627"/>
      <c r="LMW68" s="627"/>
      <c r="LMY68" s="627"/>
      <c r="LNA68" s="627"/>
      <c r="LNC68" s="627"/>
      <c r="LNE68" s="627"/>
      <c r="LNG68" s="627"/>
      <c r="LNI68" s="627"/>
      <c r="LNK68" s="627"/>
      <c r="LNM68" s="627"/>
      <c r="LNO68" s="627"/>
      <c r="LNQ68" s="627"/>
      <c r="LNS68" s="627"/>
      <c r="LNU68" s="627"/>
      <c r="LNW68" s="627"/>
      <c r="LNY68" s="627"/>
      <c r="LOA68" s="627"/>
      <c r="LOC68" s="627"/>
      <c r="LOE68" s="627"/>
      <c r="LOG68" s="627"/>
      <c r="LOI68" s="627"/>
      <c r="LOK68" s="627"/>
      <c r="LOM68" s="627"/>
      <c r="LOO68" s="627"/>
      <c r="LOQ68" s="627"/>
      <c r="LOS68" s="627"/>
      <c r="LOU68" s="627"/>
      <c r="LOW68" s="627"/>
      <c r="LOY68" s="627"/>
      <c r="LPA68" s="627"/>
      <c r="LPC68" s="627"/>
      <c r="LPE68" s="627"/>
      <c r="LPG68" s="627"/>
      <c r="LPI68" s="627"/>
      <c r="LPK68" s="627"/>
      <c r="LPM68" s="627"/>
      <c r="LPO68" s="627"/>
      <c r="LPQ68" s="627"/>
      <c r="LPS68" s="627"/>
      <c r="LPU68" s="627"/>
      <c r="LPW68" s="627"/>
      <c r="LPY68" s="627"/>
      <c r="LQA68" s="627"/>
      <c r="LQC68" s="627"/>
      <c r="LQE68" s="627"/>
      <c r="LQG68" s="627"/>
      <c r="LQI68" s="627"/>
      <c r="LQK68" s="627"/>
      <c r="LQM68" s="627"/>
      <c r="LQO68" s="627"/>
      <c r="LQQ68" s="627"/>
      <c r="LQS68" s="627"/>
      <c r="LQU68" s="627"/>
      <c r="LQW68" s="627"/>
      <c r="LQY68" s="627"/>
      <c r="LRA68" s="627"/>
      <c r="LRC68" s="627"/>
      <c r="LRE68" s="627"/>
      <c r="LRG68" s="627"/>
      <c r="LRI68" s="627"/>
      <c r="LRK68" s="627"/>
      <c r="LRM68" s="627"/>
      <c r="LRO68" s="627"/>
      <c r="LRQ68" s="627"/>
      <c r="LRS68" s="627"/>
      <c r="LRU68" s="627"/>
      <c r="LRW68" s="627"/>
      <c r="LRY68" s="627"/>
      <c r="LSA68" s="627"/>
      <c r="LSC68" s="627"/>
      <c r="LSE68" s="627"/>
      <c r="LSG68" s="627"/>
      <c r="LSI68" s="627"/>
      <c r="LSK68" s="627"/>
      <c r="LSM68" s="627"/>
      <c r="LSO68" s="627"/>
      <c r="LSQ68" s="627"/>
      <c r="LSS68" s="627"/>
      <c r="LSU68" s="627"/>
      <c r="LSW68" s="627"/>
      <c r="LSY68" s="627"/>
      <c r="LTA68" s="627"/>
      <c r="LTC68" s="627"/>
      <c r="LTE68" s="627"/>
      <c r="LTG68" s="627"/>
      <c r="LTI68" s="627"/>
      <c r="LTK68" s="627"/>
      <c r="LTM68" s="627"/>
      <c r="LTO68" s="627"/>
      <c r="LTQ68" s="627"/>
      <c r="LTS68" s="627"/>
      <c r="LTU68" s="627"/>
      <c r="LTW68" s="627"/>
      <c r="LTY68" s="627"/>
      <c r="LUA68" s="627"/>
      <c r="LUC68" s="627"/>
      <c r="LUE68" s="627"/>
      <c r="LUG68" s="627"/>
      <c r="LUI68" s="627"/>
      <c r="LUK68" s="627"/>
      <c r="LUM68" s="627"/>
      <c r="LUO68" s="627"/>
      <c r="LUQ68" s="627"/>
      <c r="LUS68" s="627"/>
      <c r="LUU68" s="627"/>
      <c r="LUW68" s="627"/>
      <c r="LUY68" s="627"/>
      <c r="LVA68" s="627"/>
      <c r="LVC68" s="627"/>
      <c r="LVE68" s="627"/>
      <c r="LVG68" s="627"/>
      <c r="LVI68" s="627"/>
      <c r="LVK68" s="627"/>
      <c r="LVM68" s="627"/>
      <c r="LVO68" s="627"/>
      <c r="LVQ68" s="627"/>
      <c r="LVS68" s="627"/>
      <c r="LVU68" s="627"/>
      <c r="LVW68" s="627"/>
      <c r="LVY68" s="627"/>
      <c r="LWA68" s="627"/>
      <c r="LWC68" s="627"/>
      <c r="LWE68" s="627"/>
      <c r="LWG68" s="627"/>
      <c r="LWI68" s="627"/>
      <c r="LWK68" s="627"/>
      <c r="LWM68" s="627"/>
      <c r="LWO68" s="627"/>
      <c r="LWQ68" s="627"/>
      <c r="LWS68" s="627"/>
      <c r="LWU68" s="627"/>
      <c r="LWW68" s="627"/>
      <c r="LWY68" s="627"/>
      <c r="LXA68" s="627"/>
      <c r="LXC68" s="627"/>
      <c r="LXE68" s="627"/>
      <c r="LXG68" s="627"/>
      <c r="LXI68" s="627"/>
      <c r="LXK68" s="627"/>
      <c r="LXM68" s="627"/>
      <c r="LXO68" s="627"/>
      <c r="LXQ68" s="627"/>
      <c r="LXS68" s="627"/>
      <c r="LXU68" s="627"/>
      <c r="LXW68" s="627"/>
      <c r="LXY68" s="627"/>
      <c r="LYA68" s="627"/>
      <c r="LYC68" s="627"/>
      <c r="LYE68" s="627"/>
      <c r="LYG68" s="627"/>
      <c r="LYI68" s="627"/>
      <c r="LYK68" s="627"/>
      <c r="LYM68" s="627"/>
      <c r="LYO68" s="627"/>
      <c r="LYQ68" s="627"/>
      <c r="LYS68" s="627"/>
      <c r="LYU68" s="627"/>
      <c r="LYW68" s="627"/>
      <c r="LYY68" s="627"/>
      <c r="LZA68" s="627"/>
      <c r="LZC68" s="627"/>
      <c r="LZE68" s="627"/>
      <c r="LZG68" s="627"/>
      <c r="LZI68" s="627"/>
      <c r="LZK68" s="627"/>
      <c r="LZM68" s="627"/>
      <c r="LZO68" s="627"/>
      <c r="LZQ68" s="627"/>
      <c r="LZS68" s="627"/>
      <c r="LZU68" s="627"/>
      <c r="LZW68" s="627"/>
      <c r="LZY68" s="627"/>
      <c r="MAA68" s="627"/>
      <c r="MAC68" s="627"/>
      <c r="MAE68" s="627"/>
      <c r="MAG68" s="627"/>
      <c r="MAI68" s="627"/>
      <c r="MAK68" s="627"/>
      <c r="MAM68" s="627"/>
      <c r="MAO68" s="627"/>
      <c r="MAQ68" s="627"/>
      <c r="MAS68" s="627"/>
      <c r="MAU68" s="627"/>
      <c r="MAW68" s="627"/>
      <c r="MAY68" s="627"/>
      <c r="MBA68" s="627"/>
      <c r="MBC68" s="627"/>
      <c r="MBE68" s="627"/>
      <c r="MBG68" s="627"/>
      <c r="MBI68" s="627"/>
      <c r="MBK68" s="627"/>
      <c r="MBM68" s="627"/>
      <c r="MBO68" s="627"/>
      <c r="MBQ68" s="627"/>
      <c r="MBS68" s="627"/>
      <c r="MBU68" s="627"/>
      <c r="MBW68" s="627"/>
      <c r="MBY68" s="627"/>
      <c r="MCA68" s="627"/>
      <c r="MCC68" s="627"/>
      <c r="MCE68" s="627"/>
      <c r="MCG68" s="627"/>
      <c r="MCI68" s="627"/>
      <c r="MCK68" s="627"/>
      <c r="MCM68" s="627"/>
      <c r="MCO68" s="627"/>
      <c r="MCQ68" s="627"/>
      <c r="MCS68" s="627"/>
      <c r="MCU68" s="627"/>
      <c r="MCW68" s="627"/>
      <c r="MCY68" s="627"/>
      <c r="MDA68" s="627"/>
      <c r="MDC68" s="627"/>
      <c r="MDE68" s="627"/>
      <c r="MDG68" s="627"/>
      <c r="MDI68" s="627"/>
      <c r="MDK68" s="627"/>
      <c r="MDM68" s="627"/>
      <c r="MDO68" s="627"/>
      <c r="MDQ68" s="627"/>
      <c r="MDS68" s="627"/>
      <c r="MDU68" s="627"/>
      <c r="MDW68" s="627"/>
      <c r="MDY68" s="627"/>
      <c r="MEA68" s="627"/>
      <c r="MEC68" s="627"/>
      <c r="MEE68" s="627"/>
      <c r="MEG68" s="627"/>
      <c r="MEI68" s="627"/>
      <c r="MEK68" s="627"/>
      <c r="MEM68" s="627"/>
      <c r="MEO68" s="627"/>
      <c r="MEQ68" s="627"/>
      <c r="MES68" s="627"/>
      <c r="MEU68" s="627"/>
      <c r="MEW68" s="627"/>
      <c r="MEY68" s="627"/>
      <c r="MFA68" s="627"/>
      <c r="MFC68" s="627"/>
      <c r="MFE68" s="627"/>
      <c r="MFG68" s="627"/>
      <c r="MFI68" s="627"/>
      <c r="MFK68" s="627"/>
      <c r="MFM68" s="627"/>
      <c r="MFO68" s="627"/>
      <c r="MFQ68" s="627"/>
      <c r="MFS68" s="627"/>
      <c r="MFU68" s="627"/>
      <c r="MFW68" s="627"/>
      <c r="MFY68" s="627"/>
      <c r="MGA68" s="627"/>
      <c r="MGC68" s="627"/>
      <c r="MGE68" s="627"/>
      <c r="MGG68" s="627"/>
      <c r="MGI68" s="627"/>
      <c r="MGK68" s="627"/>
      <c r="MGM68" s="627"/>
      <c r="MGO68" s="627"/>
      <c r="MGQ68" s="627"/>
      <c r="MGS68" s="627"/>
      <c r="MGU68" s="627"/>
      <c r="MGW68" s="627"/>
      <c r="MGY68" s="627"/>
      <c r="MHA68" s="627"/>
      <c r="MHC68" s="627"/>
      <c r="MHE68" s="627"/>
      <c r="MHG68" s="627"/>
      <c r="MHI68" s="627"/>
      <c r="MHK68" s="627"/>
      <c r="MHM68" s="627"/>
      <c r="MHO68" s="627"/>
      <c r="MHQ68" s="627"/>
      <c r="MHS68" s="627"/>
      <c r="MHU68" s="627"/>
      <c r="MHW68" s="627"/>
      <c r="MHY68" s="627"/>
      <c r="MIA68" s="627"/>
      <c r="MIC68" s="627"/>
      <c r="MIE68" s="627"/>
      <c r="MIG68" s="627"/>
      <c r="MII68" s="627"/>
      <c r="MIK68" s="627"/>
      <c r="MIM68" s="627"/>
      <c r="MIO68" s="627"/>
      <c r="MIQ68" s="627"/>
      <c r="MIS68" s="627"/>
      <c r="MIU68" s="627"/>
      <c r="MIW68" s="627"/>
      <c r="MIY68" s="627"/>
      <c r="MJA68" s="627"/>
      <c r="MJC68" s="627"/>
      <c r="MJE68" s="627"/>
      <c r="MJG68" s="627"/>
      <c r="MJI68" s="627"/>
      <c r="MJK68" s="627"/>
      <c r="MJM68" s="627"/>
      <c r="MJO68" s="627"/>
      <c r="MJQ68" s="627"/>
      <c r="MJS68" s="627"/>
      <c r="MJU68" s="627"/>
      <c r="MJW68" s="627"/>
      <c r="MJY68" s="627"/>
      <c r="MKA68" s="627"/>
      <c r="MKC68" s="627"/>
      <c r="MKE68" s="627"/>
      <c r="MKG68" s="627"/>
      <c r="MKI68" s="627"/>
      <c r="MKK68" s="627"/>
      <c r="MKM68" s="627"/>
      <c r="MKO68" s="627"/>
      <c r="MKQ68" s="627"/>
      <c r="MKS68" s="627"/>
      <c r="MKU68" s="627"/>
      <c r="MKW68" s="627"/>
      <c r="MKY68" s="627"/>
      <c r="MLA68" s="627"/>
      <c r="MLC68" s="627"/>
      <c r="MLE68" s="627"/>
      <c r="MLG68" s="627"/>
      <c r="MLI68" s="627"/>
      <c r="MLK68" s="627"/>
      <c r="MLM68" s="627"/>
      <c r="MLO68" s="627"/>
      <c r="MLQ68" s="627"/>
      <c r="MLS68" s="627"/>
      <c r="MLU68" s="627"/>
      <c r="MLW68" s="627"/>
      <c r="MLY68" s="627"/>
      <c r="MMA68" s="627"/>
      <c r="MMC68" s="627"/>
      <c r="MME68" s="627"/>
      <c r="MMG68" s="627"/>
      <c r="MMI68" s="627"/>
      <c r="MMK68" s="627"/>
      <c r="MMM68" s="627"/>
      <c r="MMO68" s="627"/>
      <c r="MMQ68" s="627"/>
      <c r="MMS68" s="627"/>
      <c r="MMU68" s="627"/>
      <c r="MMW68" s="627"/>
      <c r="MMY68" s="627"/>
      <c r="MNA68" s="627"/>
      <c r="MNC68" s="627"/>
      <c r="MNE68" s="627"/>
      <c r="MNG68" s="627"/>
      <c r="MNI68" s="627"/>
      <c r="MNK68" s="627"/>
      <c r="MNM68" s="627"/>
      <c r="MNO68" s="627"/>
      <c r="MNQ68" s="627"/>
      <c r="MNS68" s="627"/>
      <c r="MNU68" s="627"/>
      <c r="MNW68" s="627"/>
      <c r="MNY68" s="627"/>
      <c r="MOA68" s="627"/>
      <c r="MOC68" s="627"/>
      <c r="MOE68" s="627"/>
      <c r="MOG68" s="627"/>
      <c r="MOI68" s="627"/>
      <c r="MOK68" s="627"/>
      <c r="MOM68" s="627"/>
      <c r="MOO68" s="627"/>
      <c r="MOQ68" s="627"/>
      <c r="MOS68" s="627"/>
      <c r="MOU68" s="627"/>
      <c r="MOW68" s="627"/>
      <c r="MOY68" s="627"/>
      <c r="MPA68" s="627"/>
      <c r="MPC68" s="627"/>
      <c r="MPE68" s="627"/>
      <c r="MPG68" s="627"/>
      <c r="MPI68" s="627"/>
      <c r="MPK68" s="627"/>
      <c r="MPM68" s="627"/>
      <c r="MPO68" s="627"/>
      <c r="MPQ68" s="627"/>
      <c r="MPS68" s="627"/>
      <c r="MPU68" s="627"/>
      <c r="MPW68" s="627"/>
      <c r="MPY68" s="627"/>
      <c r="MQA68" s="627"/>
      <c r="MQC68" s="627"/>
      <c r="MQE68" s="627"/>
      <c r="MQG68" s="627"/>
      <c r="MQI68" s="627"/>
      <c r="MQK68" s="627"/>
      <c r="MQM68" s="627"/>
      <c r="MQO68" s="627"/>
      <c r="MQQ68" s="627"/>
      <c r="MQS68" s="627"/>
      <c r="MQU68" s="627"/>
      <c r="MQW68" s="627"/>
      <c r="MQY68" s="627"/>
      <c r="MRA68" s="627"/>
      <c r="MRC68" s="627"/>
      <c r="MRE68" s="627"/>
      <c r="MRG68" s="627"/>
      <c r="MRI68" s="627"/>
      <c r="MRK68" s="627"/>
      <c r="MRM68" s="627"/>
      <c r="MRO68" s="627"/>
      <c r="MRQ68" s="627"/>
      <c r="MRS68" s="627"/>
      <c r="MRU68" s="627"/>
      <c r="MRW68" s="627"/>
      <c r="MRY68" s="627"/>
      <c r="MSA68" s="627"/>
      <c r="MSC68" s="627"/>
      <c r="MSE68" s="627"/>
      <c r="MSG68" s="627"/>
      <c r="MSI68" s="627"/>
      <c r="MSK68" s="627"/>
      <c r="MSM68" s="627"/>
      <c r="MSO68" s="627"/>
      <c r="MSQ68" s="627"/>
      <c r="MSS68" s="627"/>
      <c r="MSU68" s="627"/>
      <c r="MSW68" s="627"/>
      <c r="MSY68" s="627"/>
      <c r="MTA68" s="627"/>
      <c r="MTC68" s="627"/>
      <c r="MTE68" s="627"/>
      <c r="MTG68" s="627"/>
      <c r="MTI68" s="627"/>
      <c r="MTK68" s="627"/>
      <c r="MTM68" s="627"/>
      <c r="MTO68" s="627"/>
      <c r="MTQ68" s="627"/>
      <c r="MTS68" s="627"/>
      <c r="MTU68" s="627"/>
      <c r="MTW68" s="627"/>
      <c r="MTY68" s="627"/>
      <c r="MUA68" s="627"/>
      <c r="MUC68" s="627"/>
      <c r="MUE68" s="627"/>
      <c r="MUG68" s="627"/>
      <c r="MUI68" s="627"/>
      <c r="MUK68" s="627"/>
      <c r="MUM68" s="627"/>
      <c r="MUO68" s="627"/>
      <c r="MUQ68" s="627"/>
      <c r="MUS68" s="627"/>
      <c r="MUU68" s="627"/>
      <c r="MUW68" s="627"/>
      <c r="MUY68" s="627"/>
      <c r="MVA68" s="627"/>
      <c r="MVC68" s="627"/>
      <c r="MVE68" s="627"/>
      <c r="MVG68" s="627"/>
      <c r="MVI68" s="627"/>
      <c r="MVK68" s="627"/>
      <c r="MVM68" s="627"/>
      <c r="MVO68" s="627"/>
      <c r="MVQ68" s="627"/>
      <c r="MVS68" s="627"/>
      <c r="MVU68" s="627"/>
      <c r="MVW68" s="627"/>
      <c r="MVY68" s="627"/>
      <c r="MWA68" s="627"/>
      <c r="MWC68" s="627"/>
      <c r="MWE68" s="627"/>
      <c r="MWG68" s="627"/>
      <c r="MWI68" s="627"/>
      <c r="MWK68" s="627"/>
      <c r="MWM68" s="627"/>
      <c r="MWO68" s="627"/>
      <c r="MWQ68" s="627"/>
      <c r="MWS68" s="627"/>
      <c r="MWU68" s="627"/>
      <c r="MWW68" s="627"/>
      <c r="MWY68" s="627"/>
      <c r="MXA68" s="627"/>
      <c r="MXC68" s="627"/>
      <c r="MXE68" s="627"/>
      <c r="MXG68" s="627"/>
      <c r="MXI68" s="627"/>
      <c r="MXK68" s="627"/>
      <c r="MXM68" s="627"/>
      <c r="MXO68" s="627"/>
      <c r="MXQ68" s="627"/>
      <c r="MXS68" s="627"/>
      <c r="MXU68" s="627"/>
      <c r="MXW68" s="627"/>
      <c r="MXY68" s="627"/>
      <c r="MYA68" s="627"/>
      <c r="MYC68" s="627"/>
      <c r="MYE68" s="627"/>
      <c r="MYG68" s="627"/>
      <c r="MYI68" s="627"/>
      <c r="MYK68" s="627"/>
      <c r="MYM68" s="627"/>
      <c r="MYO68" s="627"/>
      <c r="MYQ68" s="627"/>
      <c r="MYS68" s="627"/>
      <c r="MYU68" s="627"/>
      <c r="MYW68" s="627"/>
      <c r="MYY68" s="627"/>
      <c r="MZA68" s="627"/>
      <c r="MZC68" s="627"/>
      <c r="MZE68" s="627"/>
      <c r="MZG68" s="627"/>
      <c r="MZI68" s="627"/>
      <c r="MZK68" s="627"/>
      <c r="MZM68" s="627"/>
      <c r="MZO68" s="627"/>
      <c r="MZQ68" s="627"/>
      <c r="MZS68" s="627"/>
      <c r="MZU68" s="627"/>
      <c r="MZW68" s="627"/>
      <c r="MZY68" s="627"/>
      <c r="NAA68" s="627"/>
      <c r="NAC68" s="627"/>
      <c r="NAE68" s="627"/>
      <c r="NAG68" s="627"/>
      <c r="NAI68" s="627"/>
      <c r="NAK68" s="627"/>
      <c r="NAM68" s="627"/>
      <c r="NAO68" s="627"/>
      <c r="NAQ68" s="627"/>
      <c r="NAS68" s="627"/>
      <c r="NAU68" s="627"/>
      <c r="NAW68" s="627"/>
      <c r="NAY68" s="627"/>
      <c r="NBA68" s="627"/>
      <c r="NBC68" s="627"/>
      <c r="NBE68" s="627"/>
      <c r="NBG68" s="627"/>
      <c r="NBI68" s="627"/>
      <c r="NBK68" s="627"/>
      <c r="NBM68" s="627"/>
      <c r="NBO68" s="627"/>
      <c r="NBQ68" s="627"/>
      <c r="NBS68" s="627"/>
      <c r="NBU68" s="627"/>
      <c r="NBW68" s="627"/>
      <c r="NBY68" s="627"/>
      <c r="NCA68" s="627"/>
      <c r="NCC68" s="627"/>
      <c r="NCE68" s="627"/>
      <c r="NCG68" s="627"/>
      <c r="NCI68" s="627"/>
      <c r="NCK68" s="627"/>
      <c r="NCM68" s="627"/>
      <c r="NCO68" s="627"/>
      <c r="NCQ68" s="627"/>
      <c r="NCS68" s="627"/>
      <c r="NCU68" s="627"/>
      <c r="NCW68" s="627"/>
      <c r="NCY68" s="627"/>
      <c r="NDA68" s="627"/>
      <c r="NDC68" s="627"/>
      <c r="NDE68" s="627"/>
      <c r="NDG68" s="627"/>
      <c r="NDI68" s="627"/>
      <c r="NDK68" s="627"/>
      <c r="NDM68" s="627"/>
      <c r="NDO68" s="627"/>
      <c r="NDQ68" s="627"/>
      <c r="NDS68" s="627"/>
      <c r="NDU68" s="627"/>
      <c r="NDW68" s="627"/>
      <c r="NDY68" s="627"/>
      <c r="NEA68" s="627"/>
      <c r="NEC68" s="627"/>
      <c r="NEE68" s="627"/>
      <c r="NEG68" s="627"/>
      <c r="NEI68" s="627"/>
      <c r="NEK68" s="627"/>
      <c r="NEM68" s="627"/>
      <c r="NEO68" s="627"/>
      <c r="NEQ68" s="627"/>
      <c r="NES68" s="627"/>
      <c r="NEU68" s="627"/>
      <c r="NEW68" s="627"/>
      <c r="NEY68" s="627"/>
      <c r="NFA68" s="627"/>
      <c r="NFC68" s="627"/>
      <c r="NFE68" s="627"/>
      <c r="NFG68" s="627"/>
      <c r="NFI68" s="627"/>
      <c r="NFK68" s="627"/>
      <c r="NFM68" s="627"/>
      <c r="NFO68" s="627"/>
      <c r="NFQ68" s="627"/>
      <c r="NFS68" s="627"/>
      <c r="NFU68" s="627"/>
      <c r="NFW68" s="627"/>
      <c r="NFY68" s="627"/>
      <c r="NGA68" s="627"/>
      <c r="NGC68" s="627"/>
      <c r="NGE68" s="627"/>
      <c r="NGG68" s="627"/>
      <c r="NGI68" s="627"/>
      <c r="NGK68" s="627"/>
      <c r="NGM68" s="627"/>
      <c r="NGO68" s="627"/>
      <c r="NGQ68" s="627"/>
      <c r="NGS68" s="627"/>
      <c r="NGU68" s="627"/>
      <c r="NGW68" s="627"/>
      <c r="NGY68" s="627"/>
      <c r="NHA68" s="627"/>
      <c r="NHC68" s="627"/>
      <c r="NHE68" s="627"/>
      <c r="NHG68" s="627"/>
      <c r="NHI68" s="627"/>
      <c r="NHK68" s="627"/>
      <c r="NHM68" s="627"/>
      <c r="NHO68" s="627"/>
      <c r="NHQ68" s="627"/>
      <c r="NHS68" s="627"/>
      <c r="NHU68" s="627"/>
      <c r="NHW68" s="627"/>
      <c r="NHY68" s="627"/>
      <c r="NIA68" s="627"/>
      <c r="NIC68" s="627"/>
      <c r="NIE68" s="627"/>
      <c r="NIG68" s="627"/>
      <c r="NII68" s="627"/>
      <c r="NIK68" s="627"/>
      <c r="NIM68" s="627"/>
      <c r="NIO68" s="627"/>
      <c r="NIQ68" s="627"/>
      <c r="NIS68" s="627"/>
      <c r="NIU68" s="627"/>
      <c r="NIW68" s="627"/>
      <c r="NIY68" s="627"/>
      <c r="NJA68" s="627"/>
      <c r="NJC68" s="627"/>
      <c r="NJE68" s="627"/>
      <c r="NJG68" s="627"/>
      <c r="NJI68" s="627"/>
      <c r="NJK68" s="627"/>
      <c r="NJM68" s="627"/>
      <c r="NJO68" s="627"/>
      <c r="NJQ68" s="627"/>
      <c r="NJS68" s="627"/>
      <c r="NJU68" s="627"/>
      <c r="NJW68" s="627"/>
      <c r="NJY68" s="627"/>
      <c r="NKA68" s="627"/>
      <c r="NKC68" s="627"/>
      <c r="NKE68" s="627"/>
      <c r="NKG68" s="627"/>
      <c r="NKI68" s="627"/>
      <c r="NKK68" s="627"/>
      <c r="NKM68" s="627"/>
      <c r="NKO68" s="627"/>
      <c r="NKQ68" s="627"/>
      <c r="NKS68" s="627"/>
      <c r="NKU68" s="627"/>
      <c r="NKW68" s="627"/>
      <c r="NKY68" s="627"/>
      <c r="NLA68" s="627"/>
      <c r="NLC68" s="627"/>
      <c r="NLE68" s="627"/>
      <c r="NLG68" s="627"/>
      <c r="NLI68" s="627"/>
      <c r="NLK68" s="627"/>
      <c r="NLM68" s="627"/>
      <c r="NLO68" s="627"/>
      <c r="NLQ68" s="627"/>
      <c r="NLS68" s="627"/>
      <c r="NLU68" s="627"/>
      <c r="NLW68" s="627"/>
      <c r="NLY68" s="627"/>
      <c r="NMA68" s="627"/>
      <c r="NMC68" s="627"/>
      <c r="NME68" s="627"/>
      <c r="NMG68" s="627"/>
      <c r="NMI68" s="627"/>
      <c r="NMK68" s="627"/>
      <c r="NMM68" s="627"/>
      <c r="NMO68" s="627"/>
      <c r="NMQ68" s="627"/>
      <c r="NMS68" s="627"/>
      <c r="NMU68" s="627"/>
      <c r="NMW68" s="627"/>
      <c r="NMY68" s="627"/>
      <c r="NNA68" s="627"/>
      <c r="NNC68" s="627"/>
      <c r="NNE68" s="627"/>
      <c r="NNG68" s="627"/>
      <c r="NNI68" s="627"/>
      <c r="NNK68" s="627"/>
      <c r="NNM68" s="627"/>
      <c r="NNO68" s="627"/>
      <c r="NNQ68" s="627"/>
      <c r="NNS68" s="627"/>
      <c r="NNU68" s="627"/>
      <c r="NNW68" s="627"/>
      <c r="NNY68" s="627"/>
      <c r="NOA68" s="627"/>
      <c r="NOC68" s="627"/>
      <c r="NOE68" s="627"/>
      <c r="NOG68" s="627"/>
      <c r="NOI68" s="627"/>
      <c r="NOK68" s="627"/>
      <c r="NOM68" s="627"/>
      <c r="NOO68" s="627"/>
      <c r="NOQ68" s="627"/>
      <c r="NOS68" s="627"/>
      <c r="NOU68" s="627"/>
      <c r="NOW68" s="627"/>
      <c r="NOY68" s="627"/>
      <c r="NPA68" s="627"/>
      <c r="NPC68" s="627"/>
      <c r="NPE68" s="627"/>
      <c r="NPG68" s="627"/>
      <c r="NPI68" s="627"/>
      <c r="NPK68" s="627"/>
      <c r="NPM68" s="627"/>
      <c r="NPO68" s="627"/>
      <c r="NPQ68" s="627"/>
      <c r="NPS68" s="627"/>
      <c r="NPU68" s="627"/>
      <c r="NPW68" s="627"/>
      <c r="NPY68" s="627"/>
      <c r="NQA68" s="627"/>
      <c r="NQC68" s="627"/>
      <c r="NQE68" s="627"/>
      <c r="NQG68" s="627"/>
      <c r="NQI68" s="627"/>
      <c r="NQK68" s="627"/>
      <c r="NQM68" s="627"/>
      <c r="NQO68" s="627"/>
      <c r="NQQ68" s="627"/>
      <c r="NQS68" s="627"/>
      <c r="NQU68" s="627"/>
      <c r="NQW68" s="627"/>
      <c r="NQY68" s="627"/>
      <c r="NRA68" s="627"/>
      <c r="NRC68" s="627"/>
      <c r="NRE68" s="627"/>
      <c r="NRG68" s="627"/>
      <c r="NRI68" s="627"/>
      <c r="NRK68" s="627"/>
      <c r="NRM68" s="627"/>
      <c r="NRO68" s="627"/>
      <c r="NRQ68" s="627"/>
      <c r="NRS68" s="627"/>
      <c r="NRU68" s="627"/>
      <c r="NRW68" s="627"/>
      <c r="NRY68" s="627"/>
      <c r="NSA68" s="627"/>
      <c r="NSC68" s="627"/>
      <c r="NSE68" s="627"/>
      <c r="NSG68" s="627"/>
      <c r="NSI68" s="627"/>
      <c r="NSK68" s="627"/>
      <c r="NSM68" s="627"/>
      <c r="NSO68" s="627"/>
      <c r="NSQ68" s="627"/>
      <c r="NSS68" s="627"/>
      <c r="NSU68" s="627"/>
      <c r="NSW68" s="627"/>
      <c r="NSY68" s="627"/>
      <c r="NTA68" s="627"/>
      <c r="NTC68" s="627"/>
      <c r="NTE68" s="627"/>
      <c r="NTG68" s="627"/>
      <c r="NTI68" s="627"/>
      <c r="NTK68" s="627"/>
      <c r="NTM68" s="627"/>
      <c r="NTO68" s="627"/>
      <c r="NTQ68" s="627"/>
      <c r="NTS68" s="627"/>
      <c r="NTU68" s="627"/>
      <c r="NTW68" s="627"/>
      <c r="NTY68" s="627"/>
      <c r="NUA68" s="627"/>
      <c r="NUC68" s="627"/>
      <c r="NUE68" s="627"/>
      <c r="NUG68" s="627"/>
      <c r="NUI68" s="627"/>
      <c r="NUK68" s="627"/>
      <c r="NUM68" s="627"/>
      <c r="NUO68" s="627"/>
      <c r="NUQ68" s="627"/>
      <c r="NUS68" s="627"/>
      <c r="NUU68" s="627"/>
      <c r="NUW68" s="627"/>
      <c r="NUY68" s="627"/>
      <c r="NVA68" s="627"/>
      <c r="NVC68" s="627"/>
      <c r="NVE68" s="627"/>
      <c r="NVG68" s="627"/>
      <c r="NVI68" s="627"/>
      <c r="NVK68" s="627"/>
      <c r="NVM68" s="627"/>
      <c r="NVO68" s="627"/>
      <c r="NVQ68" s="627"/>
      <c r="NVS68" s="627"/>
      <c r="NVU68" s="627"/>
      <c r="NVW68" s="627"/>
      <c r="NVY68" s="627"/>
      <c r="NWA68" s="627"/>
      <c r="NWC68" s="627"/>
      <c r="NWE68" s="627"/>
      <c r="NWG68" s="627"/>
      <c r="NWI68" s="627"/>
      <c r="NWK68" s="627"/>
      <c r="NWM68" s="627"/>
      <c r="NWO68" s="627"/>
      <c r="NWQ68" s="627"/>
      <c r="NWS68" s="627"/>
      <c r="NWU68" s="627"/>
      <c r="NWW68" s="627"/>
      <c r="NWY68" s="627"/>
      <c r="NXA68" s="627"/>
      <c r="NXC68" s="627"/>
      <c r="NXE68" s="627"/>
      <c r="NXG68" s="627"/>
      <c r="NXI68" s="627"/>
      <c r="NXK68" s="627"/>
      <c r="NXM68" s="627"/>
      <c r="NXO68" s="627"/>
      <c r="NXQ68" s="627"/>
      <c r="NXS68" s="627"/>
      <c r="NXU68" s="627"/>
      <c r="NXW68" s="627"/>
      <c r="NXY68" s="627"/>
      <c r="NYA68" s="627"/>
      <c r="NYC68" s="627"/>
      <c r="NYE68" s="627"/>
      <c r="NYG68" s="627"/>
      <c r="NYI68" s="627"/>
      <c r="NYK68" s="627"/>
      <c r="NYM68" s="627"/>
      <c r="NYO68" s="627"/>
      <c r="NYQ68" s="627"/>
      <c r="NYS68" s="627"/>
      <c r="NYU68" s="627"/>
      <c r="NYW68" s="627"/>
      <c r="NYY68" s="627"/>
      <c r="NZA68" s="627"/>
      <c r="NZC68" s="627"/>
      <c r="NZE68" s="627"/>
      <c r="NZG68" s="627"/>
      <c r="NZI68" s="627"/>
      <c r="NZK68" s="627"/>
      <c r="NZM68" s="627"/>
      <c r="NZO68" s="627"/>
      <c r="NZQ68" s="627"/>
      <c r="NZS68" s="627"/>
      <c r="NZU68" s="627"/>
      <c r="NZW68" s="627"/>
      <c r="NZY68" s="627"/>
      <c r="OAA68" s="627"/>
      <c r="OAC68" s="627"/>
      <c r="OAE68" s="627"/>
      <c r="OAG68" s="627"/>
      <c r="OAI68" s="627"/>
      <c r="OAK68" s="627"/>
      <c r="OAM68" s="627"/>
      <c r="OAO68" s="627"/>
      <c r="OAQ68" s="627"/>
      <c r="OAS68" s="627"/>
      <c r="OAU68" s="627"/>
      <c r="OAW68" s="627"/>
      <c r="OAY68" s="627"/>
      <c r="OBA68" s="627"/>
      <c r="OBC68" s="627"/>
      <c r="OBE68" s="627"/>
      <c r="OBG68" s="627"/>
      <c r="OBI68" s="627"/>
      <c r="OBK68" s="627"/>
      <c r="OBM68" s="627"/>
      <c r="OBO68" s="627"/>
      <c r="OBQ68" s="627"/>
      <c r="OBS68" s="627"/>
      <c r="OBU68" s="627"/>
      <c r="OBW68" s="627"/>
      <c r="OBY68" s="627"/>
      <c r="OCA68" s="627"/>
      <c r="OCC68" s="627"/>
      <c r="OCE68" s="627"/>
      <c r="OCG68" s="627"/>
      <c r="OCI68" s="627"/>
      <c r="OCK68" s="627"/>
      <c r="OCM68" s="627"/>
      <c r="OCO68" s="627"/>
      <c r="OCQ68" s="627"/>
      <c r="OCS68" s="627"/>
      <c r="OCU68" s="627"/>
      <c r="OCW68" s="627"/>
      <c r="OCY68" s="627"/>
      <c r="ODA68" s="627"/>
      <c r="ODC68" s="627"/>
      <c r="ODE68" s="627"/>
      <c r="ODG68" s="627"/>
      <c r="ODI68" s="627"/>
      <c r="ODK68" s="627"/>
      <c r="ODM68" s="627"/>
      <c r="ODO68" s="627"/>
      <c r="ODQ68" s="627"/>
      <c r="ODS68" s="627"/>
      <c r="ODU68" s="627"/>
      <c r="ODW68" s="627"/>
      <c r="ODY68" s="627"/>
      <c r="OEA68" s="627"/>
      <c r="OEC68" s="627"/>
      <c r="OEE68" s="627"/>
      <c r="OEG68" s="627"/>
      <c r="OEI68" s="627"/>
      <c r="OEK68" s="627"/>
      <c r="OEM68" s="627"/>
      <c r="OEO68" s="627"/>
      <c r="OEQ68" s="627"/>
      <c r="OES68" s="627"/>
      <c r="OEU68" s="627"/>
      <c r="OEW68" s="627"/>
      <c r="OEY68" s="627"/>
      <c r="OFA68" s="627"/>
      <c r="OFC68" s="627"/>
      <c r="OFE68" s="627"/>
      <c r="OFG68" s="627"/>
      <c r="OFI68" s="627"/>
      <c r="OFK68" s="627"/>
      <c r="OFM68" s="627"/>
      <c r="OFO68" s="627"/>
      <c r="OFQ68" s="627"/>
      <c r="OFS68" s="627"/>
      <c r="OFU68" s="627"/>
      <c r="OFW68" s="627"/>
      <c r="OFY68" s="627"/>
      <c r="OGA68" s="627"/>
      <c r="OGC68" s="627"/>
      <c r="OGE68" s="627"/>
      <c r="OGG68" s="627"/>
      <c r="OGI68" s="627"/>
      <c r="OGK68" s="627"/>
      <c r="OGM68" s="627"/>
      <c r="OGO68" s="627"/>
      <c r="OGQ68" s="627"/>
      <c r="OGS68" s="627"/>
      <c r="OGU68" s="627"/>
      <c r="OGW68" s="627"/>
      <c r="OGY68" s="627"/>
      <c r="OHA68" s="627"/>
      <c r="OHC68" s="627"/>
      <c r="OHE68" s="627"/>
      <c r="OHG68" s="627"/>
      <c r="OHI68" s="627"/>
      <c r="OHK68" s="627"/>
      <c r="OHM68" s="627"/>
      <c r="OHO68" s="627"/>
      <c r="OHQ68" s="627"/>
      <c r="OHS68" s="627"/>
      <c r="OHU68" s="627"/>
      <c r="OHW68" s="627"/>
      <c r="OHY68" s="627"/>
      <c r="OIA68" s="627"/>
      <c r="OIC68" s="627"/>
      <c r="OIE68" s="627"/>
      <c r="OIG68" s="627"/>
      <c r="OII68" s="627"/>
      <c r="OIK68" s="627"/>
      <c r="OIM68" s="627"/>
      <c r="OIO68" s="627"/>
      <c r="OIQ68" s="627"/>
      <c r="OIS68" s="627"/>
      <c r="OIU68" s="627"/>
      <c r="OIW68" s="627"/>
      <c r="OIY68" s="627"/>
      <c r="OJA68" s="627"/>
      <c r="OJC68" s="627"/>
      <c r="OJE68" s="627"/>
      <c r="OJG68" s="627"/>
      <c r="OJI68" s="627"/>
      <c r="OJK68" s="627"/>
      <c r="OJM68" s="627"/>
      <c r="OJO68" s="627"/>
      <c r="OJQ68" s="627"/>
      <c r="OJS68" s="627"/>
      <c r="OJU68" s="627"/>
      <c r="OJW68" s="627"/>
      <c r="OJY68" s="627"/>
      <c r="OKA68" s="627"/>
      <c r="OKC68" s="627"/>
      <c r="OKE68" s="627"/>
      <c r="OKG68" s="627"/>
      <c r="OKI68" s="627"/>
      <c r="OKK68" s="627"/>
      <c r="OKM68" s="627"/>
      <c r="OKO68" s="627"/>
      <c r="OKQ68" s="627"/>
      <c r="OKS68" s="627"/>
      <c r="OKU68" s="627"/>
      <c r="OKW68" s="627"/>
      <c r="OKY68" s="627"/>
      <c r="OLA68" s="627"/>
      <c r="OLC68" s="627"/>
      <c r="OLE68" s="627"/>
      <c r="OLG68" s="627"/>
      <c r="OLI68" s="627"/>
      <c r="OLK68" s="627"/>
      <c r="OLM68" s="627"/>
      <c r="OLO68" s="627"/>
      <c r="OLQ68" s="627"/>
      <c r="OLS68" s="627"/>
      <c r="OLU68" s="627"/>
      <c r="OLW68" s="627"/>
      <c r="OLY68" s="627"/>
      <c r="OMA68" s="627"/>
      <c r="OMC68" s="627"/>
      <c r="OME68" s="627"/>
      <c r="OMG68" s="627"/>
      <c r="OMI68" s="627"/>
      <c r="OMK68" s="627"/>
      <c r="OMM68" s="627"/>
      <c r="OMO68" s="627"/>
      <c r="OMQ68" s="627"/>
      <c r="OMS68" s="627"/>
      <c r="OMU68" s="627"/>
      <c r="OMW68" s="627"/>
      <c r="OMY68" s="627"/>
      <c r="ONA68" s="627"/>
      <c r="ONC68" s="627"/>
      <c r="ONE68" s="627"/>
      <c r="ONG68" s="627"/>
      <c r="ONI68" s="627"/>
      <c r="ONK68" s="627"/>
      <c r="ONM68" s="627"/>
      <c r="ONO68" s="627"/>
      <c r="ONQ68" s="627"/>
      <c r="ONS68" s="627"/>
      <c r="ONU68" s="627"/>
      <c r="ONW68" s="627"/>
      <c r="ONY68" s="627"/>
      <c r="OOA68" s="627"/>
      <c r="OOC68" s="627"/>
      <c r="OOE68" s="627"/>
      <c r="OOG68" s="627"/>
      <c r="OOI68" s="627"/>
      <c r="OOK68" s="627"/>
      <c r="OOM68" s="627"/>
      <c r="OOO68" s="627"/>
      <c r="OOQ68" s="627"/>
      <c r="OOS68" s="627"/>
      <c r="OOU68" s="627"/>
      <c r="OOW68" s="627"/>
      <c r="OOY68" s="627"/>
      <c r="OPA68" s="627"/>
      <c r="OPC68" s="627"/>
      <c r="OPE68" s="627"/>
      <c r="OPG68" s="627"/>
      <c r="OPI68" s="627"/>
      <c r="OPK68" s="627"/>
      <c r="OPM68" s="627"/>
      <c r="OPO68" s="627"/>
      <c r="OPQ68" s="627"/>
      <c r="OPS68" s="627"/>
      <c r="OPU68" s="627"/>
      <c r="OPW68" s="627"/>
      <c r="OPY68" s="627"/>
      <c r="OQA68" s="627"/>
      <c r="OQC68" s="627"/>
      <c r="OQE68" s="627"/>
      <c r="OQG68" s="627"/>
      <c r="OQI68" s="627"/>
      <c r="OQK68" s="627"/>
      <c r="OQM68" s="627"/>
      <c r="OQO68" s="627"/>
      <c r="OQQ68" s="627"/>
      <c r="OQS68" s="627"/>
      <c r="OQU68" s="627"/>
      <c r="OQW68" s="627"/>
      <c r="OQY68" s="627"/>
      <c r="ORA68" s="627"/>
      <c r="ORC68" s="627"/>
      <c r="ORE68" s="627"/>
      <c r="ORG68" s="627"/>
      <c r="ORI68" s="627"/>
      <c r="ORK68" s="627"/>
      <c r="ORM68" s="627"/>
      <c r="ORO68" s="627"/>
      <c r="ORQ68" s="627"/>
      <c r="ORS68" s="627"/>
      <c r="ORU68" s="627"/>
      <c r="ORW68" s="627"/>
      <c r="ORY68" s="627"/>
      <c r="OSA68" s="627"/>
      <c r="OSC68" s="627"/>
      <c r="OSE68" s="627"/>
      <c r="OSG68" s="627"/>
      <c r="OSI68" s="627"/>
      <c r="OSK68" s="627"/>
      <c r="OSM68" s="627"/>
      <c r="OSO68" s="627"/>
      <c r="OSQ68" s="627"/>
      <c r="OSS68" s="627"/>
      <c r="OSU68" s="627"/>
      <c r="OSW68" s="627"/>
      <c r="OSY68" s="627"/>
      <c r="OTA68" s="627"/>
      <c r="OTC68" s="627"/>
      <c r="OTE68" s="627"/>
      <c r="OTG68" s="627"/>
      <c r="OTI68" s="627"/>
      <c r="OTK68" s="627"/>
      <c r="OTM68" s="627"/>
      <c r="OTO68" s="627"/>
      <c r="OTQ68" s="627"/>
      <c r="OTS68" s="627"/>
      <c r="OTU68" s="627"/>
      <c r="OTW68" s="627"/>
      <c r="OTY68" s="627"/>
      <c r="OUA68" s="627"/>
      <c r="OUC68" s="627"/>
      <c r="OUE68" s="627"/>
      <c r="OUG68" s="627"/>
      <c r="OUI68" s="627"/>
      <c r="OUK68" s="627"/>
      <c r="OUM68" s="627"/>
      <c r="OUO68" s="627"/>
      <c r="OUQ68" s="627"/>
      <c r="OUS68" s="627"/>
      <c r="OUU68" s="627"/>
      <c r="OUW68" s="627"/>
      <c r="OUY68" s="627"/>
      <c r="OVA68" s="627"/>
      <c r="OVC68" s="627"/>
      <c r="OVE68" s="627"/>
      <c r="OVG68" s="627"/>
      <c r="OVI68" s="627"/>
      <c r="OVK68" s="627"/>
      <c r="OVM68" s="627"/>
      <c r="OVO68" s="627"/>
      <c r="OVQ68" s="627"/>
      <c r="OVS68" s="627"/>
      <c r="OVU68" s="627"/>
      <c r="OVW68" s="627"/>
      <c r="OVY68" s="627"/>
      <c r="OWA68" s="627"/>
      <c r="OWC68" s="627"/>
      <c r="OWE68" s="627"/>
      <c r="OWG68" s="627"/>
      <c r="OWI68" s="627"/>
      <c r="OWK68" s="627"/>
      <c r="OWM68" s="627"/>
      <c r="OWO68" s="627"/>
      <c r="OWQ68" s="627"/>
      <c r="OWS68" s="627"/>
      <c r="OWU68" s="627"/>
      <c r="OWW68" s="627"/>
      <c r="OWY68" s="627"/>
      <c r="OXA68" s="627"/>
      <c r="OXC68" s="627"/>
      <c r="OXE68" s="627"/>
      <c r="OXG68" s="627"/>
      <c r="OXI68" s="627"/>
      <c r="OXK68" s="627"/>
      <c r="OXM68" s="627"/>
      <c r="OXO68" s="627"/>
      <c r="OXQ68" s="627"/>
      <c r="OXS68" s="627"/>
      <c r="OXU68" s="627"/>
      <c r="OXW68" s="627"/>
      <c r="OXY68" s="627"/>
      <c r="OYA68" s="627"/>
      <c r="OYC68" s="627"/>
      <c r="OYE68" s="627"/>
      <c r="OYG68" s="627"/>
      <c r="OYI68" s="627"/>
      <c r="OYK68" s="627"/>
      <c r="OYM68" s="627"/>
      <c r="OYO68" s="627"/>
      <c r="OYQ68" s="627"/>
      <c r="OYS68" s="627"/>
      <c r="OYU68" s="627"/>
      <c r="OYW68" s="627"/>
      <c r="OYY68" s="627"/>
      <c r="OZA68" s="627"/>
      <c r="OZC68" s="627"/>
      <c r="OZE68" s="627"/>
      <c r="OZG68" s="627"/>
      <c r="OZI68" s="627"/>
      <c r="OZK68" s="627"/>
      <c r="OZM68" s="627"/>
      <c r="OZO68" s="627"/>
      <c r="OZQ68" s="627"/>
      <c r="OZS68" s="627"/>
      <c r="OZU68" s="627"/>
      <c r="OZW68" s="627"/>
      <c r="OZY68" s="627"/>
      <c r="PAA68" s="627"/>
      <c r="PAC68" s="627"/>
      <c r="PAE68" s="627"/>
      <c r="PAG68" s="627"/>
      <c r="PAI68" s="627"/>
      <c r="PAK68" s="627"/>
      <c r="PAM68" s="627"/>
      <c r="PAO68" s="627"/>
      <c r="PAQ68" s="627"/>
      <c r="PAS68" s="627"/>
      <c r="PAU68" s="627"/>
      <c r="PAW68" s="627"/>
      <c r="PAY68" s="627"/>
      <c r="PBA68" s="627"/>
      <c r="PBC68" s="627"/>
      <c r="PBE68" s="627"/>
      <c r="PBG68" s="627"/>
      <c r="PBI68" s="627"/>
      <c r="PBK68" s="627"/>
      <c r="PBM68" s="627"/>
      <c r="PBO68" s="627"/>
      <c r="PBQ68" s="627"/>
      <c r="PBS68" s="627"/>
      <c r="PBU68" s="627"/>
      <c r="PBW68" s="627"/>
      <c r="PBY68" s="627"/>
      <c r="PCA68" s="627"/>
      <c r="PCC68" s="627"/>
      <c r="PCE68" s="627"/>
      <c r="PCG68" s="627"/>
      <c r="PCI68" s="627"/>
      <c r="PCK68" s="627"/>
      <c r="PCM68" s="627"/>
      <c r="PCO68" s="627"/>
      <c r="PCQ68" s="627"/>
      <c r="PCS68" s="627"/>
      <c r="PCU68" s="627"/>
      <c r="PCW68" s="627"/>
      <c r="PCY68" s="627"/>
      <c r="PDA68" s="627"/>
      <c r="PDC68" s="627"/>
      <c r="PDE68" s="627"/>
      <c r="PDG68" s="627"/>
      <c r="PDI68" s="627"/>
      <c r="PDK68" s="627"/>
      <c r="PDM68" s="627"/>
      <c r="PDO68" s="627"/>
      <c r="PDQ68" s="627"/>
      <c r="PDS68" s="627"/>
      <c r="PDU68" s="627"/>
      <c r="PDW68" s="627"/>
      <c r="PDY68" s="627"/>
      <c r="PEA68" s="627"/>
      <c r="PEC68" s="627"/>
      <c r="PEE68" s="627"/>
      <c r="PEG68" s="627"/>
      <c r="PEI68" s="627"/>
      <c r="PEK68" s="627"/>
      <c r="PEM68" s="627"/>
      <c r="PEO68" s="627"/>
      <c r="PEQ68" s="627"/>
      <c r="PES68" s="627"/>
      <c r="PEU68" s="627"/>
      <c r="PEW68" s="627"/>
      <c r="PEY68" s="627"/>
      <c r="PFA68" s="627"/>
      <c r="PFC68" s="627"/>
      <c r="PFE68" s="627"/>
      <c r="PFG68" s="627"/>
      <c r="PFI68" s="627"/>
      <c r="PFK68" s="627"/>
      <c r="PFM68" s="627"/>
      <c r="PFO68" s="627"/>
      <c r="PFQ68" s="627"/>
      <c r="PFS68" s="627"/>
      <c r="PFU68" s="627"/>
      <c r="PFW68" s="627"/>
      <c r="PFY68" s="627"/>
      <c r="PGA68" s="627"/>
      <c r="PGC68" s="627"/>
      <c r="PGE68" s="627"/>
      <c r="PGG68" s="627"/>
      <c r="PGI68" s="627"/>
      <c r="PGK68" s="627"/>
      <c r="PGM68" s="627"/>
      <c r="PGO68" s="627"/>
      <c r="PGQ68" s="627"/>
      <c r="PGS68" s="627"/>
      <c r="PGU68" s="627"/>
      <c r="PGW68" s="627"/>
      <c r="PGY68" s="627"/>
      <c r="PHA68" s="627"/>
      <c r="PHC68" s="627"/>
      <c r="PHE68" s="627"/>
      <c r="PHG68" s="627"/>
      <c r="PHI68" s="627"/>
      <c r="PHK68" s="627"/>
      <c r="PHM68" s="627"/>
      <c r="PHO68" s="627"/>
      <c r="PHQ68" s="627"/>
      <c r="PHS68" s="627"/>
      <c r="PHU68" s="627"/>
      <c r="PHW68" s="627"/>
      <c r="PHY68" s="627"/>
      <c r="PIA68" s="627"/>
      <c r="PIC68" s="627"/>
      <c r="PIE68" s="627"/>
      <c r="PIG68" s="627"/>
      <c r="PII68" s="627"/>
      <c r="PIK68" s="627"/>
      <c r="PIM68" s="627"/>
      <c r="PIO68" s="627"/>
      <c r="PIQ68" s="627"/>
      <c r="PIS68" s="627"/>
      <c r="PIU68" s="627"/>
      <c r="PIW68" s="627"/>
      <c r="PIY68" s="627"/>
      <c r="PJA68" s="627"/>
      <c r="PJC68" s="627"/>
      <c r="PJE68" s="627"/>
      <c r="PJG68" s="627"/>
      <c r="PJI68" s="627"/>
      <c r="PJK68" s="627"/>
      <c r="PJM68" s="627"/>
      <c r="PJO68" s="627"/>
      <c r="PJQ68" s="627"/>
      <c r="PJS68" s="627"/>
      <c r="PJU68" s="627"/>
      <c r="PJW68" s="627"/>
      <c r="PJY68" s="627"/>
      <c r="PKA68" s="627"/>
      <c r="PKC68" s="627"/>
      <c r="PKE68" s="627"/>
      <c r="PKG68" s="627"/>
      <c r="PKI68" s="627"/>
      <c r="PKK68" s="627"/>
      <c r="PKM68" s="627"/>
      <c r="PKO68" s="627"/>
      <c r="PKQ68" s="627"/>
      <c r="PKS68" s="627"/>
      <c r="PKU68" s="627"/>
      <c r="PKW68" s="627"/>
      <c r="PKY68" s="627"/>
      <c r="PLA68" s="627"/>
      <c r="PLC68" s="627"/>
      <c r="PLE68" s="627"/>
      <c r="PLG68" s="627"/>
      <c r="PLI68" s="627"/>
      <c r="PLK68" s="627"/>
      <c r="PLM68" s="627"/>
      <c r="PLO68" s="627"/>
      <c r="PLQ68" s="627"/>
      <c r="PLS68" s="627"/>
      <c r="PLU68" s="627"/>
      <c r="PLW68" s="627"/>
      <c r="PLY68" s="627"/>
      <c r="PMA68" s="627"/>
      <c r="PMC68" s="627"/>
      <c r="PME68" s="627"/>
      <c r="PMG68" s="627"/>
      <c r="PMI68" s="627"/>
      <c r="PMK68" s="627"/>
      <c r="PMM68" s="627"/>
      <c r="PMO68" s="627"/>
      <c r="PMQ68" s="627"/>
      <c r="PMS68" s="627"/>
      <c r="PMU68" s="627"/>
      <c r="PMW68" s="627"/>
      <c r="PMY68" s="627"/>
      <c r="PNA68" s="627"/>
      <c r="PNC68" s="627"/>
      <c r="PNE68" s="627"/>
      <c r="PNG68" s="627"/>
      <c r="PNI68" s="627"/>
      <c r="PNK68" s="627"/>
      <c r="PNM68" s="627"/>
      <c r="PNO68" s="627"/>
      <c r="PNQ68" s="627"/>
      <c r="PNS68" s="627"/>
      <c r="PNU68" s="627"/>
      <c r="PNW68" s="627"/>
      <c r="PNY68" s="627"/>
      <c r="POA68" s="627"/>
      <c r="POC68" s="627"/>
      <c r="POE68" s="627"/>
      <c r="POG68" s="627"/>
      <c r="POI68" s="627"/>
      <c r="POK68" s="627"/>
      <c r="POM68" s="627"/>
      <c r="POO68" s="627"/>
      <c r="POQ68" s="627"/>
      <c r="POS68" s="627"/>
      <c r="POU68" s="627"/>
      <c r="POW68" s="627"/>
      <c r="POY68" s="627"/>
      <c r="PPA68" s="627"/>
      <c r="PPC68" s="627"/>
      <c r="PPE68" s="627"/>
      <c r="PPG68" s="627"/>
      <c r="PPI68" s="627"/>
      <c r="PPK68" s="627"/>
      <c r="PPM68" s="627"/>
      <c r="PPO68" s="627"/>
      <c r="PPQ68" s="627"/>
      <c r="PPS68" s="627"/>
      <c r="PPU68" s="627"/>
      <c r="PPW68" s="627"/>
      <c r="PPY68" s="627"/>
      <c r="PQA68" s="627"/>
      <c r="PQC68" s="627"/>
      <c r="PQE68" s="627"/>
      <c r="PQG68" s="627"/>
      <c r="PQI68" s="627"/>
      <c r="PQK68" s="627"/>
      <c r="PQM68" s="627"/>
      <c r="PQO68" s="627"/>
      <c r="PQQ68" s="627"/>
      <c r="PQS68" s="627"/>
      <c r="PQU68" s="627"/>
      <c r="PQW68" s="627"/>
      <c r="PQY68" s="627"/>
      <c r="PRA68" s="627"/>
      <c r="PRC68" s="627"/>
      <c r="PRE68" s="627"/>
      <c r="PRG68" s="627"/>
      <c r="PRI68" s="627"/>
      <c r="PRK68" s="627"/>
      <c r="PRM68" s="627"/>
      <c r="PRO68" s="627"/>
      <c r="PRQ68" s="627"/>
      <c r="PRS68" s="627"/>
      <c r="PRU68" s="627"/>
      <c r="PRW68" s="627"/>
      <c r="PRY68" s="627"/>
      <c r="PSA68" s="627"/>
      <c r="PSC68" s="627"/>
      <c r="PSE68" s="627"/>
      <c r="PSG68" s="627"/>
      <c r="PSI68" s="627"/>
      <c r="PSK68" s="627"/>
      <c r="PSM68" s="627"/>
      <c r="PSO68" s="627"/>
      <c r="PSQ68" s="627"/>
      <c r="PSS68" s="627"/>
      <c r="PSU68" s="627"/>
      <c r="PSW68" s="627"/>
      <c r="PSY68" s="627"/>
      <c r="PTA68" s="627"/>
      <c r="PTC68" s="627"/>
      <c r="PTE68" s="627"/>
      <c r="PTG68" s="627"/>
      <c r="PTI68" s="627"/>
      <c r="PTK68" s="627"/>
      <c r="PTM68" s="627"/>
      <c r="PTO68" s="627"/>
      <c r="PTQ68" s="627"/>
      <c r="PTS68" s="627"/>
      <c r="PTU68" s="627"/>
      <c r="PTW68" s="627"/>
      <c r="PTY68" s="627"/>
      <c r="PUA68" s="627"/>
      <c r="PUC68" s="627"/>
      <c r="PUE68" s="627"/>
      <c r="PUG68" s="627"/>
      <c r="PUI68" s="627"/>
      <c r="PUK68" s="627"/>
      <c r="PUM68" s="627"/>
      <c r="PUO68" s="627"/>
      <c r="PUQ68" s="627"/>
      <c r="PUS68" s="627"/>
      <c r="PUU68" s="627"/>
      <c r="PUW68" s="627"/>
      <c r="PUY68" s="627"/>
      <c r="PVA68" s="627"/>
      <c r="PVC68" s="627"/>
      <c r="PVE68" s="627"/>
      <c r="PVG68" s="627"/>
      <c r="PVI68" s="627"/>
      <c r="PVK68" s="627"/>
      <c r="PVM68" s="627"/>
      <c r="PVO68" s="627"/>
      <c r="PVQ68" s="627"/>
      <c r="PVS68" s="627"/>
      <c r="PVU68" s="627"/>
      <c r="PVW68" s="627"/>
      <c r="PVY68" s="627"/>
      <c r="PWA68" s="627"/>
      <c r="PWC68" s="627"/>
      <c r="PWE68" s="627"/>
      <c r="PWG68" s="627"/>
      <c r="PWI68" s="627"/>
      <c r="PWK68" s="627"/>
      <c r="PWM68" s="627"/>
      <c r="PWO68" s="627"/>
      <c r="PWQ68" s="627"/>
      <c r="PWS68" s="627"/>
      <c r="PWU68" s="627"/>
      <c r="PWW68" s="627"/>
      <c r="PWY68" s="627"/>
      <c r="PXA68" s="627"/>
      <c r="PXC68" s="627"/>
      <c r="PXE68" s="627"/>
      <c r="PXG68" s="627"/>
      <c r="PXI68" s="627"/>
      <c r="PXK68" s="627"/>
      <c r="PXM68" s="627"/>
      <c r="PXO68" s="627"/>
      <c r="PXQ68" s="627"/>
      <c r="PXS68" s="627"/>
      <c r="PXU68" s="627"/>
      <c r="PXW68" s="627"/>
      <c r="PXY68" s="627"/>
      <c r="PYA68" s="627"/>
      <c r="PYC68" s="627"/>
      <c r="PYE68" s="627"/>
      <c r="PYG68" s="627"/>
      <c r="PYI68" s="627"/>
      <c r="PYK68" s="627"/>
      <c r="PYM68" s="627"/>
      <c r="PYO68" s="627"/>
      <c r="PYQ68" s="627"/>
      <c r="PYS68" s="627"/>
      <c r="PYU68" s="627"/>
      <c r="PYW68" s="627"/>
      <c r="PYY68" s="627"/>
      <c r="PZA68" s="627"/>
      <c r="PZC68" s="627"/>
      <c r="PZE68" s="627"/>
      <c r="PZG68" s="627"/>
      <c r="PZI68" s="627"/>
      <c r="PZK68" s="627"/>
      <c r="PZM68" s="627"/>
      <c r="PZO68" s="627"/>
      <c r="PZQ68" s="627"/>
      <c r="PZS68" s="627"/>
      <c r="PZU68" s="627"/>
      <c r="PZW68" s="627"/>
      <c r="PZY68" s="627"/>
      <c r="QAA68" s="627"/>
      <c r="QAC68" s="627"/>
      <c r="QAE68" s="627"/>
      <c r="QAG68" s="627"/>
      <c r="QAI68" s="627"/>
      <c r="QAK68" s="627"/>
      <c r="QAM68" s="627"/>
      <c r="QAO68" s="627"/>
      <c r="QAQ68" s="627"/>
      <c r="QAS68" s="627"/>
      <c r="QAU68" s="627"/>
      <c r="QAW68" s="627"/>
      <c r="QAY68" s="627"/>
      <c r="QBA68" s="627"/>
      <c r="QBC68" s="627"/>
      <c r="QBE68" s="627"/>
      <c r="QBG68" s="627"/>
      <c r="QBI68" s="627"/>
      <c r="QBK68" s="627"/>
      <c r="QBM68" s="627"/>
      <c r="QBO68" s="627"/>
      <c r="QBQ68" s="627"/>
      <c r="QBS68" s="627"/>
      <c r="QBU68" s="627"/>
      <c r="QBW68" s="627"/>
      <c r="QBY68" s="627"/>
      <c r="QCA68" s="627"/>
      <c r="QCC68" s="627"/>
      <c r="QCE68" s="627"/>
      <c r="QCG68" s="627"/>
      <c r="QCI68" s="627"/>
      <c r="QCK68" s="627"/>
      <c r="QCM68" s="627"/>
      <c r="QCO68" s="627"/>
      <c r="QCQ68" s="627"/>
      <c r="QCS68" s="627"/>
      <c r="QCU68" s="627"/>
      <c r="QCW68" s="627"/>
      <c r="QCY68" s="627"/>
      <c r="QDA68" s="627"/>
      <c r="QDC68" s="627"/>
      <c r="QDE68" s="627"/>
      <c r="QDG68" s="627"/>
      <c r="QDI68" s="627"/>
      <c r="QDK68" s="627"/>
      <c r="QDM68" s="627"/>
      <c r="QDO68" s="627"/>
      <c r="QDQ68" s="627"/>
      <c r="QDS68" s="627"/>
      <c r="QDU68" s="627"/>
      <c r="QDW68" s="627"/>
      <c r="QDY68" s="627"/>
      <c r="QEA68" s="627"/>
      <c r="QEC68" s="627"/>
      <c r="QEE68" s="627"/>
      <c r="QEG68" s="627"/>
      <c r="QEI68" s="627"/>
      <c r="QEK68" s="627"/>
      <c r="QEM68" s="627"/>
      <c r="QEO68" s="627"/>
      <c r="QEQ68" s="627"/>
      <c r="QES68" s="627"/>
      <c r="QEU68" s="627"/>
      <c r="QEW68" s="627"/>
      <c r="QEY68" s="627"/>
      <c r="QFA68" s="627"/>
      <c r="QFC68" s="627"/>
      <c r="QFE68" s="627"/>
      <c r="QFG68" s="627"/>
      <c r="QFI68" s="627"/>
      <c r="QFK68" s="627"/>
      <c r="QFM68" s="627"/>
      <c r="QFO68" s="627"/>
      <c r="QFQ68" s="627"/>
      <c r="QFS68" s="627"/>
      <c r="QFU68" s="627"/>
      <c r="QFW68" s="627"/>
      <c r="QFY68" s="627"/>
      <c r="QGA68" s="627"/>
      <c r="QGC68" s="627"/>
      <c r="QGE68" s="627"/>
      <c r="QGG68" s="627"/>
      <c r="QGI68" s="627"/>
      <c r="QGK68" s="627"/>
      <c r="QGM68" s="627"/>
      <c r="QGO68" s="627"/>
      <c r="QGQ68" s="627"/>
      <c r="QGS68" s="627"/>
      <c r="QGU68" s="627"/>
      <c r="QGW68" s="627"/>
      <c r="QGY68" s="627"/>
      <c r="QHA68" s="627"/>
      <c r="QHC68" s="627"/>
      <c r="QHE68" s="627"/>
      <c r="QHG68" s="627"/>
      <c r="QHI68" s="627"/>
      <c r="QHK68" s="627"/>
      <c r="QHM68" s="627"/>
      <c r="QHO68" s="627"/>
      <c r="QHQ68" s="627"/>
      <c r="QHS68" s="627"/>
      <c r="QHU68" s="627"/>
      <c r="QHW68" s="627"/>
      <c r="QHY68" s="627"/>
      <c r="QIA68" s="627"/>
      <c r="QIC68" s="627"/>
      <c r="QIE68" s="627"/>
      <c r="QIG68" s="627"/>
      <c r="QII68" s="627"/>
      <c r="QIK68" s="627"/>
      <c r="QIM68" s="627"/>
      <c r="QIO68" s="627"/>
      <c r="QIQ68" s="627"/>
      <c r="QIS68" s="627"/>
      <c r="QIU68" s="627"/>
      <c r="QIW68" s="627"/>
      <c r="QIY68" s="627"/>
      <c r="QJA68" s="627"/>
      <c r="QJC68" s="627"/>
      <c r="QJE68" s="627"/>
      <c r="QJG68" s="627"/>
      <c r="QJI68" s="627"/>
      <c r="QJK68" s="627"/>
      <c r="QJM68" s="627"/>
      <c r="QJO68" s="627"/>
      <c r="QJQ68" s="627"/>
      <c r="QJS68" s="627"/>
      <c r="QJU68" s="627"/>
      <c r="QJW68" s="627"/>
      <c r="QJY68" s="627"/>
      <c r="QKA68" s="627"/>
      <c r="QKC68" s="627"/>
      <c r="QKE68" s="627"/>
      <c r="QKG68" s="627"/>
      <c r="QKI68" s="627"/>
      <c r="QKK68" s="627"/>
      <c r="QKM68" s="627"/>
      <c r="QKO68" s="627"/>
      <c r="QKQ68" s="627"/>
      <c r="QKS68" s="627"/>
      <c r="QKU68" s="627"/>
      <c r="QKW68" s="627"/>
      <c r="QKY68" s="627"/>
      <c r="QLA68" s="627"/>
      <c r="QLC68" s="627"/>
      <c r="QLE68" s="627"/>
      <c r="QLG68" s="627"/>
      <c r="QLI68" s="627"/>
      <c r="QLK68" s="627"/>
      <c r="QLM68" s="627"/>
      <c r="QLO68" s="627"/>
      <c r="QLQ68" s="627"/>
      <c r="QLS68" s="627"/>
      <c r="QLU68" s="627"/>
      <c r="QLW68" s="627"/>
      <c r="QLY68" s="627"/>
      <c r="QMA68" s="627"/>
      <c r="QMC68" s="627"/>
      <c r="QME68" s="627"/>
      <c r="QMG68" s="627"/>
      <c r="QMI68" s="627"/>
      <c r="QMK68" s="627"/>
      <c r="QMM68" s="627"/>
      <c r="QMO68" s="627"/>
      <c r="QMQ68" s="627"/>
      <c r="QMS68" s="627"/>
      <c r="QMU68" s="627"/>
      <c r="QMW68" s="627"/>
      <c r="QMY68" s="627"/>
      <c r="QNA68" s="627"/>
      <c r="QNC68" s="627"/>
      <c r="QNE68" s="627"/>
      <c r="QNG68" s="627"/>
      <c r="QNI68" s="627"/>
      <c r="QNK68" s="627"/>
      <c r="QNM68" s="627"/>
      <c r="QNO68" s="627"/>
      <c r="QNQ68" s="627"/>
      <c r="QNS68" s="627"/>
      <c r="QNU68" s="627"/>
      <c r="QNW68" s="627"/>
      <c r="QNY68" s="627"/>
      <c r="QOA68" s="627"/>
      <c r="QOC68" s="627"/>
      <c r="QOE68" s="627"/>
      <c r="QOG68" s="627"/>
      <c r="QOI68" s="627"/>
      <c r="QOK68" s="627"/>
      <c r="QOM68" s="627"/>
      <c r="QOO68" s="627"/>
      <c r="QOQ68" s="627"/>
      <c r="QOS68" s="627"/>
      <c r="QOU68" s="627"/>
      <c r="QOW68" s="627"/>
      <c r="QOY68" s="627"/>
      <c r="QPA68" s="627"/>
      <c r="QPC68" s="627"/>
      <c r="QPE68" s="627"/>
      <c r="QPG68" s="627"/>
      <c r="QPI68" s="627"/>
      <c r="QPK68" s="627"/>
      <c r="QPM68" s="627"/>
      <c r="QPO68" s="627"/>
      <c r="QPQ68" s="627"/>
      <c r="QPS68" s="627"/>
      <c r="QPU68" s="627"/>
      <c r="QPW68" s="627"/>
      <c r="QPY68" s="627"/>
      <c r="QQA68" s="627"/>
      <c r="QQC68" s="627"/>
      <c r="QQE68" s="627"/>
      <c r="QQG68" s="627"/>
      <c r="QQI68" s="627"/>
      <c r="QQK68" s="627"/>
      <c r="QQM68" s="627"/>
      <c r="QQO68" s="627"/>
      <c r="QQQ68" s="627"/>
      <c r="QQS68" s="627"/>
      <c r="QQU68" s="627"/>
      <c r="QQW68" s="627"/>
      <c r="QQY68" s="627"/>
      <c r="QRA68" s="627"/>
      <c r="QRC68" s="627"/>
      <c r="QRE68" s="627"/>
      <c r="QRG68" s="627"/>
      <c r="QRI68" s="627"/>
      <c r="QRK68" s="627"/>
      <c r="QRM68" s="627"/>
      <c r="QRO68" s="627"/>
      <c r="QRQ68" s="627"/>
      <c r="QRS68" s="627"/>
      <c r="QRU68" s="627"/>
      <c r="QRW68" s="627"/>
      <c r="QRY68" s="627"/>
      <c r="QSA68" s="627"/>
      <c r="QSC68" s="627"/>
      <c r="QSE68" s="627"/>
      <c r="QSG68" s="627"/>
      <c r="QSI68" s="627"/>
      <c r="QSK68" s="627"/>
      <c r="QSM68" s="627"/>
      <c r="QSO68" s="627"/>
      <c r="QSQ68" s="627"/>
      <c r="QSS68" s="627"/>
      <c r="QSU68" s="627"/>
      <c r="QSW68" s="627"/>
      <c r="QSY68" s="627"/>
      <c r="QTA68" s="627"/>
      <c r="QTC68" s="627"/>
      <c r="QTE68" s="627"/>
      <c r="QTG68" s="627"/>
      <c r="QTI68" s="627"/>
      <c r="QTK68" s="627"/>
      <c r="QTM68" s="627"/>
      <c r="QTO68" s="627"/>
      <c r="QTQ68" s="627"/>
      <c r="QTS68" s="627"/>
      <c r="QTU68" s="627"/>
      <c r="QTW68" s="627"/>
      <c r="QTY68" s="627"/>
      <c r="QUA68" s="627"/>
      <c r="QUC68" s="627"/>
      <c r="QUE68" s="627"/>
      <c r="QUG68" s="627"/>
      <c r="QUI68" s="627"/>
      <c r="QUK68" s="627"/>
      <c r="QUM68" s="627"/>
      <c r="QUO68" s="627"/>
      <c r="QUQ68" s="627"/>
      <c r="QUS68" s="627"/>
      <c r="QUU68" s="627"/>
      <c r="QUW68" s="627"/>
      <c r="QUY68" s="627"/>
      <c r="QVA68" s="627"/>
      <c r="QVC68" s="627"/>
      <c r="QVE68" s="627"/>
      <c r="QVG68" s="627"/>
      <c r="QVI68" s="627"/>
      <c r="QVK68" s="627"/>
      <c r="QVM68" s="627"/>
      <c r="QVO68" s="627"/>
      <c r="QVQ68" s="627"/>
      <c r="QVS68" s="627"/>
      <c r="QVU68" s="627"/>
      <c r="QVW68" s="627"/>
      <c r="QVY68" s="627"/>
      <c r="QWA68" s="627"/>
      <c r="QWC68" s="627"/>
      <c r="QWE68" s="627"/>
      <c r="QWG68" s="627"/>
      <c r="QWI68" s="627"/>
      <c r="QWK68" s="627"/>
      <c r="QWM68" s="627"/>
      <c r="QWO68" s="627"/>
      <c r="QWQ68" s="627"/>
      <c r="QWS68" s="627"/>
      <c r="QWU68" s="627"/>
      <c r="QWW68" s="627"/>
      <c r="QWY68" s="627"/>
      <c r="QXA68" s="627"/>
      <c r="QXC68" s="627"/>
      <c r="QXE68" s="627"/>
      <c r="QXG68" s="627"/>
      <c r="QXI68" s="627"/>
      <c r="QXK68" s="627"/>
      <c r="QXM68" s="627"/>
      <c r="QXO68" s="627"/>
      <c r="QXQ68" s="627"/>
      <c r="QXS68" s="627"/>
      <c r="QXU68" s="627"/>
      <c r="QXW68" s="627"/>
      <c r="QXY68" s="627"/>
      <c r="QYA68" s="627"/>
      <c r="QYC68" s="627"/>
      <c r="QYE68" s="627"/>
      <c r="QYG68" s="627"/>
      <c r="QYI68" s="627"/>
      <c r="QYK68" s="627"/>
      <c r="QYM68" s="627"/>
      <c r="QYO68" s="627"/>
      <c r="QYQ68" s="627"/>
      <c r="QYS68" s="627"/>
      <c r="QYU68" s="627"/>
      <c r="QYW68" s="627"/>
      <c r="QYY68" s="627"/>
      <c r="QZA68" s="627"/>
      <c r="QZC68" s="627"/>
      <c r="QZE68" s="627"/>
      <c r="QZG68" s="627"/>
      <c r="QZI68" s="627"/>
      <c r="QZK68" s="627"/>
      <c r="QZM68" s="627"/>
      <c r="QZO68" s="627"/>
      <c r="QZQ68" s="627"/>
      <c r="QZS68" s="627"/>
      <c r="QZU68" s="627"/>
      <c r="QZW68" s="627"/>
      <c r="QZY68" s="627"/>
      <c r="RAA68" s="627"/>
      <c r="RAC68" s="627"/>
      <c r="RAE68" s="627"/>
      <c r="RAG68" s="627"/>
      <c r="RAI68" s="627"/>
      <c r="RAK68" s="627"/>
      <c r="RAM68" s="627"/>
      <c r="RAO68" s="627"/>
      <c r="RAQ68" s="627"/>
      <c r="RAS68" s="627"/>
      <c r="RAU68" s="627"/>
      <c r="RAW68" s="627"/>
      <c r="RAY68" s="627"/>
      <c r="RBA68" s="627"/>
      <c r="RBC68" s="627"/>
      <c r="RBE68" s="627"/>
      <c r="RBG68" s="627"/>
      <c r="RBI68" s="627"/>
      <c r="RBK68" s="627"/>
      <c r="RBM68" s="627"/>
      <c r="RBO68" s="627"/>
      <c r="RBQ68" s="627"/>
      <c r="RBS68" s="627"/>
      <c r="RBU68" s="627"/>
      <c r="RBW68" s="627"/>
      <c r="RBY68" s="627"/>
      <c r="RCA68" s="627"/>
      <c r="RCC68" s="627"/>
      <c r="RCE68" s="627"/>
      <c r="RCG68" s="627"/>
      <c r="RCI68" s="627"/>
      <c r="RCK68" s="627"/>
      <c r="RCM68" s="627"/>
      <c r="RCO68" s="627"/>
      <c r="RCQ68" s="627"/>
      <c r="RCS68" s="627"/>
      <c r="RCU68" s="627"/>
      <c r="RCW68" s="627"/>
      <c r="RCY68" s="627"/>
      <c r="RDA68" s="627"/>
      <c r="RDC68" s="627"/>
      <c r="RDE68" s="627"/>
      <c r="RDG68" s="627"/>
      <c r="RDI68" s="627"/>
      <c r="RDK68" s="627"/>
      <c r="RDM68" s="627"/>
      <c r="RDO68" s="627"/>
      <c r="RDQ68" s="627"/>
      <c r="RDS68" s="627"/>
      <c r="RDU68" s="627"/>
      <c r="RDW68" s="627"/>
      <c r="RDY68" s="627"/>
      <c r="REA68" s="627"/>
      <c r="REC68" s="627"/>
      <c r="REE68" s="627"/>
      <c r="REG68" s="627"/>
      <c r="REI68" s="627"/>
      <c r="REK68" s="627"/>
      <c r="REM68" s="627"/>
      <c r="REO68" s="627"/>
      <c r="REQ68" s="627"/>
      <c r="RES68" s="627"/>
      <c r="REU68" s="627"/>
      <c r="REW68" s="627"/>
      <c r="REY68" s="627"/>
      <c r="RFA68" s="627"/>
      <c r="RFC68" s="627"/>
      <c r="RFE68" s="627"/>
      <c r="RFG68" s="627"/>
      <c r="RFI68" s="627"/>
      <c r="RFK68" s="627"/>
      <c r="RFM68" s="627"/>
      <c r="RFO68" s="627"/>
      <c r="RFQ68" s="627"/>
      <c r="RFS68" s="627"/>
      <c r="RFU68" s="627"/>
      <c r="RFW68" s="627"/>
      <c r="RFY68" s="627"/>
      <c r="RGA68" s="627"/>
      <c r="RGC68" s="627"/>
      <c r="RGE68" s="627"/>
      <c r="RGG68" s="627"/>
      <c r="RGI68" s="627"/>
      <c r="RGK68" s="627"/>
      <c r="RGM68" s="627"/>
      <c r="RGO68" s="627"/>
      <c r="RGQ68" s="627"/>
      <c r="RGS68" s="627"/>
      <c r="RGU68" s="627"/>
      <c r="RGW68" s="627"/>
      <c r="RGY68" s="627"/>
      <c r="RHA68" s="627"/>
      <c r="RHC68" s="627"/>
      <c r="RHE68" s="627"/>
      <c r="RHG68" s="627"/>
      <c r="RHI68" s="627"/>
      <c r="RHK68" s="627"/>
      <c r="RHM68" s="627"/>
      <c r="RHO68" s="627"/>
      <c r="RHQ68" s="627"/>
      <c r="RHS68" s="627"/>
      <c r="RHU68" s="627"/>
      <c r="RHW68" s="627"/>
      <c r="RHY68" s="627"/>
      <c r="RIA68" s="627"/>
      <c r="RIC68" s="627"/>
      <c r="RIE68" s="627"/>
      <c r="RIG68" s="627"/>
      <c r="RII68" s="627"/>
      <c r="RIK68" s="627"/>
      <c r="RIM68" s="627"/>
      <c r="RIO68" s="627"/>
      <c r="RIQ68" s="627"/>
      <c r="RIS68" s="627"/>
      <c r="RIU68" s="627"/>
      <c r="RIW68" s="627"/>
      <c r="RIY68" s="627"/>
      <c r="RJA68" s="627"/>
      <c r="RJC68" s="627"/>
      <c r="RJE68" s="627"/>
      <c r="RJG68" s="627"/>
      <c r="RJI68" s="627"/>
      <c r="RJK68" s="627"/>
      <c r="RJM68" s="627"/>
      <c r="RJO68" s="627"/>
      <c r="RJQ68" s="627"/>
      <c r="RJS68" s="627"/>
      <c r="RJU68" s="627"/>
      <c r="RJW68" s="627"/>
      <c r="RJY68" s="627"/>
      <c r="RKA68" s="627"/>
      <c r="RKC68" s="627"/>
      <c r="RKE68" s="627"/>
      <c r="RKG68" s="627"/>
      <c r="RKI68" s="627"/>
      <c r="RKK68" s="627"/>
      <c r="RKM68" s="627"/>
      <c r="RKO68" s="627"/>
      <c r="RKQ68" s="627"/>
      <c r="RKS68" s="627"/>
      <c r="RKU68" s="627"/>
      <c r="RKW68" s="627"/>
      <c r="RKY68" s="627"/>
      <c r="RLA68" s="627"/>
      <c r="RLC68" s="627"/>
      <c r="RLE68" s="627"/>
      <c r="RLG68" s="627"/>
      <c r="RLI68" s="627"/>
      <c r="RLK68" s="627"/>
      <c r="RLM68" s="627"/>
      <c r="RLO68" s="627"/>
      <c r="RLQ68" s="627"/>
      <c r="RLS68" s="627"/>
      <c r="RLU68" s="627"/>
      <c r="RLW68" s="627"/>
      <c r="RLY68" s="627"/>
      <c r="RMA68" s="627"/>
      <c r="RMC68" s="627"/>
      <c r="RME68" s="627"/>
      <c r="RMG68" s="627"/>
      <c r="RMI68" s="627"/>
      <c r="RMK68" s="627"/>
      <c r="RMM68" s="627"/>
      <c r="RMO68" s="627"/>
      <c r="RMQ68" s="627"/>
      <c r="RMS68" s="627"/>
      <c r="RMU68" s="627"/>
      <c r="RMW68" s="627"/>
      <c r="RMY68" s="627"/>
      <c r="RNA68" s="627"/>
      <c r="RNC68" s="627"/>
      <c r="RNE68" s="627"/>
      <c r="RNG68" s="627"/>
      <c r="RNI68" s="627"/>
      <c r="RNK68" s="627"/>
      <c r="RNM68" s="627"/>
      <c r="RNO68" s="627"/>
      <c r="RNQ68" s="627"/>
      <c r="RNS68" s="627"/>
      <c r="RNU68" s="627"/>
      <c r="RNW68" s="627"/>
      <c r="RNY68" s="627"/>
      <c r="ROA68" s="627"/>
      <c r="ROC68" s="627"/>
      <c r="ROE68" s="627"/>
      <c r="ROG68" s="627"/>
      <c r="ROI68" s="627"/>
      <c r="ROK68" s="627"/>
      <c r="ROM68" s="627"/>
      <c r="ROO68" s="627"/>
      <c r="ROQ68" s="627"/>
      <c r="ROS68" s="627"/>
      <c r="ROU68" s="627"/>
      <c r="ROW68" s="627"/>
      <c r="ROY68" s="627"/>
      <c r="RPA68" s="627"/>
      <c r="RPC68" s="627"/>
      <c r="RPE68" s="627"/>
      <c r="RPG68" s="627"/>
      <c r="RPI68" s="627"/>
      <c r="RPK68" s="627"/>
      <c r="RPM68" s="627"/>
      <c r="RPO68" s="627"/>
      <c r="RPQ68" s="627"/>
      <c r="RPS68" s="627"/>
      <c r="RPU68" s="627"/>
      <c r="RPW68" s="627"/>
      <c r="RPY68" s="627"/>
      <c r="RQA68" s="627"/>
      <c r="RQC68" s="627"/>
      <c r="RQE68" s="627"/>
      <c r="RQG68" s="627"/>
      <c r="RQI68" s="627"/>
      <c r="RQK68" s="627"/>
      <c r="RQM68" s="627"/>
      <c r="RQO68" s="627"/>
      <c r="RQQ68" s="627"/>
      <c r="RQS68" s="627"/>
      <c r="RQU68" s="627"/>
      <c r="RQW68" s="627"/>
      <c r="RQY68" s="627"/>
      <c r="RRA68" s="627"/>
      <c r="RRC68" s="627"/>
      <c r="RRE68" s="627"/>
      <c r="RRG68" s="627"/>
      <c r="RRI68" s="627"/>
      <c r="RRK68" s="627"/>
      <c r="RRM68" s="627"/>
      <c r="RRO68" s="627"/>
      <c r="RRQ68" s="627"/>
      <c r="RRS68" s="627"/>
      <c r="RRU68" s="627"/>
      <c r="RRW68" s="627"/>
      <c r="RRY68" s="627"/>
      <c r="RSA68" s="627"/>
      <c r="RSC68" s="627"/>
      <c r="RSE68" s="627"/>
      <c r="RSG68" s="627"/>
      <c r="RSI68" s="627"/>
      <c r="RSK68" s="627"/>
      <c r="RSM68" s="627"/>
      <c r="RSO68" s="627"/>
      <c r="RSQ68" s="627"/>
      <c r="RSS68" s="627"/>
      <c r="RSU68" s="627"/>
      <c r="RSW68" s="627"/>
      <c r="RSY68" s="627"/>
      <c r="RTA68" s="627"/>
      <c r="RTC68" s="627"/>
      <c r="RTE68" s="627"/>
      <c r="RTG68" s="627"/>
      <c r="RTI68" s="627"/>
      <c r="RTK68" s="627"/>
      <c r="RTM68" s="627"/>
      <c r="RTO68" s="627"/>
      <c r="RTQ68" s="627"/>
      <c r="RTS68" s="627"/>
      <c r="RTU68" s="627"/>
      <c r="RTW68" s="627"/>
      <c r="RTY68" s="627"/>
      <c r="RUA68" s="627"/>
      <c r="RUC68" s="627"/>
      <c r="RUE68" s="627"/>
      <c r="RUG68" s="627"/>
      <c r="RUI68" s="627"/>
      <c r="RUK68" s="627"/>
      <c r="RUM68" s="627"/>
      <c r="RUO68" s="627"/>
      <c r="RUQ68" s="627"/>
      <c r="RUS68" s="627"/>
      <c r="RUU68" s="627"/>
      <c r="RUW68" s="627"/>
      <c r="RUY68" s="627"/>
      <c r="RVA68" s="627"/>
      <c r="RVC68" s="627"/>
      <c r="RVE68" s="627"/>
      <c r="RVG68" s="627"/>
      <c r="RVI68" s="627"/>
      <c r="RVK68" s="627"/>
      <c r="RVM68" s="627"/>
      <c r="RVO68" s="627"/>
      <c r="RVQ68" s="627"/>
      <c r="RVS68" s="627"/>
      <c r="RVU68" s="627"/>
      <c r="RVW68" s="627"/>
      <c r="RVY68" s="627"/>
      <c r="RWA68" s="627"/>
      <c r="RWC68" s="627"/>
      <c r="RWE68" s="627"/>
      <c r="RWG68" s="627"/>
      <c r="RWI68" s="627"/>
      <c r="RWK68" s="627"/>
      <c r="RWM68" s="627"/>
      <c r="RWO68" s="627"/>
      <c r="RWQ68" s="627"/>
      <c r="RWS68" s="627"/>
      <c r="RWU68" s="627"/>
      <c r="RWW68" s="627"/>
      <c r="RWY68" s="627"/>
      <c r="RXA68" s="627"/>
      <c r="RXC68" s="627"/>
      <c r="RXE68" s="627"/>
      <c r="RXG68" s="627"/>
      <c r="RXI68" s="627"/>
      <c r="RXK68" s="627"/>
      <c r="RXM68" s="627"/>
      <c r="RXO68" s="627"/>
      <c r="RXQ68" s="627"/>
      <c r="RXS68" s="627"/>
      <c r="RXU68" s="627"/>
      <c r="RXW68" s="627"/>
      <c r="RXY68" s="627"/>
      <c r="RYA68" s="627"/>
      <c r="RYC68" s="627"/>
      <c r="RYE68" s="627"/>
      <c r="RYG68" s="627"/>
      <c r="RYI68" s="627"/>
      <c r="RYK68" s="627"/>
      <c r="RYM68" s="627"/>
      <c r="RYO68" s="627"/>
      <c r="RYQ68" s="627"/>
      <c r="RYS68" s="627"/>
      <c r="RYU68" s="627"/>
      <c r="RYW68" s="627"/>
      <c r="RYY68" s="627"/>
      <c r="RZA68" s="627"/>
      <c r="RZC68" s="627"/>
      <c r="RZE68" s="627"/>
      <c r="RZG68" s="627"/>
      <c r="RZI68" s="627"/>
      <c r="RZK68" s="627"/>
      <c r="RZM68" s="627"/>
      <c r="RZO68" s="627"/>
      <c r="RZQ68" s="627"/>
      <c r="RZS68" s="627"/>
      <c r="RZU68" s="627"/>
      <c r="RZW68" s="627"/>
      <c r="RZY68" s="627"/>
      <c r="SAA68" s="627"/>
      <c r="SAC68" s="627"/>
      <c r="SAE68" s="627"/>
      <c r="SAG68" s="627"/>
      <c r="SAI68" s="627"/>
      <c r="SAK68" s="627"/>
      <c r="SAM68" s="627"/>
      <c r="SAO68" s="627"/>
      <c r="SAQ68" s="627"/>
      <c r="SAS68" s="627"/>
      <c r="SAU68" s="627"/>
      <c r="SAW68" s="627"/>
      <c r="SAY68" s="627"/>
      <c r="SBA68" s="627"/>
      <c r="SBC68" s="627"/>
      <c r="SBE68" s="627"/>
      <c r="SBG68" s="627"/>
      <c r="SBI68" s="627"/>
      <c r="SBK68" s="627"/>
      <c r="SBM68" s="627"/>
      <c r="SBO68" s="627"/>
      <c r="SBQ68" s="627"/>
      <c r="SBS68" s="627"/>
      <c r="SBU68" s="627"/>
      <c r="SBW68" s="627"/>
      <c r="SBY68" s="627"/>
      <c r="SCA68" s="627"/>
      <c r="SCC68" s="627"/>
      <c r="SCE68" s="627"/>
      <c r="SCG68" s="627"/>
      <c r="SCI68" s="627"/>
      <c r="SCK68" s="627"/>
      <c r="SCM68" s="627"/>
      <c r="SCO68" s="627"/>
      <c r="SCQ68" s="627"/>
      <c r="SCS68" s="627"/>
      <c r="SCU68" s="627"/>
      <c r="SCW68" s="627"/>
      <c r="SCY68" s="627"/>
      <c r="SDA68" s="627"/>
      <c r="SDC68" s="627"/>
      <c r="SDE68" s="627"/>
      <c r="SDG68" s="627"/>
      <c r="SDI68" s="627"/>
      <c r="SDK68" s="627"/>
      <c r="SDM68" s="627"/>
      <c r="SDO68" s="627"/>
      <c r="SDQ68" s="627"/>
      <c r="SDS68" s="627"/>
      <c r="SDU68" s="627"/>
      <c r="SDW68" s="627"/>
      <c r="SDY68" s="627"/>
      <c r="SEA68" s="627"/>
      <c r="SEC68" s="627"/>
      <c r="SEE68" s="627"/>
      <c r="SEG68" s="627"/>
      <c r="SEI68" s="627"/>
      <c r="SEK68" s="627"/>
      <c r="SEM68" s="627"/>
      <c r="SEO68" s="627"/>
      <c r="SEQ68" s="627"/>
      <c r="SES68" s="627"/>
      <c r="SEU68" s="627"/>
      <c r="SEW68" s="627"/>
      <c r="SEY68" s="627"/>
      <c r="SFA68" s="627"/>
      <c r="SFC68" s="627"/>
      <c r="SFE68" s="627"/>
      <c r="SFG68" s="627"/>
      <c r="SFI68" s="627"/>
      <c r="SFK68" s="627"/>
      <c r="SFM68" s="627"/>
      <c r="SFO68" s="627"/>
      <c r="SFQ68" s="627"/>
      <c r="SFS68" s="627"/>
      <c r="SFU68" s="627"/>
      <c r="SFW68" s="627"/>
      <c r="SFY68" s="627"/>
      <c r="SGA68" s="627"/>
      <c r="SGC68" s="627"/>
      <c r="SGE68" s="627"/>
      <c r="SGG68" s="627"/>
      <c r="SGI68" s="627"/>
      <c r="SGK68" s="627"/>
      <c r="SGM68" s="627"/>
      <c r="SGO68" s="627"/>
      <c r="SGQ68" s="627"/>
      <c r="SGS68" s="627"/>
      <c r="SGU68" s="627"/>
      <c r="SGW68" s="627"/>
      <c r="SGY68" s="627"/>
      <c r="SHA68" s="627"/>
      <c r="SHC68" s="627"/>
      <c r="SHE68" s="627"/>
      <c r="SHG68" s="627"/>
      <c r="SHI68" s="627"/>
      <c r="SHK68" s="627"/>
      <c r="SHM68" s="627"/>
      <c r="SHO68" s="627"/>
      <c r="SHQ68" s="627"/>
      <c r="SHS68" s="627"/>
      <c r="SHU68" s="627"/>
      <c r="SHW68" s="627"/>
      <c r="SHY68" s="627"/>
      <c r="SIA68" s="627"/>
      <c r="SIC68" s="627"/>
      <c r="SIE68" s="627"/>
      <c r="SIG68" s="627"/>
      <c r="SII68" s="627"/>
      <c r="SIK68" s="627"/>
      <c r="SIM68" s="627"/>
      <c r="SIO68" s="627"/>
      <c r="SIQ68" s="627"/>
      <c r="SIS68" s="627"/>
      <c r="SIU68" s="627"/>
      <c r="SIW68" s="627"/>
      <c r="SIY68" s="627"/>
      <c r="SJA68" s="627"/>
      <c r="SJC68" s="627"/>
      <c r="SJE68" s="627"/>
      <c r="SJG68" s="627"/>
      <c r="SJI68" s="627"/>
      <c r="SJK68" s="627"/>
      <c r="SJM68" s="627"/>
      <c r="SJO68" s="627"/>
      <c r="SJQ68" s="627"/>
      <c r="SJS68" s="627"/>
      <c r="SJU68" s="627"/>
      <c r="SJW68" s="627"/>
      <c r="SJY68" s="627"/>
      <c r="SKA68" s="627"/>
      <c r="SKC68" s="627"/>
      <c r="SKE68" s="627"/>
      <c r="SKG68" s="627"/>
      <c r="SKI68" s="627"/>
      <c r="SKK68" s="627"/>
      <c r="SKM68" s="627"/>
      <c r="SKO68" s="627"/>
      <c r="SKQ68" s="627"/>
      <c r="SKS68" s="627"/>
      <c r="SKU68" s="627"/>
      <c r="SKW68" s="627"/>
      <c r="SKY68" s="627"/>
      <c r="SLA68" s="627"/>
      <c r="SLC68" s="627"/>
      <c r="SLE68" s="627"/>
      <c r="SLG68" s="627"/>
      <c r="SLI68" s="627"/>
      <c r="SLK68" s="627"/>
      <c r="SLM68" s="627"/>
      <c r="SLO68" s="627"/>
      <c r="SLQ68" s="627"/>
      <c r="SLS68" s="627"/>
      <c r="SLU68" s="627"/>
      <c r="SLW68" s="627"/>
      <c r="SLY68" s="627"/>
      <c r="SMA68" s="627"/>
      <c r="SMC68" s="627"/>
      <c r="SME68" s="627"/>
      <c r="SMG68" s="627"/>
      <c r="SMI68" s="627"/>
      <c r="SMK68" s="627"/>
      <c r="SMM68" s="627"/>
      <c r="SMO68" s="627"/>
      <c r="SMQ68" s="627"/>
      <c r="SMS68" s="627"/>
      <c r="SMU68" s="627"/>
      <c r="SMW68" s="627"/>
      <c r="SMY68" s="627"/>
      <c r="SNA68" s="627"/>
      <c r="SNC68" s="627"/>
      <c r="SNE68" s="627"/>
      <c r="SNG68" s="627"/>
      <c r="SNI68" s="627"/>
      <c r="SNK68" s="627"/>
      <c r="SNM68" s="627"/>
      <c r="SNO68" s="627"/>
      <c r="SNQ68" s="627"/>
      <c r="SNS68" s="627"/>
      <c r="SNU68" s="627"/>
      <c r="SNW68" s="627"/>
      <c r="SNY68" s="627"/>
      <c r="SOA68" s="627"/>
      <c r="SOC68" s="627"/>
      <c r="SOE68" s="627"/>
      <c r="SOG68" s="627"/>
      <c r="SOI68" s="627"/>
      <c r="SOK68" s="627"/>
      <c r="SOM68" s="627"/>
      <c r="SOO68" s="627"/>
      <c r="SOQ68" s="627"/>
      <c r="SOS68" s="627"/>
      <c r="SOU68" s="627"/>
      <c r="SOW68" s="627"/>
      <c r="SOY68" s="627"/>
      <c r="SPA68" s="627"/>
      <c r="SPC68" s="627"/>
      <c r="SPE68" s="627"/>
      <c r="SPG68" s="627"/>
      <c r="SPI68" s="627"/>
      <c r="SPK68" s="627"/>
      <c r="SPM68" s="627"/>
      <c r="SPO68" s="627"/>
      <c r="SPQ68" s="627"/>
      <c r="SPS68" s="627"/>
      <c r="SPU68" s="627"/>
      <c r="SPW68" s="627"/>
      <c r="SPY68" s="627"/>
      <c r="SQA68" s="627"/>
      <c r="SQC68" s="627"/>
      <c r="SQE68" s="627"/>
      <c r="SQG68" s="627"/>
      <c r="SQI68" s="627"/>
      <c r="SQK68" s="627"/>
      <c r="SQM68" s="627"/>
      <c r="SQO68" s="627"/>
      <c r="SQQ68" s="627"/>
      <c r="SQS68" s="627"/>
      <c r="SQU68" s="627"/>
      <c r="SQW68" s="627"/>
      <c r="SQY68" s="627"/>
      <c r="SRA68" s="627"/>
      <c r="SRC68" s="627"/>
      <c r="SRE68" s="627"/>
      <c r="SRG68" s="627"/>
      <c r="SRI68" s="627"/>
      <c r="SRK68" s="627"/>
      <c r="SRM68" s="627"/>
      <c r="SRO68" s="627"/>
      <c r="SRQ68" s="627"/>
      <c r="SRS68" s="627"/>
      <c r="SRU68" s="627"/>
      <c r="SRW68" s="627"/>
      <c r="SRY68" s="627"/>
      <c r="SSA68" s="627"/>
      <c r="SSC68" s="627"/>
      <c r="SSE68" s="627"/>
      <c r="SSG68" s="627"/>
      <c r="SSI68" s="627"/>
      <c r="SSK68" s="627"/>
      <c r="SSM68" s="627"/>
      <c r="SSO68" s="627"/>
      <c r="SSQ68" s="627"/>
      <c r="SSS68" s="627"/>
      <c r="SSU68" s="627"/>
      <c r="SSW68" s="627"/>
      <c r="SSY68" s="627"/>
      <c r="STA68" s="627"/>
      <c r="STC68" s="627"/>
      <c r="STE68" s="627"/>
      <c r="STG68" s="627"/>
      <c r="STI68" s="627"/>
      <c r="STK68" s="627"/>
      <c r="STM68" s="627"/>
      <c r="STO68" s="627"/>
      <c r="STQ68" s="627"/>
      <c r="STS68" s="627"/>
      <c r="STU68" s="627"/>
      <c r="STW68" s="627"/>
      <c r="STY68" s="627"/>
      <c r="SUA68" s="627"/>
      <c r="SUC68" s="627"/>
      <c r="SUE68" s="627"/>
      <c r="SUG68" s="627"/>
      <c r="SUI68" s="627"/>
      <c r="SUK68" s="627"/>
      <c r="SUM68" s="627"/>
      <c r="SUO68" s="627"/>
      <c r="SUQ68" s="627"/>
      <c r="SUS68" s="627"/>
      <c r="SUU68" s="627"/>
      <c r="SUW68" s="627"/>
      <c r="SUY68" s="627"/>
      <c r="SVA68" s="627"/>
      <c r="SVC68" s="627"/>
      <c r="SVE68" s="627"/>
      <c r="SVG68" s="627"/>
      <c r="SVI68" s="627"/>
      <c r="SVK68" s="627"/>
      <c r="SVM68" s="627"/>
      <c r="SVO68" s="627"/>
      <c r="SVQ68" s="627"/>
      <c r="SVS68" s="627"/>
      <c r="SVU68" s="627"/>
      <c r="SVW68" s="627"/>
      <c r="SVY68" s="627"/>
      <c r="SWA68" s="627"/>
      <c r="SWC68" s="627"/>
      <c r="SWE68" s="627"/>
      <c r="SWG68" s="627"/>
      <c r="SWI68" s="627"/>
      <c r="SWK68" s="627"/>
      <c r="SWM68" s="627"/>
      <c r="SWO68" s="627"/>
      <c r="SWQ68" s="627"/>
      <c r="SWS68" s="627"/>
      <c r="SWU68" s="627"/>
      <c r="SWW68" s="627"/>
      <c r="SWY68" s="627"/>
      <c r="SXA68" s="627"/>
      <c r="SXC68" s="627"/>
      <c r="SXE68" s="627"/>
      <c r="SXG68" s="627"/>
      <c r="SXI68" s="627"/>
      <c r="SXK68" s="627"/>
      <c r="SXM68" s="627"/>
      <c r="SXO68" s="627"/>
      <c r="SXQ68" s="627"/>
      <c r="SXS68" s="627"/>
      <c r="SXU68" s="627"/>
      <c r="SXW68" s="627"/>
      <c r="SXY68" s="627"/>
      <c r="SYA68" s="627"/>
      <c r="SYC68" s="627"/>
      <c r="SYE68" s="627"/>
      <c r="SYG68" s="627"/>
      <c r="SYI68" s="627"/>
      <c r="SYK68" s="627"/>
      <c r="SYM68" s="627"/>
      <c r="SYO68" s="627"/>
      <c r="SYQ68" s="627"/>
      <c r="SYS68" s="627"/>
      <c r="SYU68" s="627"/>
      <c r="SYW68" s="627"/>
      <c r="SYY68" s="627"/>
      <c r="SZA68" s="627"/>
      <c r="SZC68" s="627"/>
      <c r="SZE68" s="627"/>
      <c r="SZG68" s="627"/>
      <c r="SZI68" s="627"/>
      <c r="SZK68" s="627"/>
      <c r="SZM68" s="627"/>
      <c r="SZO68" s="627"/>
      <c r="SZQ68" s="627"/>
      <c r="SZS68" s="627"/>
      <c r="SZU68" s="627"/>
      <c r="SZW68" s="627"/>
      <c r="SZY68" s="627"/>
      <c r="TAA68" s="627"/>
      <c r="TAC68" s="627"/>
      <c r="TAE68" s="627"/>
      <c r="TAG68" s="627"/>
      <c r="TAI68" s="627"/>
      <c r="TAK68" s="627"/>
      <c r="TAM68" s="627"/>
      <c r="TAO68" s="627"/>
      <c r="TAQ68" s="627"/>
      <c r="TAS68" s="627"/>
      <c r="TAU68" s="627"/>
      <c r="TAW68" s="627"/>
      <c r="TAY68" s="627"/>
      <c r="TBA68" s="627"/>
      <c r="TBC68" s="627"/>
      <c r="TBE68" s="627"/>
      <c r="TBG68" s="627"/>
      <c r="TBI68" s="627"/>
      <c r="TBK68" s="627"/>
      <c r="TBM68" s="627"/>
      <c r="TBO68" s="627"/>
      <c r="TBQ68" s="627"/>
      <c r="TBS68" s="627"/>
      <c r="TBU68" s="627"/>
      <c r="TBW68" s="627"/>
      <c r="TBY68" s="627"/>
      <c r="TCA68" s="627"/>
      <c r="TCC68" s="627"/>
      <c r="TCE68" s="627"/>
      <c r="TCG68" s="627"/>
      <c r="TCI68" s="627"/>
      <c r="TCK68" s="627"/>
      <c r="TCM68" s="627"/>
      <c r="TCO68" s="627"/>
      <c r="TCQ68" s="627"/>
      <c r="TCS68" s="627"/>
      <c r="TCU68" s="627"/>
      <c r="TCW68" s="627"/>
      <c r="TCY68" s="627"/>
      <c r="TDA68" s="627"/>
      <c r="TDC68" s="627"/>
      <c r="TDE68" s="627"/>
      <c r="TDG68" s="627"/>
      <c r="TDI68" s="627"/>
      <c r="TDK68" s="627"/>
      <c r="TDM68" s="627"/>
      <c r="TDO68" s="627"/>
      <c r="TDQ68" s="627"/>
      <c r="TDS68" s="627"/>
      <c r="TDU68" s="627"/>
      <c r="TDW68" s="627"/>
      <c r="TDY68" s="627"/>
      <c r="TEA68" s="627"/>
      <c r="TEC68" s="627"/>
      <c r="TEE68" s="627"/>
      <c r="TEG68" s="627"/>
      <c r="TEI68" s="627"/>
      <c r="TEK68" s="627"/>
      <c r="TEM68" s="627"/>
      <c r="TEO68" s="627"/>
      <c r="TEQ68" s="627"/>
      <c r="TES68" s="627"/>
      <c r="TEU68" s="627"/>
      <c r="TEW68" s="627"/>
      <c r="TEY68" s="627"/>
      <c r="TFA68" s="627"/>
      <c r="TFC68" s="627"/>
      <c r="TFE68" s="627"/>
      <c r="TFG68" s="627"/>
      <c r="TFI68" s="627"/>
      <c r="TFK68" s="627"/>
      <c r="TFM68" s="627"/>
      <c r="TFO68" s="627"/>
      <c r="TFQ68" s="627"/>
      <c r="TFS68" s="627"/>
      <c r="TFU68" s="627"/>
      <c r="TFW68" s="627"/>
      <c r="TFY68" s="627"/>
      <c r="TGA68" s="627"/>
      <c r="TGC68" s="627"/>
      <c r="TGE68" s="627"/>
      <c r="TGG68" s="627"/>
      <c r="TGI68" s="627"/>
      <c r="TGK68" s="627"/>
      <c r="TGM68" s="627"/>
      <c r="TGO68" s="627"/>
      <c r="TGQ68" s="627"/>
      <c r="TGS68" s="627"/>
      <c r="TGU68" s="627"/>
      <c r="TGW68" s="627"/>
      <c r="TGY68" s="627"/>
      <c r="THA68" s="627"/>
      <c r="THC68" s="627"/>
      <c r="THE68" s="627"/>
      <c r="THG68" s="627"/>
      <c r="THI68" s="627"/>
      <c r="THK68" s="627"/>
      <c r="THM68" s="627"/>
      <c r="THO68" s="627"/>
      <c r="THQ68" s="627"/>
      <c r="THS68" s="627"/>
      <c r="THU68" s="627"/>
      <c r="THW68" s="627"/>
      <c r="THY68" s="627"/>
      <c r="TIA68" s="627"/>
      <c r="TIC68" s="627"/>
      <c r="TIE68" s="627"/>
      <c r="TIG68" s="627"/>
      <c r="TII68" s="627"/>
      <c r="TIK68" s="627"/>
      <c r="TIM68" s="627"/>
      <c r="TIO68" s="627"/>
      <c r="TIQ68" s="627"/>
      <c r="TIS68" s="627"/>
      <c r="TIU68" s="627"/>
      <c r="TIW68" s="627"/>
      <c r="TIY68" s="627"/>
      <c r="TJA68" s="627"/>
      <c r="TJC68" s="627"/>
      <c r="TJE68" s="627"/>
      <c r="TJG68" s="627"/>
      <c r="TJI68" s="627"/>
      <c r="TJK68" s="627"/>
      <c r="TJM68" s="627"/>
      <c r="TJO68" s="627"/>
      <c r="TJQ68" s="627"/>
      <c r="TJS68" s="627"/>
      <c r="TJU68" s="627"/>
      <c r="TJW68" s="627"/>
      <c r="TJY68" s="627"/>
      <c r="TKA68" s="627"/>
      <c r="TKC68" s="627"/>
      <c r="TKE68" s="627"/>
      <c r="TKG68" s="627"/>
      <c r="TKI68" s="627"/>
      <c r="TKK68" s="627"/>
      <c r="TKM68" s="627"/>
      <c r="TKO68" s="627"/>
      <c r="TKQ68" s="627"/>
      <c r="TKS68" s="627"/>
      <c r="TKU68" s="627"/>
      <c r="TKW68" s="627"/>
      <c r="TKY68" s="627"/>
      <c r="TLA68" s="627"/>
      <c r="TLC68" s="627"/>
      <c r="TLE68" s="627"/>
      <c r="TLG68" s="627"/>
      <c r="TLI68" s="627"/>
      <c r="TLK68" s="627"/>
      <c r="TLM68" s="627"/>
      <c r="TLO68" s="627"/>
      <c r="TLQ68" s="627"/>
      <c r="TLS68" s="627"/>
      <c r="TLU68" s="627"/>
      <c r="TLW68" s="627"/>
      <c r="TLY68" s="627"/>
      <c r="TMA68" s="627"/>
      <c r="TMC68" s="627"/>
      <c r="TME68" s="627"/>
      <c r="TMG68" s="627"/>
      <c r="TMI68" s="627"/>
      <c r="TMK68" s="627"/>
      <c r="TMM68" s="627"/>
      <c r="TMO68" s="627"/>
      <c r="TMQ68" s="627"/>
      <c r="TMS68" s="627"/>
      <c r="TMU68" s="627"/>
      <c r="TMW68" s="627"/>
      <c r="TMY68" s="627"/>
      <c r="TNA68" s="627"/>
      <c r="TNC68" s="627"/>
      <c r="TNE68" s="627"/>
      <c r="TNG68" s="627"/>
      <c r="TNI68" s="627"/>
      <c r="TNK68" s="627"/>
      <c r="TNM68" s="627"/>
      <c r="TNO68" s="627"/>
      <c r="TNQ68" s="627"/>
      <c r="TNS68" s="627"/>
      <c r="TNU68" s="627"/>
      <c r="TNW68" s="627"/>
      <c r="TNY68" s="627"/>
      <c r="TOA68" s="627"/>
      <c r="TOC68" s="627"/>
      <c r="TOE68" s="627"/>
      <c r="TOG68" s="627"/>
      <c r="TOI68" s="627"/>
      <c r="TOK68" s="627"/>
      <c r="TOM68" s="627"/>
      <c r="TOO68" s="627"/>
      <c r="TOQ68" s="627"/>
      <c r="TOS68" s="627"/>
      <c r="TOU68" s="627"/>
      <c r="TOW68" s="627"/>
      <c r="TOY68" s="627"/>
      <c r="TPA68" s="627"/>
      <c r="TPC68" s="627"/>
      <c r="TPE68" s="627"/>
      <c r="TPG68" s="627"/>
      <c r="TPI68" s="627"/>
      <c r="TPK68" s="627"/>
      <c r="TPM68" s="627"/>
      <c r="TPO68" s="627"/>
      <c r="TPQ68" s="627"/>
      <c r="TPS68" s="627"/>
      <c r="TPU68" s="627"/>
      <c r="TPW68" s="627"/>
      <c r="TPY68" s="627"/>
      <c r="TQA68" s="627"/>
      <c r="TQC68" s="627"/>
      <c r="TQE68" s="627"/>
      <c r="TQG68" s="627"/>
      <c r="TQI68" s="627"/>
      <c r="TQK68" s="627"/>
      <c r="TQM68" s="627"/>
      <c r="TQO68" s="627"/>
      <c r="TQQ68" s="627"/>
      <c r="TQS68" s="627"/>
      <c r="TQU68" s="627"/>
      <c r="TQW68" s="627"/>
      <c r="TQY68" s="627"/>
      <c r="TRA68" s="627"/>
      <c r="TRC68" s="627"/>
      <c r="TRE68" s="627"/>
      <c r="TRG68" s="627"/>
      <c r="TRI68" s="627"/>
      <c r="TRK68" s="627"/>
      <c r="TRM68" s="627"/>
      <c r="TRO68" s="627"/>
      <c r="TRQ68" s="627"/>
      <c r="TRS68" s="627"/>
      <c r="TRU68" s="627"/>
      <c r="TRW68" s="627"/>
      <c r="TRY68" s="627"/>
      <c r="TSA68" s="627"/>
      <c r="TSC68" s="627"/>
      <c r="TSE68" s="627"/>
      <c r="TSG68" s="627"/>
      <c r="TSI68" s="627"/>
      <c r="TSK68" s="627"/>
      <c r="TSM68" s="627"/>
      <c r="TSO68" s="627"/>
      <c r="TSQ68" s="627"/>
      <c r="TSS68" s="627"/>
      <c r="TSU68" s="627"/>
      <c r="TSW68" s="627"/>
      <c r="TSY68" s="627"/>
      <c r="TTA68" s="627"/>
      <c r="TTC68" s="627"/>
      <c r="TTE68" s="627"/>
      <c r="TTG68" s="627"/>
      <c r="TTI68" s="627"/>
      <c r="TTK68" s="627"/>
      <c r="TTM68" s="627"/>
      <c r="TTO68" s="627"/>
      <c r="TTQ68" s="627"/>
      <c r="TTS68" s="627"/>
      <c r="TTU68" s="627"/>
      <c r="TTW68" s="627"/>
      <c r="TTY68" s="627"/>
      <c r="TUA68" s="627"/>
      <c r="TUC68" s="627"/>
      <c r="TUE68" s="627"/>
      <c r="TUG68" s="627"/>
      <c r="TUI68" s="627"/>
      <c r="TUK68" s="627"/>
      <c r="TUM68" s="627"/>
      <c r="TUO68" s="627"/>
      <c r="TUQ68" s="627"/>
      <c r="TUS68" s="627"/>
      <c r="TUU68" s="627"/>
      <c r="TUW68" s="627"/>
      <c r="TUY68" s="627"/>
      <c r="TVA68" s="627"/>
      <c r="TVC68" s="627"/>
      <c r="TVE68" s="627"/>
      <c r="TVG68" s="627"/>
      <c r="TVI68" s="627"/>
      <c r="TVK68" s="627"/>
      <c r="TVM68" s="627"/>
      <c r="TVO68" s="627"/>
      <c r="TVQ68" s="627"/>
      <c r="TVS68" s="627"/>
      <c r="TVU68" s="627"/>
      <c r="TVW68" s="627"/>
      <c r="TVY68" s="627"/>
      <c r="TWA68" s="627"/>
      <c r="TWC68" s="627"/>
      <c r="TWE68" s="627"/>
      <c r="TWG68" s="627"/>
      <c r="TWI68" s="627"/>
      <c r="TWK68" s="627"/>
      <c r="TWM68" s="627"/>
      <c r="TWO68" s="627"/>
      <c r="TWQ68" s="627"/>
      <c r="TWS68" s="627"/>
      <c r="TWU68" s="627"/>
      <c r="TWW68" s="627"/>
      <c r="TWY68" s="627"/>
      <c r="TXA68" s="627"/>
      <c r="TXC68" s="627"/>
      <c r="TXE68" s="627"/>
      <c r="TXG68" s="627"/>
      <c r="TXI68" s="627"/>
      <c r="TXK68" s="627"/>
      <c r="TXM68" s="627"/>
      <c r="TXO68" s="627"/>
      <c r="TXQ68" s="627"/>
      <c r="TXS68" s="627"/>
      <c r="TXU68" s="627"/>
      <c r="TXW68" s="627"/>
      <c r="TXY68" s="627"/>
      <c r="TYA68" s="627"/>
      <c r="TYC68" s="627"/>
      <c r="TYE68" s="627"/>
      <c r="TYG68" s="627"/>
      <c r="TYI68" s="627"/>
      <c r="TYK68" s="627"/>
      <c r="TYM68" s="627"/>
      <c r="TYO68" s="627"/>
      <c r="TYQ68" s="627"/>
      <c r="TYS68" s="627"/>
      <c r="TYU68" s="627"/>
      <c r="TYW68" s="627"/>
      <c r="TYY68" s="627"/>
      <c r="TZA68" s="627"/>
      <c r="TZC68" s="627"/>
      <c r="TZE68" s="627"/>
      <c r="TZG68" s="627"/>
      <c r="TZI68" s="627"/>
      <c r="TZK68" s="627"/>
      <c r="TZM68" s="627"/>
      <c r="TZO68" s="627"/>
      <c r="TZQ68" s="627"/>
      <c r="TZS68" s="627"/>
      <c r="TZU68" s="627"/>
      <c r="TZW68" s="627"/>
      <c r="TZY68" s="627"/>
      <c r="UAA68" s="627"/>
      <c r="UAC68" s="627"/>
      <c r="UAE68" s="627"/>
      <c r="UAG68" s="627"/>
      <c r="UAI68" s="627"/>
      <c r="UAK68" s="627"/>
      <c r="UAM68" s="627"/>
      <c r="UAO68" s="627"/>
      <c r="UAQ68" s="627"/>
      <c r="UAS68" s="627"/>
      <c r="UAU68" s="627"/>
      <c r="UAW68" s="627"/>
      <c r="UAY68" s="627"/>
      <c r="UBA68" s="627"/>
      <c r="UBC68" s="627"/>
      <c r="UBE68" s="627"/>
      <c r="UBG68" s="627"/>
      <c r="UBI68" s="627"/>
      <c r="UBK68" s="627"/>
      <c r="UBM68" s="627"/>
      <c r="UBO68" s="627"/>
      <c r="UBQ68" s="627"/>
      <c r="UBS68" s="627"/>
      <c r="UBU68" s="627"/>
      <c r="UBW68" s="627"/>
      <c r="UBY68" s="627"/>
      <c r="UCA68" s="627"/>
      <c r="UCC68" s="627"/>
      <c r="UCE68" s="627"/>
      <c r="UCG68" s="627"/>
      <c r="UCI68" s="627"/>
      <c r="UCK68" s="627"/>
      <c r="UCM68" s="627"/>
      <c r="UCO68" s="627"/>
      <c r="UCQ68" s="627"/>
      <c r="UCS68" s="627"/>
      <c r="UCU68" s="627"/>
      <c r="UCW68" s="627"/>
      <c r="UCY68" s="627"/>
      <c r="UDA68" s="627"/>
      <c r="UDC68" s="627"/>
      <c r="UDE68" s="627"/>
      <c r="UDG68" s="627"/>
      <c r="UDI68" s="627"/>
      <c r="UDK68" s="627"/>
      <c r="UDM68" s="627"/>
      <c r="UDO68" s="627"/>
      <c r="UDQ68" s="627"/>
      <c r="UDS68" s="627"/>
      <c r="UDU68" s="627"/>
      <c r="UDW68" s="627"/>
      <c r="UDY68" s="627"/>
      <c r="UEA68" s="627"/>
      <c r="UEC68" s="627"/>
      <c r="UEE68" s="627"/>
      <c r="UEG68" s="627"/>
      <c r="UEI68" s="627"/>
      <c r="UEK68" s="627"/>
      <c r="UEM68" s="627"/>
      <c r="UEO68" s="627"/>
      <c r="UEQ68" s="627"/>
      <c r="UES68" s="627"/>
      <c r="UEU68" s="627"/>
      <c r="UEW68" s="627"/>
      <c r="UEY68" s="627"/>
      <c r="UFA68" s="627"/>
      <c r="UFC68" s="627"/>
      <c r="UFE68" s="627"/>
      <c r="UFG68" s="627"/>
      <c r="UFI68" s="627"/>
      <c r="UFK68" s="627"/>
      <c r="UFM68" s="627"/>
      <c r="UFO68" s="627"/>
      <c r="UFQ68" s="627"/>
      <c r="UFS68" s="627"/>
      <c r="UFU68" s="627"/>
      <c r="UFW68" s="627"/>
      <c r="UFY68" s="627"/>
      <c r="UGA68" s="627"/>
      <c r="UGC68" s="627"/>
      <c r="UGE68" s="627"/>
      <c r="UGG68" s="627"/>
      <c r="UGI68" s="627"/>
      <c r="UGK68" s="627"/>
      <c r="UGM68" s="627"/>
      <c r="UGO68" s="627"/>
      <c r="UGQ68" s="627"/>
      <c r="UGS68" s="627"/>
      <c r="UGU68" s="627"/>
      <c r="UGW68" s="627"/>
      <c r="UGY68" s="627"/>
      <c r="UHA68" s="627"/>
      <c r="UHC68" s="627"/>
      <c r="UHE68" s="627"/>
      <c r="UHG68" s="627"/>
      <c r="UHI68" s="627"/>
      <c r="UHK68" s="627"/>
      <c r="UHM68" s="627"/>
      <c r="UHO68" s="627"/>
      <c r="UHQ68" s="627"/>
      <c r="UHS68" s="627"/>
      <c r="UHU68" s="627"/>
      <c r="UHW68" s="627"/>
      <c r="UHY68" s="627"/>
      <c r="UIA68" s="627"/>
      <c r="UIC68" s="627"/>
      <c r="UIE68" s="627"/>
      <c r="UIG68" s="627"/>
      <c r="UII68" s="627"/>
      <c r="UIK68" s="627"/>
      <c r="UIM68" s="627"/>
      <c r="UIO68" s="627"/>
      <c r="UIQ68" s="627"/>
      <c r="UIS68" s="627"/>
      <c r="UIU68" s="627"/>
      <c r="UIW68" s="627"/>
      <c r="UIY68" s="627"/>
      <c r="UJA68" s="627"/>
      <c r="UJC68" s="627"/>
      <c r="UJE68" s="627"/>
      <c r="UJG68" s="627"/>
      <c r="UJI68" s="627"/>
      <c r="UJK68" s="627"/>
      <c r="UJM68" s="627"/>
      <c r="UJO68" s="627"/>
      <c r="UJQ68" s="627"/>
      <c r="UJS68" s="627"/>
      <c r="UJU68" s="627"/>
      <c r="UJW68" s="627"/>
      <c r="UJY68" s="627"/>
      <c r="UKA68" s="627"/>
      <c r="UKC68" s="627"/>
      <c r="UKE68" s="627"/>
      <c r="UKG68" s="627"/>
      <c r="UKI68" s="627"/>
      <c r="UKK68" s="627"/>
      <c r="UKM68" s="627"/>
      <c r="UKO68" s="627"/>
      <c r="UKQ68" s="627"/>
      <c r="UKS68" s="627"/>
      <c r="UKU68" s="627"/>
      <c r="UKW68" s="627"/>
      <c r="UKY68" s="627"/>
      <c r="ULA68" s="627"/>
      <c r="ULC68" s="627"/>
      <c r="ULE68" s="627"/>
      <c r="ULG68" s="627"/>
      <c r="ULI68" s="627"/>
      <c r="ULK68" s="627"/>
      <c r="ULM68" s="627"/>
      <c r="ULO68" s="627"/>
      <c r="ULQ68" s="627"/>
      <c r="ULS68" s="627"/>
      <c r="ULU68" s="627"/>
      <c r="ULW68" s="627"/>
      <c r="ULY68" s="627"/>
      <c r="UMA68" s="627"/>
      <c r="UMC68" s="627"/>
      <c r="UME68" s="627"/>
      <c r="UMG68" s="627"/>
      <c r="UMI68" s="627"/>
      <c r="UMK68" s="627"/>
      <c r="UMM68" s="627"/>
      <c r="UMO68" s="627"/>
      <c r="UMQ68" s="627"/>
      <c r="UMS68" s="627"/>
      <c r="UMU68" s="627"/>
      <c r="UMW68" s="627"/>
      <c r="UMY68" s="627"/>
      <c r="UNA68" s="627"/>
      <c r="UNC68" s="627"/>
      <c r="UNE68" s="627"/>
      <c r="UNG68" s="627"/>
      <c r="UNI68" s="627"/>
      <c r="UNK68" s="627"/>
      <c r="UNM68" s="627"/>
      <c r="UNO68" s="627"/>
      <c r="UNQ68" s="627"/>
      <c r="UNS68" s="627"/>
      <c r="UNU68" s="627"/>
      <c r="UNW68" s="627"/>
      <c r="UNY68" s="627"/>
      <c r="UOA68" s="627"/>
      <c r="UOC68" s="627"/>
      <c r="UOE68" s="627"/>
      <c r="UOG68" s="627"/>
      <c r="UOI68" s="627"/>
      <c r="UOK68" s="627"/>
      <c r="UOM68" s="627"/>
      <c r="UOO68" s="627"/>
      <c r="UOQ68" s="627"/>
      <c r="UOS68" s="627"/>
      <c r="UOU68" s="627"/>
      <c r="UOW68" s="627"/>
      <c r="UOY68" s="627"/>
      <c r="UPA68" s="627"/>
      <c r="UPC68" s="627"/>
      <c r="UPE68" s="627"/>
      <c r="UPG68" s="627"/>
      <c r="UPI68" s="627"/>
      <c r="UPK68" s="627"/>
      <c r="UPM68" s="627"/>
      <c r="UPO68" s="627"/>
      <c r="UPQ68" s="627"/>
      <c r="UPS68" s="627"/>
      <c r="UPU68" s="627"/>
      <c r="UPW68" s="627"/>
      <c r="UPY68" s="627"/>
      <c r="UQA68" s="627"/>
      <c r="UQC68" s="627"/>
      <c r="UQE68" s="627"/>
      <c r="UQG68" s="627"/>
      <c r="UQI68" s="627"/>
      <c r="UQK68" s="627"/>
      <c r="UQM68" s="627"/>
      <c r="UQO68" s="627"/>
      <c r="UQQ68" s="627"/>
      <c r="UQS68" s="627"/>
      <c r="UQU68" s="627"/>
      <c r="UQW68" s="627"/>
      <c r="UQY68" s="627"/>
      <c r="URA68" s="627"/>
      <c r="URC68" s="627"/>
      <c r="URE68" s="627"/>
      <c r="URG68" s="627"/>
      <c r="URI68" s="627"/>
      <c r="URK68" s="627"/>
      <c r="URM68" s="627"/>
      <c r="URO68" s="627"/>
      <c r="URQ68" s="627"/>
      <c r="URS68" s="627"/>
      <c r="URU68" s="627"/>
      <c r="URW68" s="627"/>
      <c r="URY68" s="627"/>
      <c r="USA68" s="627"/>
      <c r="USC68" s="627"/>
      <c r="USE68" s="627"/>
      <c r="USG68" s="627"/>
      <c r="USI68" s="627"/>
      <c r="USK68" s="627"/>
      <c r="USM68" s="627"/>
      <c r="USO68" s="627"/>
      <c r="USQ68" s="627"/>
      <c r="USS68" s="627"/>
      <c r="USU68" s="627"/>
      <c r="USW68" s="627"/>
      <c r="USY68" s="627"/>
      <c r="UTA68" s="627"/>
      <c r="UTC68" s="627"/>
      <c r="UTE68" s="627"/>
      <c r="UTG68" s="627"/>
      <c r="UTI68" s="627"/>
      <c r="UTK68" s="627"/>
      <c r="UTM68" s="627"/>
      <c r="UTO68" s="627"/>
      <c r="UTQ68" s="627"/>
      <c r="UTS68" s="627"/>
      <c r="UTU68" s="627"/>
      <c r="UTW68" s="627"/>
      <c r="UTY68" s="627"/>
      <c r="UUA68" s="627"/>
      <c r="UUC68" s="627"/>
      <c r="UUE68" s="627"/>
      <c r="UUG68" s="627"/>
      <c r="UUI68" s="627"/>
      <c r="UUK68" s="627"/>
      <c r="UUM68" s="627"/>
      <c r="UUO68" s="627"/>
      <c r="UUQ68" s="627"/>
      <c r="UUS68" s="627"/>
      <c r="UUU68" s="627"/>
      <c r="UUW68" s="627"/>
      <c r="UUY68" s="627"/>
      <c r="UVA68" s="627"/>
      <c r="UVC68" s="627"/>
      <c r="UVE68" s="627"/>
      <c r="UVG68" s="627"/>
      <c r="UVI68" s="627"/>
      <c r="UVK68" s="627"/>
      <c r="UVM68" s="627"/>
      <c r="UVO68" s="627"/>
      <c r="UVQ68" s="627"/>
      <c r="UVS68" s="627"/>
      <c r="UVU68" s="627"/>
      <c r="UVW68" s="627"/>
      <c r="UVY68" s="627"/>
      <c r="UWA68" s="627"/>
      <c r="UWC68" s="627"/>
      <c r="UWE68" s="627"/>
      <c r="UWG68" s="627"/>
      <c r="UWI68" s="627"/>
      <c r="UWK68" s="627"/>
      <c r="UWM68" s="627"/>
      <c r="UWO68" s="627"/>
      <c r="UWQ68" s="627"/>
      <c r="UWS68" s="627"/>
      <c r="UWU68" s="627"/>
      <c r="UWW68" s="627"/>
      <c r="UWY68" s="627"/>
      <c r="UXA68" s="627"/>
      <c r="UXC68" s="627"/>
      <c r="UXE68" s="627"/>
      <c r="UXG68" s="627"/>
      <c r="UXI68" s="627"/>
      <c r="UXK68" s="627"/>
      <c r="UXM68" s="627"/>
      <c r="UXO68" s="627"/>
      <c r="UXQ68" s="627"/>
      <c r="UXS68" s="627"/>
      <c r="UXU68" s="627"/>
      <c r="UXW68" s="627"/>
      <c r="UXY68" s="627"/>
      <c r="UYA68" s="627"/>
      <c r="UYC68" s="627"/>
      <c r="UYE68" s="627"/>
      <c r="UYG68" s="627"/>
      <c r="UYI68" s="627"/>
      <c r="UYK68" s="627"/>
      <c r="UYM68" s="627"/>
      <c r="UYO68" s="627"/>
      <c r="UYQ68" s="627"/>
      <c r="UYS68" s="627"/>
      <c r="UYU68" s="627"/>
      <c r="UYW68" s="627"/>
      <c r="UYY68" s="627"/>
      <c r="UZA68" s="627"/>
      <c r="UZC68" s="627"/>
      <c r="UZE68" s="627"/>
      <c r="UZG68" s="627"/>
      <c r="UZI68" s="627"/>
      <c r="UZK68" s="627"/>
      <c r="UZM68" s="627"/>
      <c r="UZO68" s="627"/>
      <c r="UZQ68" s="627"/>
      <c r="UZS68" s="627"/>
      <c r="UZU68" s="627"/>
      <c r="UZW68" s="627"/>
      <c r="UZY68" s="627"/>
      <c r="VAA68" s="627"/>
      <c r="VAC68" s="627"/>
      <c r="VAE68" s="627"/>
      <c r="VAG68" s="627"/>
      <c r="VAI68" s="627"/>
      <c r="VAK68" s="627"/>
      <c r="VAM68" s="627"/>
      <c r="VAO68" s="627"/>
      <c r="VAQ68" s="627"/>
      <c r="VAS68" s="627"/>
      <c r="VAU68" s="627"/>
      <c r="VAW68" s="627"/>
      <c r="VAY68" s="627"/>
      <c r="VBA68" s="627"/>
      <c r="VBC68" s="627"/>
      <c r="VBE68" s="627"/>
      <c r="VBG68" s="627"/>
      <c r="VBI68" s="627"/>
      <c r="VBK68" s="627"/>
      <c r="VBM68" s="627"/>
      <c r="VBO68" s="627"/>
      <c r="VBQ68" s="627"/>
      <c r="VBS68" s="627"/>
      <c r="VBU68" s="627"/>
      <c r="VBW68" s="627"/>
      <c r="VBY68" s="627"/>
      <c r="VCA68" s="627"/>
      <c r="VCC68" s="627"/>
      <c r="VCE68" s="627"/>
      <c r="VCG68" s="627"/>
      <c r="VCI68" s="627"/>
      <c r="VCK68" s="627"/>
      <c r="VCM68" s="627"/>
      <c r="VCO68" s="627"/>
      <c r="VCQ68" s="627"/>
      <c r="VCS68" s="627"/>
      <c r="VCU68" s="627"/>
      <c r="VCW68" s="627"/>
      <c r="VCY68" s="627"/>
      <c r="VDA68" s="627"/>
      <c r="VDC68" s="627"/>
      <c r="VDE68" s="627"/>
      <c r="VDG68" s="627"/>
      <c r="VDI68" s="627"/>
      <c r="VDK68" s="627"/>
      <c r="VDM68" s="627"/>
      <c r="VDO68" s="627"/>
      <c r="VDQ68" s="627"/>
      <c r="VDS68" s="627"/>
      <c r="VDU68" s="627"/>
      <c r="VDW68" s="627"/>
      <c r="VDY68" s="627"/>
      <c r="VEA68" s="627"/>
      <c r="VEC68" s="627"/>
      <c r="VEE68" s="627"/>
      <c r="VEG68" s="627"/>
      <c r="VEI68" s="627"/>
      <c r="VEK68" s="627"/>
      <c r="VEM68" s="627"/>
      <c r="VEO68" s="627"/>
      <c r="VEQ68" s="627"/>
      <c r="VES68" s="627"/>
      <c r="VEU68" s="627"/>
      <c r="VEW68" s="627"/>
      <c r="VEY68" s="627"/>
      <c r="VFA68" s="627"/>
      <c r="VFC68" s="627"/>
      <c r="VFE68" s="627"/>
      <c r="VFG68" s="627"/>
      <c r="VFI68" s="627"/>
      <c r="VFK68" s="627"/>
      <c r="VFM68" s="627"/>
      <c r="VFO68" s="627"/>
      <c r="VFQ68" s="627"/>
      <c r="VFS68" s="627"/>
      <c r="VFU68" s="627"/>
      <c r="VFW68" s="627"/>
      <c r="VFY68" s="627"/>
      <c r="VGA68" s="627"/>
      <c r="VGC68" s="627"/>
      <c r="VGE68" s="627"/>
      <c r="VGG68" s="627"/>
      <c r="VGI68" s="627"/>
      <c r="VGK68" s="627"/>
      <c r="VGM68" s="627"/>
      <c r="VGO68" s="627"/>
      <c r="VGQ68" s="627"/>
      <c r="VGS68" s="627"/>
      <c r="VGU68" s="627"/>
      <c r="VGW68" s="627"/>
      <c r="VGY68" s="627"/>
      <c r="VHA68" s="627"/>
      <c r="VHC68" s="627"/>
      <c r="VHE68" s="627"/>
      <c r="VHG68" s="627"/>
      <c r="VHI68" s="627"/>
      <c r="VHK68" s="627"/>
      <c r="VHM68" s="627"/>
      <c r="VHO68" s="627"/>
      <c r="VHQ68" s="627"/>
      <c r="VHS68" s="627"/>
      <c r="VHU68" s="627"/>
      <c r="VHW68" s="627"/>
      <c r="VHY68" s="627"/>
      <c r="VIA68" s="627"/>
      <c r="VIC68" s="627"/>
      <c r="VIE68" s="627"/>
      <c r="VIG68" s="627"/>
      <c r="VII68" s="627"/>
      <c r="VIK68" s="627"/>
      <c r="VIM68" s="627"/>
      <c r="VIO68" s="627"/>
      <c r="VIQ68" s="627"/>
      <c r="VIS68" s="627"/>
      <c r="VIU68" s="627"/>
      <c r="VIW68" s="627"/>
      <c r="VIY68" s="627"/>
      <c r="VJA68" s="627"/>
      <c r="VJC68" s="627"/>
      <c r="VJE68" s="627"/>
      <c r="VJG68" s="627"/>
      <c r="VJI68" s="627"/>
      <c r="VJK68" s="627"/>
      <c r="VJM68" s="627"/>
      <c r="VJO68" s="627"/>
      <c r="VJQ68" s="627"/>
      <c r="VJS68" s="627"/>
      <c r="VJU68" s="627"/>
      <c r="VJW68" s="627"/>
      <c r="VJY68" s="627"/>
      <c r="VKA68" s="627"/>
      <c r="VKC68" s="627"/>
      <c r="VKE68" s="627"/>
      <c r="VKG68" s="627"/>
      <c r="VKI68" s="627"/>
      <c r="VKK68" s="627"/>
      <c r="VKM68" s="627"/>
      <c r="VKO68" s="627"/>
      <c r="VKQ68" s="627"/>
      <c r="VKS68" s="627"/>
      <c r="VKU68" s="627"/>
      <c r="VKW68" s="627"/>
      <c r="VKY68" s="627"/>
      <c r="VLA68" s="627"/>
      <c r="VLC68" s="627"/>
      <c r="VLE68" s="627"/>
      <c r="VLG68" s="627"/>
      <c r="VLI68" s="627"/>
      <c r="VLK68" s="627"/>
      <c r="VLM68" s="627"/>
      <c r="VLO68" s="627"/>
      <c r="VLQ68" s="627"/>
      <c r="VLS68" s="627"/>
      <c r="VLU68" s="627"/>
      <c r="VLW68" s="627"/>
      <c r="VLY68" s="627"/>
      <c r="VMA68" s="627"/>
      <c r="VMC68" s="627"/>
      <c r="VME68" s="627"/>
      <c r="VMG68" s="627"/>
      <c r="VMI68" s="627"/>
      <c r="VMK68" s="627"/>
      <c r="VMM68" s="627"/>
      <c r="VMO68" s="627"/>
      <c r="VMQ68" s="627"/>
      <c r="VMS68" s="627"/>
      <c r="VMU68" s="627"/>
      <c r="VMW68" s="627"/>
      <c r="VMY68" s="627"/>
      <c r="VNA68" s="627"/>
      <c r="VNC68" s="627"/>
      <c r="VNE68" s="627"/>
      <c r="VNG68" s="627"/>
      <c r="VNI68" s="627"/>
      <c r="VNK68" s="627"/>
      <c r="VNM68" s="627"/>
      <c r="VNO68" s="627"/>
      <c r="VNQ68" s="627"/>
      <c r="VNS68" s="627"/>
      <c r="VNU68" s="627"/>
      <c r="VNW68" s="627"/>
      <c r="VNY68" s="627"/>
      <c r="VOA68" s="627"/>
      <c r="VOC68" s="627"/>
      <c r="VOE68" s="627"/>
      <c r="VOG68" s="627"/>
      <c r="VOI68" s="627"/>
      <c r="VOK68" s="627"/>
      <c r="VOM68" s="627"/>
      <c r="VOO68" s="627"/>
      <c r="VOQ68" s="627"/>
      <c r="VOS68" s="627"/>
      <c r="VOU68" s="627"/>
      <c r="VOW68" s="627"/>
      <c r="VOY68" s="627"/>
      <c r="VPA68" s="627"/>
      <c r="VPC68" s="627"/>
      <c r="VPE68" s="627"/>
      <c r="VPG68" s="627"/>
      <c r="VPI68" s="627"/>
      <c r="VPK68" s="627"/>
      <c r="VPM68" s="627"/>
      <c r="VPO68" s="627"/>
      <c r="VPQ68" s="627"/>
      <c r="VPS68" s="627"/>
      <c r="VPU68" s="627"/>
      <c r="VPW68" s="627"/>
      <c r="VPY68" s="627"/>
      <c r="VQA68" s="627"/>
      <c r="VQC68" s="627"/>
      <c r="VQE68" s="627"/>
      <c r="VQG68" s="627"/>
      <c r="VQI68" s="627"/>
      <c r="VQK68" s="627"/>
      <c r="VQM68" s="627"/>
      <c r="VQO68" s="627"/>
      <c r="VQQ68" s="627"/>
      <c r="VQS68" s="627"/>
      <c r="VQU68" s="627"/>
      <c r="VQW68" s="627"/>
      <c r="VQY68" s="627"/>
      <c r="VRA68" s="627"/>
      <c r="VRC68" s="627"/>
      <c r="VRE68" s="627"/>
      <c r="VRG68" s="627"/>
      <c r="VRI68" s="627"/>
      <c r="VRK68" s="627"/>
      <c r="VRM68" s="627"/>
      <c r="VRO68" s="627"/>
      <c r="VRQ68" s="627"/>
      <c r="VRS68" s="627"/>
      <c r="VRU68" s="627"/>
      <c r="VRW68" s="627"/>
      <c r="VRY68" s="627"/>
      <c r="VSA68" s="627"/>
      <c r="VSC68" s="627"/>
      <c r="VSE68" s="627"/>
      <c r="VSG68" s="627"/>
      <c r="VSI68" s="627"/>
      <c r="VSK68" s="627"/>
      <c r="VSM68" s="627"/>
      <c r="VSO68" s="627"/>
      <c r="VSQ68" s="627"/>
      <c r="VSS68" s="627"/>
      <c r="VSU68" s="627"/>
      <c r="VSW68" s="627"/>
      <c r="VSY68" s="627"/>
      <c r="VTA68" s="627"/>
      <c r="VTC68" s="627"/>
      <c r="VTE68" s="627"/>
      <c r="VTG68" s="627"/>
      <c r="VTI68" s="627"/>
      <c r="VTK68" s="627"/>
      <c r="VTM68" s="627"/>
      <c r="VTO68" s="627"/>
      <c r="VTQ68" s="627"/>
      <c r="VTS68" s="627"/>
      <c r="VTU68" s="627"/>
      <c r="VTW68" s="627"/>
      <c r="VTY68" s="627"/>
      <c r="VUA68" s="627"/>
      <c r="VUC68" s="627"/>
      <c r="VUE68" s="627"/>
      <c r="VUG68" s="627"/>
      <c r="VUI68" s="627"/>
      <c r="VUK68" s="627"/>
      <c r="VUM68" s="627"/>
      <c r="VUO68" s="627"/>
      <c r="VUQ68" s="627"/>
      <c r="VUS68" s="627"/>
      <c r="VUU68" s="627"/>
      <c r="VUW68" s="627"/>
      <c r="VUY68" s="627"/>
      <c r="VVA68" s="627"/>
      <c r="VVC68" s="627"/>
      <c r="VVE68" s="627"/>
      <c r="VVG68" s="627"/>
      <c r="VVI68" s="627"/>
      <c r="VVK68" s="627"/>
      <c r="VVM68" s="627"/>
      <c r="VVO68" s="627"/>
      <c r="VVQ68" s="627"/>
      <c r="VVS68" s="627"/>
      <c r="VVU68" s="627"/>
      <c r="VVW68" s="627"/>
      <c r="VVY68" s="627"/>
      <c r="VWA68" s="627"/>
      <c r="VWC68" s="627"/>
      <c r="VWE68" s="627"/>
      <c r="VWG68" s="627"/>
      <c r="VWI68" s="627"/>
      <c r="VWK68" s="627"/>
      <c r="VWM68" s="627"/>
      <c r="VWO68" s="627"/>
      <c r="VWQ68" s="627"/>
      <c r="VWS68" s="627"/>
      <c r="VWU68" s="627"/>
      <c r="VWW68" s="627"/>
      <c r="VWY68" s="627"/>
      <c r="VXA68" s="627"/>
      <c r="VXC68" s="627"/>
      <c r="VXE68" s="627"/>
      <c r="VXG68" s="627"/>
      <c r="VXI68" s="627"/>
      <c r="VXK68" s="627"/>
      <c r="VXM68" s="627"/>
      <c r="VXO68" s="627"/>
      <c r="VXQ68" s="627"/>
      <c r="VXS68" s="627"/>
      <c r="VXU68" s="627"/>
      <c r="VXW68" s="627"/>
      <c r="VXY68" s="627"/>
      <c r="VYA68" s="627"/>
      <c r="VYC68" s="627"/>
      <c r="VYE68" s="627"/>
      <c r="VYG68" s="627"/>
      <c r="VYI68" s="627"/>
      <c r="VYK68" s="627"/>
      <c r="VYM68" s="627"/>
      <c r="VYO68" s="627"/>
      <c r="VYQ68" s="627"/>
      <c r="VYS68" s="627"/>
      <c r="VYU68" s="627"/>
      <c r="VYW68" s="627"/>
      <c r="VYY68" s="627"/>
      <c r="VZA68" s="627"/>
      <c r="VZC68" s="627"/>
      <c r="VZE68" s="627"/>
      <c r="VZG68" s="627"/>
      <c r="VZI68" s="627"/>
      <c r="VZK68" s="627"/>
      <c r="VZM68" s="627"/>
      <c r="VZO68" s="627"/>
      <c r="VZQ68" s="627"/>
      <c r="VZS68" s="627"/>
      <c r="VZU68" s="627"/>
      <c r="VZW68" s="627"/>
      <c r="VZY68" s="627"/>
      <c r="WAA68" s="627"/>
      <c r="WAC68" s="627"/>
      <c r="WAE68" s="627"/>
      <c r="WAG68" s="627"/>
      <c r="WAI68" s="627"/>
      <c r="WAK68" s="627"/>
      <c r="WAM68" s="627"/>
      <c r="WAO68" s="627"/>
      <c r="WAQ68" s="627"/>
      <c r="WAS68" s="627"/>
      <c r="WAU68" s="627"/>
      <c r="WAW68" s="627"/>
      <c r="WAY68" s="627"/>
      <c r="WBA68" s="627"/>
      <c r="WBC68" s="627"/>
      <c r="WBE68" s="627"/>
      <c r="WBG68" s="627"/>
      <c r="WBI68" s="627"/>
      <c r="WBK68" s="627"/>
      <c r="WBM68" s="627"/>
      <c r="WBO68" s="627"/>
      <c r="WBQ68" s="627"/>
      <c r="WBS68" s="627"/>
      <c r="WBU68" s="627"/>
      <c r="WBW68" s="627"/>
      <c r="WBY68" s="627"/>
      <c r="WCA68" s="627"/>
      <c r="WCC68" s="627"/>
      <c r="WCE68" s="627"/>
      <c r="WCG68" s="627"/>
      <c r="WCI68" s="627"/>
      <c r="WCK68" s="627"/>
      <c r="WCM68" s="627"/>
      <c r="WCO68" s="627"/>
      <c r="WCQ68" s="627"/>
      <c r="WCS68" s="627"/>
      <c r="WCU68" s="627"/>
      <c r="WCW68" s="627"/>
      <c r="WCY68" s="627"/>
      <c r="WDA68" s="627"/>
      <c r="WDC68" s="627"/>
      <c r="WDE68" s="627"/>
      <c r="WDG68" s="627"/>
      <c r="WDI68" s="627"/>
      <c r="WDK68" s="627"/>
      <c r="WDM68" s="627"/>
      <c r="WDO68" s="627"/>
      <c r="WDQ68" s="627"/>
      <c r="WDS68" s="627"/>
      <c r="WDU68" s="627"/>
      <c r="WDW68" s="627"/>
      <c r="WDY68" s="627"/>
      <c r="WEA68" s="627"/>
      <c r="WEC68" s="627"/>
      <c r="WEE68" s="627"/>
      <c r="WEG68" s="627"/>
      <c r="WEI68" s="627"/>
      <c r="WEK68" s="627"/>
      <c r="WEM68" s="627"/>
      <c r="WEO68" s="627"/>
      <c r="WEQ68" s="627"/>
      <c r="WES68" s="627"/>
      <c r="WEU68" s="627"/>
      <c r="WEW68" s="627"/>
      <c r="WEY68" s="627"/>
      <c r="WFA68" s="627"/>
      <c r="WFC68" s="627"/>
      <c r="WFE68" s="627"/>
      <c r="WFG68" s="627"/>
      <c r="WFI68" s="627"/>
      <c r="WFK68" s="627"/>
      <c r="WFM68" s="627"/>
      <c r="WFO68" s="627"/>
      <c r="WFQ68" s="627"/>
      <c r="WFS68" s="627"/>
      <c r="WFU68" s="627"/>
      <c r="WFW68" s="627"/>
      <c r="WFY68" s="627"/>
      <c r="WGA68" s="627"/>
      <c r="WGC68" s="627"/>
      <c r="WGE68" s="627"/>
      <c r="WGG68" s="627"/>
      <c r="WGI68" s="627"/>
      <c r="WGK68" s="627"/>
      <c r="WGM68" s="627"/>
      <c r="WGO68" s="627"/>
      <c r="WGQ68" s="627"/>
      <c r="WGS68" s="627"/>
      <c r="WGU68" s="627"/>
      <c r="WGW68" s="627"/>
      <c r="WGY68" s="627"/>
      <c r="WHA68" s="627"/>
      <c r="WHC68" s="627"/>
      <c r="WHE68" s="627"/>
      <c r="WHG68" s="627"/>
      <c r="WHI68" s="627"/>
      <c r="WHK68" s="627"/>
      <c r="WHM68" s="627"/>
      <c r="WHO68" s="627"/>
      <c r="WHQ68" s="627"/>
      <c r="WHS68" s="627"/>
      <c r="WHU68" s="627"/>
      <c r="WHW68" s="627"/>
      <c r="WHY68" s="627"/>
      <c r="WIA68" s="627"/>
      <c r="WIC68" s="627"/>
      <c r="WIE68" s="627"/>
      <c r="WIG68" s="627"/>
      <c r="WII68" s="627"/>
      <c r="WIK68" s="627"/>
      <c r="WIM68" s="627"/>
      <c r="WIO68" s="627"/>
      <c r="WIQ68" s="627"/>
      <c r="WIS68" s="627"/>
      <c r="WIU68" s="627"/>
      <c r="WIW68" s="627"/>
      <c r="WIY68" s="627"/>
      <c r="WJA68" s="627"/>
      <c r="WJC68" s="627"/>
      <c r="WJE68" s="627"/>
      <c r="WJG68" s="627"/>
      <c r="WJI68" s="627"/>
      <c r="WJK68" s="627"/>
      <c r="WJM68" s="627"/>
      <c r="WJO68" s="627"/>
      <c r="WJQ68" s="627"/>
      <c r="WJS68" s="627"/>
      <c r="WJU68" s="627"/>
      <c r="WJW68" s="627"/>
      <c r="WJY68" s="627"/>
      <c r="WKA68" s="627"/>
      <c r="WKC68" s="627"/>
      <c r="WKE68" s="627"/>
      <c r="WKG68" s="627"/>
      <c r="WKI68" s="627"/>
      <c r="WKK68" s="627"/>
      <c r="WKM68" s="627"/>
      <c r="WKO68" s="627"/>
      <c r="WKQ68" s="627"/>
      <c r="WKS68" s="627"/>
      <c r="WKU68" s="627"/>
      <c r="WKW68" s="627"/>
      <c r="WKY68" s="627"/>
      <c r="WLA68" s="627"/>
      <c r="WLC68" s="627"/>
      <c r="WLE68" s="627"/>
      <c r="WLG68" s="627"/>
      <c r="WLI68" s="627"/>
      <c r="WLK68" s="627"/>
      <c r="WLM68" s="627"/>
      <c r="WLO68" s="627"/>
      <c r="WLQ68" s="627"/>
      <c r="WLS68" s="627"/>
      <c r="WLU68" s="627"/>
      <c r="WLW68" s="627"/>
      <c r="WLY68" s="627"/>
      <c r="WMA68" s="627"/>
      <c r="WMC68" s="627"/>
      <c r="WME68" s="627"/>
      <c r="WMG68" s="627"/>
      <c r="WMI68" s="627"/>
      <c r="WMK68" s="627"/>
      <c r="WMM68" s="627"/>
      <c r="WMO68" s="627"/>
      <c r="WMQ68" s="627"/>
      <c r="WMS68" s="627"/>
      <c r="WMU68" s="627"/>
      <c r="WMW68" s="627"/>
      <c r="WMY68" s="627"/>
      <c r="WNA68" s="627"/>
      <c r="WNC68" s="627"/>
      <c r="WNE68" s="627"/>
      <c r="WNG68" s="627"/>
      <c r="WNI68" s="627"/>
      <c r="WNK68" s="627"/>
      <c r="WNM68" s="627"/>
      <c r="WNO68" s="627"/>
      <c r="WNQ68" s="627"/>
      <c r="WNS68" s="627"/>
      <c r="WNU68" s="627"/>
      <c r="WNW68" s="627"/>
      <c r="WNY68" s="627"/>
      <c r="WOA68" s="627"/>
      <c r="WOC68" s="627"/>
      <c r="WOE68" s="627"/>
      <c r="WOG68" s="627"/>
      <c r="WOI68" s="627"/>
      <c r="WOK68" s="627"/>
      <c r="WOM68" s="627"/>
      <c r="WOO68" s="627"/>
      <c r="WOQ68" s="627"/>
      <c r="WOS68" s="627"/>
      <c r="WOU68" s="627"/>
      <c r="WOW68" s="627"/>
      <c r="WOY68" s="627"/>
      <c r="WPA68" s="627"/>
      <c r="WPC68" s="627"/>
      <c r="WPE68" s="627"/>
      <c r="WPG68" s="627"/>
      <c r="WPI68" s="627"/>
      <c r="WPK68" s="627"/>
      <c r="WPM68" s="627"/>
      <c r="WPO68" s="627"/>
      <c r="WPQ68" s="627"/>
      <c r="WPS68" s="627"/>
      <c r="WPU68" s="627"/>
      <c r="WPW68" s="627"/>
      <c r="WPY68" s="627"/>
      <c r="WQA68" s="627"/>
      <c r="WQC68" s="627"/>
      <c r="WQE68" s="627"/>
      <c r="WQG68" s="627"/>
      <c r="WQI68" s="627"/>
      <c r="WQK68" s="627"/>
      <c r="WQM68" s="627"/>
      <c r="WQO68" s="627"/>
      <c r="WQQ68" s="627"/>
      <c r="WQS68" s="627"/>
      <c r="WQU68" s="627"/>
      <c r="WQW68" s="627"/>
      <c r="WQY68" s="627"/>
      <c r="WRA68" s="627"/>
      <c r="WRC68" s="627"/>
      <c r="WRE68" s="627"/>
      <c r="WRG68" s="627"/>
      <c r="WRI68" s="627"/>
      <c r="WRK68" s="627"/>
      <c r="WRM68" s="627"/>
      <c r="WRO68" s="627"/>
      <c r="WRQ68" s="627"/>
      <c r="WRS68" s="627"/>
      <c r="WRU68" s="627"/>
      <c r="WRW68" s="627"/>
      <c r="WRY68" s="627"/>
      <c r="WSA68" s="627"/>
      <c r="WSC68" s="627"/>
      <c r="WSE68" s="627"/>
      <c r="WSG68" s="627"/>
      <c r="WSI68" s="627"/>
      <c r="WSK68" s="627"/>
      <c r="WSM68" s="627"/>
      <c r="WSO68" s="627"/>
      <c r="WSQ68" s="627"/>
      <c r="WSS68" s="627"/>
      <c r="WSU68" s="627"/>
      <c r="WSW68" s="627"/>
      <c r="WSY68" s="627"/>
      <c r="WTA68" s="627"/>
      <c r="WTC68" s="627"/>
      <c r="WTE68" s="627"/>
      <c r="WTG68" s="627"/>
      <c r="WTI68" s="627"/>
      <c r="WTK68" s="627"/>
      <c r="WTM68" s="627"/>
      <c r="WTO68" s="627"/>
      <c r="WTQ68" s="627"/>
      <c r="WTS68" s="627"/>
      <c r="WTU68" s="627"/>
      <c r="WTW68" s="627"/>
      <c r="WTY68" s="627"/>
      <c r="WUA68" s="627"/>
      <c r="WUC68" s="627"/>
      <c r="WUE68" s="627"/>
      <c r="WUG68" s="627"/>
      <c r="WUI68" s="627"/>
      <c r="WUK68" s="627"/>
      <c r="WUM68" s="627"/>
      <c r="WUO68" s="627"/>
      <c r="WUQ68" s="627"/>
      <c r="WUS68" s="627"/>
      <c r="WUU68" s="627"/>
      <c r="WUW68" s="627"/>
      <c r="WUY68" s="627"/>
      <c r="WVA68" s="627"/>
      <c r="WVC68" s="627"/>
      <c r="WVE68" s="627"/>
      <c r="WVG68" s="627"/>
      <c r="WVI68" s="627"/>
      <c r="WVK68" s="627"/>
      <c r="WVM68" s="627"/>
      <c r="WVO68" s="627"/>
      <c r="WVQ68" s="627"/>
      <c r="WVS68" s="627"/>
      <c r="WVU68" s="627"/>
      <c r="WVW68" s="627"/>
      <c r="WVY68" s="627"/>
      <c r="WWA68" s="627"/>
      <c r="WWC68" s="627"/>
      <c r="WWE68" s="627"/>
      <c r="WWG68" s="627"/>
      <c r="WWI68" s="627"/>
      <c r="WWK68" s="627"/>
      <c r="WWM68" s="627"/>
      <c r="WWO68" s="627"/>
      <c r="WWQ68" s="627"/>
      <c r="WWS68" s="627"/>
      <c r="WWU68" s="627"/>
      <c r="WWW68" s="627"/>
      <c r="WWY68" s="627"/>
      <c r="WXA68" s="627"/>
      <c r="WXC68" s="627"/>
      <c r="WXE68" s="627"/>
      <c r="WXG68" s="627"/>
      <c r="WXI68" s="627"/>
      <c r="WXK68" s="627"/>
      <c r="WXM68" s="627"/>
      <c r="WXO68" s="627"/>
      <c r="WXQ68" s="627"/>
      <c r="WXS68" s="627"/>
      <c r="WXU68" s="627"/>
      <c r="WXW68" s="627"/>
      <c r="WXY68" s="627"/>
      <c r="WYA68" s="627"/>
      <c r="WYC68" s="627"/>
      <c r="WYE68" s="627"/>
      <c r="WYG68" s="627"/>
      <c r="WYI68" s="627"/>
      <c r="WYK68" s="627"/>
      <c r="WYM68" s="627"/>
      <c r="WYO68" s="627"/>
      <c r="WYQ68" s="627"/>
      <c r="WYS68" s="627"/>
      <c r="WYU68" s="627"/>
      <c r="WYW68" s="627"/>
      <c r="WYY68" s="627"/>
      <c r="WZA68" s="627"/>
      <c r="WZC68" s="627"/>
      <c r="WZE68" s="627"/>
      <c r="WZG68" s="627"/>
      <c r="WZI68" s="627"/>
      <c r="WZK68" s="627"/>
      <c r="WZM68" s="627"/>
      <c r="WZO68" s="627"/>
      <c r="WZQ68" s="627"/>
      <c r="WZS68" s="627"/>
      <c r="WZU68" s="627"/>
      <c r="WZW68" s="627"/>
      <c r="WZY68" s="627"/>
      <c r="XAA68" s="627"/>
      <c r="XAC68" s="627"/>
      <c r="XAE68" s="627"/>
      <c r="XAG68" s="627"/>
      <c r="XAI68" s="627"/>
      <c r="XAK68" s="627"/>
      <c r="XAM68" s="627"/>
      <c r="XAO68" s="627"/>
      <c r="XAQ68" s="627"/>
      <c r="XAS68" s="627"/>
      <c r="XAU68" s="627"/>
      <c r="XAW68" s="627"/>
      <c r="XAY68" s="627"/>
      <c r="XBA68" s="627"/>
      <c r="XBC68" s="627"/>
      <c r="XBE68" s="627"/>
      <c r="XBG68" s="627"/>
      <c r="XBI68" s="627"/>
      <c r="XBK68" s="627"/>
      <c r="XBM68" s="627"/>
      <c r="XBO68" s="627"/>
      <c r="XBQ68" s="627"/>
      <c r="XBS68" s="627"/>
      <c r="XBU68" s="627"/>
      <c r="XBW68" s="627"/>
      <c r="XBY68" s="627"/>
      <c r="XCA68" s="627"/>
      <c r="XCC68" s="627"/>
      <c r="XCE68" s="627"/>
      <c r="XCG68" s="627"/>
      <c r="XCI68" s="627"/>
      <c r="XCK68" s="627"/>
      <c r="XCM68" s="627"/>
      <c r="XCO68" s="627"/>
      <c r="XCQ68" s="627"/>
      <c r="XCS68" s="627"/>
      <c r="XCU68" s="627"/>
      <c r="XCW68" s="627"/>
      <c r="XCY68" s="627"/>
      <c r="XDA68" s="627"/>
      <c r="XDC68" s="627"/>
      <c r="XDE68" s="627"/>
      <c r="XDG68" s="627"/>
      <c r="XDI68" s="627"/>
      <c r="XDK68" s="627"/>
      <c r="XDM68" s="627"/>
      <c r="XDO68" s="627"/>
      <c r="XDQ68" s="627"/>
      <c r="XDS68" s="627"/>
      <c r="XDU68" s="627"/>
      <c r="XDW68" s="627"/>
      <c r="XDY68" s="627"/>
      <c r="XEA68" s="627"/>
      <c r="XEC68" s="627"/>
      <c r="XEE68" s="627"/>
      <c r="XEG68" s="627"/>
      <c r="XEI68" s="627"/>
      <c r="XEK68" s="627"/>
      <c r="XEM68" s="627"/>
      <c r="XEO68" s="627"/>
      <c r="XEQ68" s="627"/>
      <c r="XES68" s="627"/>
      <c r="XEU68" s="627"/>
      <c r="XEW68" s="627"/>
      <c r="XEY68" s="627"/>
      <c r="XFA68" s="627"/>
      <c r="XFC68" s="627"/>
    </row>
    <row r="69" spans="1:1023 1025:2047 2049:3071 3073:4095 4097:5119 5121:6143 6145:7167 7169:8191 8193:9215 9217:10239 10241:11263 11265:12287 12289:13311 13313:14335 14337:15359 15361:16383" s="1554" customFormat="1" ht="13">
      <c r="A69" s="1549" t="s">
        <v>2535</v>
      </c>
      <c r="B69" s="628"/>
      <c r="C69" s="1547">
        <v>8.4000000000000005E-2</v>
      </c>
      <c r="D69" s="607"/>
      <c r="E69" s="1553">
        <f>E$59*$C$69</f>
        <v>7.9967999999960888</v>
      </c>
      <c r="G69" s="1553">
        <f t="shared" ref="G69:AG69" si="20">G$59*$C$69</f>
        <v>246.34428000000048</v>
      </c>
      <c r="I69" s="1553">
        <f t="shared" si="20"/>
        <v>479.60179259999313</v>
      </c>
      <c r="K69" s="1553">
        <f t="shared" si="20"/>
        <v>707.25513371099464</v>
      </c>
      <c r="M69" s="1553">
        <f t="shared" si="20"/>
        <v>928.76369568013263</v>
      </c>
      <c r="O69" s="1553">
        <f t="shared" si="20"/>
        <v>1143.5593329046035</v>
      </c>
      <c r="Q69" s="1553">
        <f t="shared" si="20"/>
        <v>1351.0451824836268</v>
      </c>
      <c r="S69" s="1553">
        <f t="shared" si="20"/>
        <v>1550.5944382029734</v>
      </c>
      <c r="U69" s="1553">
        <f t="shared" si="20"/>
        <v>1741.5490760843306</v>
      </c>
      <c r="W69" s="1553">
        <f t="shared" si="20"/>
        <v>1923.2185296657362</v>
      </c>
      <c r="Y69" s="1553">
        <f t="shared" si="20"/>
        <v>2094.8783131122223</v>
      </c>
      <c r="AA69" s="1553">
        <f t="shared" si="20"/>
        <v>2255.7685901856903</v>
      </c>
      <c r="AC69" s="1553">
        <f t="shared" si="20"/>
        <v>2405.0926870299081</v>
      </c>
      <c r="AE69" s="1553">
        <f t="shared" si="20"/>
        <v>2542.0155466520819</v>
      </c>
      <c r="AG69" s="1553">
        <f t="shared" si="20"/>
        <v>2665.6621229038178</v>
      </c>
      <c r="AI69" s="1553"/>
      <c r="AK69" s="1553"/>
      <c r="AM69" s="1553"/>
      <c r="AO69" s="1553"/>
      <c r="AQ69" s="1553"/>
      <c r="AS69" s="1553"/>
      <c r="AU69" s="1553"/>
      <c r="AW69" s="1553"/>
      <c r="AY69" s="1553"/>
      <c r="BA69" s="1553"/>
      <c r="BC69" s="1553"/>
      <c r="BE69" s="1553"/>
      <c r="BG69" s="1553"/>
      <c r="BI69" s="1553"/>
      <c r="BK69" s="1553"/>
      <c r="BM69" s="1553"/>
      <c r="BO69" s="1553"/>
      <c r="BQ69" s="1553"/>
      <c r="BS69" s="1553"/>
      <c r="BU69" s="1553"/>
      <c r="BW69" s="1553"/>
      <c r="BY69" s="1553"/>
      <c r="CA69" s="1553"/>
      <c r="CC69" s="1553"/>
      <c r="CE69" s="1553"/>
      <c r="CG69" s="1553"/>
      <c r="CI69" s="1553"/>
      <c r="CK69" s="1553"/>
      <c r="CM69" s="1553"/>
      <c r="CO69" s="1553"/>
      <c r="CQ69" s="1553"/>
      <c r="CS69" s="1553"/>
      <c r="CU69" s="1553"/>
      <c r="CW69" s="1553"/>
      <c r="CY69" s="1553"/>
      <c r="DA69" s="1553"/>
      <c r="DC69" s="1553"/>
      <c r="DE69" s="1553"/>
      <c r="DG69" s="1553"/>
      <c r="DI69" s="1553"/>
      <c r="DK69" s="1553"/>
      <c r="DM69" s="1553"/>
      <c r="DO69" s="1553"/>
      <c r="DQ69" s="1553"/>
      <c r="DS69" s="1553"/>
      <c r="DU69" s="1553"/>
      <c r="DW69" s="1553"/>
      <c r="DY69" s="1553"/>
      <c r="EA69" s="1553"/>
      <c r="EC69" s="1553"/>
      <c r="EE69" s="1553"/>
      <c r="EG69" s="1553"/>
      <c r="EI69" s="1553"/>
      <c r="EK69" s="1553"/>
      <c r="EM69" s="1553"/>
      <c r="EO69" s="1553"/>
      <c r="EQ69" s="1553"/>
      <c r="ES69" s="1553"/>
      <c r="EU69" s="1553"/>
      <c r="EW69" s="1553"/>
      <c r="EY69" s="1553"/>
      <c r="FA69" s="1553"/>
      <c r="FC69" s="1553"/>
      <c r="FE69" s="1553"/>
      <c r="FG69" s="1553"/>
      <c r="FI69" s="1553"/>
      <c r="FK69" s="1553"/>
      <c r="FM69" s="1553"/>
      <c r="FO69" s="1553"/>
      <c r="FQ69" s="1553"/>
      <c r="FS69" s="1553"/>
      <c r="FU69" s="1553"/>
      <c r="FW69" s="1553"/>
      <c r="FY69" s="1553"/>
      <c r="GA69" s="1553"/>
      <c r="GC69" s="1553"/>
      <c r="GE69" s="1553"/>
      <c r="GG69" s="1553"/>
      <c r="GI69" s="1553"/>
      <c r="GK69" s="1553"/>
      <c r="GM69" s="1553"/>
      <c r="GO69" s="1553"/>
      <c r="GQ69" s="1553"/>
      <c r="GS69" s="1553"/>
      <c r="GU69" s="1553"/>
      <c r="GW69" s="1553"/>
      <c r="GY69" s="1553"/>
      <c r="HA69" s="1553"/>
      <c r="HC69" s="1553"/>
      <c r="HE69" s="1553"/>
      <c r="HG69" s="1553"/>
      <c r="HI69" s="1553"/>
      <c r="HK69" s="1553"/>
      <c r="HM69" s="1553"/>
      <c r="HO69" s="1553"/>
      <c r="HQ69" s="1553"/>
      <c r="HS69" s="1553"/>
      <c r="HU69" s="1553"/>
      <c r="HW69" s="1553"/>
      <c r="HY69" s="1553"/>
      <c r="IA69" s="1553"/>
      <c r="IC69" s="1553"/>
      <c r="IE69" s="1553"/>
      <c r="IG69" s="1553"/>
      <c r="II69" s="1553"/>
      <c r="IK69" s="1553"/>
      <c r="IM69" s="1553"/>
      <c r="IO69" s="1553"/>
      <c r="IQ69" s="1553"/>
      <c r="IS69" s="1553"/>
      <c r="IU69" s="1553"/>
      <c r="IW69" s="1553"/>
      <c r="IY69" s="1553"/>
      <c r="JA69" s="1553"/>
      <c r="JC69" s="1553"/>
      <c r="JE69" s="1553"/>
      <c r="JG69" s="1553"/>
      <c r="JI69" s="1553"/>
      <c r="JK69" s="1553"/>
      <c r="JM69" s="1553"/>
      <c r="JO69" s="1553"/>
      <c r="JQ69" s="1553"/>
      <c r="JS69" s="1553"/>
      <c r="JU69" s="1553"/>
      <c r="JW69" s="1553"/>
      <c r="JY69" s="1553"/>
      <c r="KA69" s="1553"/>
      <c r="KC69" s="1553"/>
      <c r="KE69" s="1553"/>
      <c r="KG69" s="1553"/>
      <c r="KI69" s="1553"/>
      <c r="KK69" s="1553"/>
      <c r="KM69" s="1553"/>
      <c r="KO69" s="1553"/>
      <c r="KQ69" s="1553"/>
      <c r="KS69" s="1553"/>
      <c r="KU69" s="1553"/>
      <c r="KW69" s="1553"/>
      <c r="KY69" s="1553"/>
      <c r="LA69" s="1553"/>
      <c r="LC69" s="1553"/>
      <c r="LE69" s="1553"/>
      <c r="LG69" s="1553"/>
      <c r="LI69" s="1553"/>
      <c r="LK69" s="1553"/>
      <c r="LM69" s="1553"/>
      <c r="LO69" s="1553"/>
      <c r="LQ69" s="1553"/>
      <c r="LS69" s="1553"/>
      <c r="LU69" s="1553"/>
      <c r="LW69" s="1553"/>
      <c r="LY69" s="1553"/>
      <c r="MA69" s="1553"/>
      <c r="MC69" s="1553"/>
      <c r="ME69" s="1553"/>
      <c r="MG69" s="1553"/>
      <c r="MI69" s="1553"/>
      <c r="MK69" s="1553"/>
      <c r="MM69" s="1553"/>
      <c r="MO69" s="1553"/>
      <c r="MQ69" s="1553"/>
      <c r="MS69" s="1553"/>
      <c r="MU69" s="1553"/>
      <c r="MW69" s="1553"/>
      <c r="MY69" s="1553"/>
      <c r="NA69" s="1553"/>
      <c r="NC69" s="1553"/>
      <c r="NE69" s="1553"/>
      <c r="NG69" s="1553"/>
      <c r="NI69" s="1553"/>
      <c r="NK69" s="1553"/>
      <c r="NM69" s="1553"/>
      <c r="NO69" s="1553"/>
      <c r="NQ69" s="1553"/>
      <c r="NS69" s="1553"/>
      <c r="NU69" s="1553"/>
      <c r="NW69" s="1553"/>
      <c r="NY69" s="1553"/>
      <c r="OA69" s="1553"/>
      <c r="OC69" s="1553"/>
      <c r="OE69" s="1553"/>
      <c r="OG69" s="1553"/>
      <c r="OI69" s="1553"/>
      <c r="OK69" s="1553"/>
      <c r="OM69" s="1553"/>
      <c r="OO69" s="1553"/>
      <c r="OQ69" s="1553"/>
      <c r="OS69" s="1553"/>
      <c r="OU69" s="1553"/>
      <c r="OW69" s="1553"/>
      <c r="OY69" s="1553"/>
      <c r="PA69" s="1553"/>
      <c r="PC69" s="1553"/>
      <c r="PE69" s="1553"/>
      <c r="PG69" s="1553"/>
      <c r="PI69" s="1553"/>
      <c r="PK69" s="1553"/>
      <c r="PM69" s="1553"/>
      <c r="PO69" s="1553"/>
      <c r="PQ69" s="1553"/>
      <c r="PS69" s="1553"/>
      <c r="PU69" s="1553"/>
      <c r="PW69" s="1553"/>
      <c r="PY69" s="1553"/>
      <c r="QA69" s="1553"/>
      <c r="QC69" s="1553"/>
      <c r="QE69" s="1553"/>
      <c r="QG69" s="1553"/>
      <c r="QI69" s="1553"/>
      <c r="QK69" s="1553"/>
      <c r="QM69" s="1553"/>
      <c r="QO69" s="1553"/>
      <c r="QQ69" s="1553"/>
      <c r="QS69" s="1553"/>
      <c r="QU69" s="1553"/>
      <c r="QW69" s="1553"/>
      <c r="QY69" s="1553"/>
      <c r="RA69" s="1553"/>
      <c r="RC69" s="1553"/>
      <c r="RE69" s="1553"/>
      <c r="RG69" s="1553"/>
      <c r="RI69" s="1553"/>
      <c r="RK69" s="1553"/>
      <c r="RM69" s="1553"/>
      <c r="RO69" s="1553"/>
      <c r="RQ69" s="1553"/>
      <c r="RS69" s="1553"/>
      <c r="RU69" s="1553"/>
      <c r="RW69" s="1553"/>
      <c r="RY69" s="1553"/>
      <c r="SA69" s="1553"/>
      <c r="SC69" s="1553"/>
      <c r="SE69" s="1553"/>
      <c r="SG69" s="1553"/>
      <c r="SI69" s="1553"/>
      <c r="SK69" s="1553"/>
      <c r="SM69" s="1553"/>
      <c r="SO69" s="1553"/>
      <c r="SQ69" s="1553"/>
      <c r="SS69" s="1553"/>
      <c r="SU69" s="1553"/>
      <c r="SW69" s="1553"/>
      <c r="SY69" s="1553"/>
      <c r="TA69" s="1553"/>
      <c r="TC69" s="1553"/>
      <c r="TE69" s="1553"/>
      <c r="TG69" s="1553"/>
      <c r="TI69" s="1553"/>
      <c r="TK69" s="1553"/>
      <c r="TM69" s="1553"/>
      <c r="TO69" s="1553"/>
      <c r="TQ69" s="1553"/>
      <c r="TS69" s="1553"/>
      <c r="TU69" s="1553"/>
      <c r="TW69" s="1553"/>
      <c r="TY69" s="1553"/>
      <c r="UA69" s="1553"/>
      <c r="UC69" s="1553"/>
      <c r="UE69" s="1553"/>
      <c r="UG69" s="1553"/>
      <c r="UI69" s="1553"/>
      <c r="UK69" s="1553"/>
      <c r="UM69" s="1553"/>
      <c r="UO69" s="1553"/>
      <c r="UQ69" s="1553"/>
      <c r="US69" s="1553"/>
      <c r="UU69" s="1553"/>
      <c r="UW69" s="1553"/>
      <c r="UY69" s="1553"/>
      <c r="VA69" s="1553"/>
      <c r="VC69" s="1553"/>
      <c r="VE69" s="1553"/>
      <c r="VG69" s="1553"/>
      <c r="VI69" s="1553"/>
      <c r="VK69" s="1553"/>
      <c r="VM69" s="1553"/>
      <c r="VO69" s="1553"/>
      <c r="VQ69" s="1553"/>
      <c r="VS69" s="1553"/>
      <c r="VU69" s="1553"/>
      <c r="VW69" s="1553"/>
      <c r="VY69" s="1553"/>
      <c r="WA69" s="1553"/>
      <c r="WC69" s="1553"/>
      <c r="WE69" s="1553"/>
      <c r="WG69" s="1553"/>
      <c r="WI69" s="1553"/>
      <c r="WK69" s="1553"/>
      <c r="WM69" s="1553"/>
      <c r="WO69" s="1553"/>
      <c r="WQ69" s="1553"/>
      <c r="WS69" s="1553"/>
      <c r="WU69" s="1553"/>
      <c r="WW69" s="1553"/>
      <c r="WY69" s="1553"/>
      <c r="XA69" s="1553"/>
      <c r="XC69" s="1553"/>
      <c r="XE69" s="1553"/>
      <c r="XG69" s="1553"/>
      <c r="XI69" s="1553"/>
      <c r="XK69" s="1553"/>
      <c r="XM69" s="1553"/>
      <c r="XO69" s="1553"/>
      <c r="XQ69" s="1553"/>
      <c r="XS69" s="1553"/>
      <c r="XU69" s="1553"/>
      <c r="XW69" s="1553"/>
      <c r="XY69" s="1553"/>
      <c r="YA69" s="1553"/>
      <c r="YC69" s="1553"/>
      <c r="YE69" s="1553"/>
      <c r="YG69" s="1553"/>
      <c r="YI69" s="1553"/>
      <c r="YK69" s="1553"/>
      <c r="YM69" s="1553"/>
      <c r="YO69" s="1553"/>
      <c r="YQ69" s="1553"/>
      <c r="YS69" s="1553"/>
      <c r="YU69" s="1553"/>
      <c r="YW69" s="1553"/>
      <c r="YY69" s="1553"/>
      <c r="ZA69" s="1553"/>
      <c r="ZC69" s="1553"/>
      <c r="ZE69" s="1553"/>
      <c r="ZG69" s="1553"/>
      <c r="ZI69" s="1553"/>
      <c r="ZK69" s="1553"/>
      <c r="ZM69" s="1553"/>
      <c r="ZO69" s="1553"/>
      <c r="ZQ69" s="1553"/>
      <c r="ZS69" s="1553"/>
      <c r="ZU69" s="1553"/>
      <c r="ZW69" s="1553"/>
      <c r="ZY69" s="1553"/>
      <c r="AAA69" s="1553"/>
      <c r="AAC69" s="1553"/>
      <c r="AAE69" s="1553"/>
      <c r="AAG69" s="1553"/>
      <c r="AAI69" s="1553"/>
      <c r="AAK69" s="1553"/>
      <c r="AAM69" s="1553"/>
      <c r="AAO69" s="1553"/>
      <c r="AAQ69" s="1553"/>
      <c r="AAS69" s="1553"/>
      <c r="AAU69" s="1553"/>
      <c r="AAW69" s="1553"/>
      <c r="AAY69" s="1553"/>
      <c r="ABA69" s="1553"/>
      <c r="ABC69" s="1553"/>
      <c r="ABE69" s="1553"/>
      <c r="ABG69" s="1553"/>
      <c r="ABI69" s="1553"/>
      <c r="ABK69" s="1553"/>
      <c r="ABM69" s="1553"/>
      <c r="ABO69" s="1553"/>
      <c r="ABQ69" s="1553"/>
      <c r="ABS69" s="1553"/>
      <c r="ABU69" s="1553"/>
      <c r="ABW69" s="1553"/>
      <c r="ABY69" s="1553"/>
      <c r="ACA69" s="1553"/>
      <c r="ACC69" s="1553"/>
      <c r="ACE69" s="1553"/>
      <c r="ACG69" s="1553"/>
      <c r="ACI69" s="1553"/>
      <c r="ACK69" s="1553"/>
      <c r="ACM69" s="1553"/>
      <c r="ACO69" s="1553"/>
      <c r="ACQ69" s="1553"/>
      <c r="ACS69" s="1553"/>
      <c r="ACU69" s="1553"/>
      <c r="ACW69" s="1553"/>
      <c r="ACY69" s="1553"/>
      <c r="ADA69" s="1553"/>
      <c r="ADC69" s="1553"/>
      <c r="ADE69" s="1553"/>
      <c r="ADG69" s="1553"/>
      <c r="ADI69" s="1553"/>
      <c r="ADK69" s="1553"/>
      <c r="ADM69" s="1553"/>
      <c r="ADO69" s="1553"/>
      <c r="ADQ69" s="1553"/>
      <c r="ADS69" s="1553"/>
      <c r="ADU69" s="1553"/>
      <c r="ADW69" s="1553"/>
      <c r="ADY69" s="1553"/>
      <c r="AEA69" s="1553"/>
      <c r="AEC69" s="1553"/>
      <c r="AEE69" s="1553"/>
      <c r="AEG69" s="1553"/>
      <c r="AEI69" s="1553"/>
      <c r="AEK69" s="1553"/>
      <c r="AEM69" s="1553"/>
      <c r="AEO69" s="1553"/>
      <c r="AEQ69" s="1553"/>
      <c r="AES69" s="1553"/>
      <c r="AEU69" s="1553"/>
      <c r="AEW69" s="1553"/>
      <c r="AEY69" s="1553"/>
      <c r="AFA69" s="1553"/>
      <c r="AFC69" s="1553"/>
      <c r="AFE69" s="1553"/>
      <c r="AFG69" s="1553"/>
      <c r="AFI69" s="1553"/>
      <c r="AFK69" s="1553"/>
      <c r="AFM69" s="1553"/>
      <c r="AFO69" s="1553"/>
      <c r="AFQ69" s="1553"/>
      <c r="AFS69" s="1553"/>
      <c r="AFU69" s="1553"/>
      <c r="AFW69" s="1553"/>
      <c r="AFY69" s="1553"/>
      <c r="AGA69" s="1553"/>
      <c r="AGC69" s="1553"/>
      <c r="AGE69" s="1553"/>
      <c r="AGG69" s="1553"/>
      <c r="AGI69" s="1553"/>
      <c r="AGK69" s="1553"/>
      <c r="AGM69" s="1553"/>
      <c r="AGO69" s="1553"/>
      <c r="AGQ69" s="1553"/>
      <c r="AGS69" s="1553"/>
      <c r="AGU69" s="1553"/>
      <c r="AGW69" s="1553"/>
      <c r="AGY69" s="1553"/>
      <c r="AHA69" s="1553"/>
      <c r="AHC69" s="1553"/>
      <c r="AHE69" s="1553"/>
      <c r="AHG69" s="1553"/>
      <c r="AHI69" s="1553"/>
      <c r="AHK69" s="1553"/>
      <c r="AHM69" s="1553"/>
      <c r="AHO69" s="1553"/>
      <c r="AHQ69" s="1553"/>
      <c r="AHS69" s="1553"/>
      <c r="AHU69" s="1553"/>
      <c r="AHW69" s="1553"/>
      <c r="AHY69" s="1553"/>
      <c r="AIA69" s="1553"/>
      <c r="AIC69" s="1553"/>
      <c r="AIE69" s="1553"/>
      <c r="AIG69" s="1553"/>
      <c r="AII69" s="1553"/>
      <c r="AIK69" s="1553"/>
      <c r="AIM69" s="1553"/>
      <c r="AIO69" s="1553"/>
      <c r="AIQ69" s="1553"/>
      <c r="AIS69" s="1553"/>
      <c r="AIU69" s="1553"/>
      <c r="AIW69" s="1553"/>
      <c r="AIY69" s="1553"/>
      <c r="AJA69" s="1553"/>
      <c r="AJC69" s="1553"/>
      <c r="AJE69" s="1553"/>
      <c r="AJG69" s="1553"/>
      <c r="AJI69" s="1553"/>
      <c r="AJK69" s="1553"/>
      <c r="AJM69" s="1553"/>
      <c r="AJO69" s="1553"/>
      <c r="AJQ69" s="1553"/>
      <c r="AJS69" s="1553"/>
      <c r="AJU69" s="1553"/>
      <c r="AJW69" s="1553"/>
      <c r="AJY69" s="1553"/>
      <c r="AKA69" s="1553"/>
      <c r="AKC69" s="1553"/>
      <c r="AKE69" s="1553"/>
      <c r="AKG69" s="1553"/>
      <c r="AKI69" s="1553"/>
      <c r="AKK69" s="1553"/>
      <c r="AKM69" s="1553"/>
      <c r="AKO69" s="1553"/>
      <c r="AKQ69" s="1553"/>
      <c r="AKS69" s="1553"/>
      <c r="AKU69" s="1553"/>
      <c r="AKW69" s="1553"/>
      <c r="AKY69" s="1553"/>
      <c r="ALA69" s="1553"/>
      <c r="ALC69" s="1553"/>
      <c r="ALE69" s="1553"/>
      <c r="ALG69" s="1553"/>
      <c r="ALI69" s="1553"/>
      <c r="ALK69" s="1553"/>
      <c r="ALM69" s="1553"/>
      <c r="ALO69" s="1553"/>
      <c r="ALQ69" s="1553"/>
      <c r="ALS69" s="1553"/>
      <c r="ALU69" s="1553"/>
      <c r="ALW69" s="1553"/>
      <c r="ALY69" s="1553"/>
      <c r="AMA69" s="1553"/>
      <c r="AMC69" s="1553"/>
      <c r="AME69" s="1553"/>
      <c r="AMG69" s="1553"/>
      <c r="AMI69" s="1553"/>
      <c r="AMK69" s="1553"/>
      <c r="AMM69" s="1553"/>
      <c r="AMO69" s="1553"/>
      <c r="AMQ69" s="1553"/>
      <c r="AMS69" s="1553"/>
      <c r="AMU69" s="1553"/>
      <c r="AMW69" s="1553"/>
      <c r="AMY69" s="1553"/>
      <c r="ANA69" s="1553"/>
      <c r="ANC69" s="1553"/>
      <c r="ANE69" s="1553"/>
      <c r="ANG69" s="1553"/>
      <c r="ANI69" s="1553"/>
      <c r="ANK69" s="1553"/>
      <c r="ANM69" s="1553"/>
      <c r="ANO69" s="1553"/>
      <c r="ANQ69" s="1553"/>
      <c r="ANS69" s="1553"/>
      <c r="ANU69" s="1553"/>
      <c r="ANW69" s="1553"/>
      <c r="ANY69" s="1553"/>
      <c r="AOA69" s="1553"/>
      <c r="AOC69" s="1553"/>
      <c r="AOE69" s="1553"/>
      <c r="AOG69" s="1553"/>
      <c r="AOI69" s="1553"/>
      <c r="AOK69" s="1553"/>
      <c r="AOM69" s="1553"/>
      <c r="AOO69" s="1553"/>
      <c r="AOQ69" s="1553"/>
      <c r="AOS69" s="1553"/>
      <c r="AOU69" s="1553"/>
      <c r="AOW69" s="1553"/>
      <c r="AOY69" s="1553"/>
      <c r="APA69" s="1553"/>
      <c r="APC69" s="1553"/>
      <c r="APE69" s="1553"/>
      <c r="APG69" s="1553"/>
      <c r="API69" s="1553"/>
      <c r="APK69" s="1553"/>
      <c r="APM69" s="1553"/>
      <c r="APO69" s="1553"/>
      <c r="APQ69" s="1553"/>
      <c r="APS69" s="1553"/>
      <c r="APU69" s="1553"/>
      <c r="APW69" s="1553"/>
      <c r="APY69" s="1553"/>
      <c r="AQA69" s="1553"/>
      <c r="AQC69" s="1553"/>
      <c r="AQE69" s="1553"/>
      <c r="AQG69" s="1553"/>
      <c r="AQI69" s="1553"/>
      <c r="AQK69" s="1553"/>
      <c r="AQM69" s="1553"/>
      <c r="AQO69" s="1553"/>
      <c r="AQQ69" s="1553"/>
      <c r="AQS69" s="1553"/>
      <c r="AQU69" s="1553"/>
      <c r="AQW69" s="1553"/>
      <c r="AQY69" s="1553"/>
      <c r="ARA69" s="1553"/>
      <c r="ARC69" s="1553"/>
      <c r="ARE69" s="1553"/>
      <c r="ARG69" s="1553"/>
      <c r="ARI69" s="1553"/>
      <c r="ARK69" s="1553"/>
      <c r="ARM69" s="1553"/>
      <c r="ARO69" s="1553"/>
      <c r="ARQ69" s="1553"/>
      <c r="ARS69" s="1553"/>
      <c r="ARU69" s="1553"/>
      <c r="ARW69" s="1553"/>
      <c r="ARY69" s="1553"/>
      <c r="ASA69" s="1553"/>
      <c r="ASC69" s="1553"/>
      <c r="ASE69" s="1553"/>
      <c r="ASG69" s="1553"/>
      <c r="ASI69" s="1553"/>
      <c r="ASK69" s="1553"/>
      <c r="ASM69" s="1553"/>
      <c r="ASO69" s="1553"/>
      <c r="ASQ69" s="1553"/>
      <c r="ASS69" s="1553"/>
      <c r="ASU69" s="1553"/>
      <c r="ASW69" s="1553"/>
      <c r="ASY69" s="1553"/>
      <c r="ATA69" s="1553"/>
      <c r="ATC69" s="1553"/>
      <c r="ATE69" s="1553"/>
      <c r="ATG69" s="1553"/>
      <c r="ATI69" s="1553"/>
      <c r="ATK69" s="1553"/>
      <c r="ATM69" s="1553"/>
      <c r="ATO69" s="1553"/>
      <c r="ATQ69" s="1553"/>
      <c r="ATS69" s="1553"/>
      <c r="ATU69" s="1553"/>
      <c r="ATW69" s="1553"/>
      <c r="ATY69" s="1553"/>
      <c r="AUA69" s="1553"/>
      <c r="AUC69" s="1553"/>
      <c r="AUE69" s="1553"/>
      <c r="AUG69" s="1553"/>
      <c r="AUI69" s="1553"/>
      <c r="AUK69" s="1553"/>
      <c r="AUM69" s="1553"/>
      <c r="AUO69" s="1553"/>
      <c r="AUQ69" s="1553"/>
      <c r="AUS69" s="1553"/>
      <c r="AUU69" s="1553"/>
      <c r="AUW69" s="1553"/>
      <c r="AUY69" s="1553"/>
      <c r="AVA69" s="1553"/>
      <c r="AVC69" s="1553"/>
      <c r="AVE69" s="1553"/>
      <c r="AVG69" s="1553"/>
      <c r="AVI69" s="1553"/>
      <c r="AVK69" s="1553"/>
      <c r="AVM69" s="1553"/>
      <c r="AVO69" s="1553"/>
      <c r="AVQ69" s="1553"/>
      <c r="AVS69" s="1553"/>
      <c r="AVU69" s="1553"/>
      <c r="AVW69" s="1553"/>
      <c r="AVY69" s="1553"/>
      <c r="AWA69" s="1553"/>
      <c r="AWC69" s="1553"/>
      <c r="AWE69" s="1553"/>
      <c r="AWG69" s="1553"/>
      <c r="AWI69" s="1553"/>
      <c r="AWK69" s="1553"/>
      <c r="AWM69" s="1553"/>
      <c r="AWO69" s="1553"/>
      <c r="AWQ69" s="1553"/>
      <c r="AWS69" s="1553"/>
      <c r="AWU69" s="1553"/>
      <c r="AWW69" s="1553"/>
      <c r="AWY69" s="1553"/>
      <c r="AXA69" s="1553"/>
      <c r="AXC69" s="1553"/>
      <c r="AXE69" s="1553"/>
      <c r="AXG69" s="1553"/>
      <c r="AXI69" s="1553"/>
      <c r="AXK69" s="1553"/>
      <c r="AXM69" s="1553"/>
      <c r="AXO69" s="1553"/>
      <c r="AXQ69" s="1553"/>
      <c r="AXS69" s="1553"/>
      <c r="AXU69" s="1553"/>
      <c r="AXW69" s="1553"/>
      <c r="AXY69" s="1553"/>
      <c r="AYA69" s="1553"/>
      <c r="AYC69" s="1553"/>
      <c r="AYE69" s="1553"/>
      <c r="AYG69" s="1553"/>
      <c r="AYI69" s="1553"/>
      <c r="AYK69" s="1553"/>
      <c r="AYM69" s="1553"/>
      <c r="AYO69" s="1553"/>
      <c r="AYQ69" s="1553"/>
      <c r="AYS69" s="1553"/>
      <c r="AYU69" s="1553"/>
      <c r="AYW69" s="1553"/>
      <c r="AYY69" s="1553"/>
      <c r="AZA69" s="1553"/>
      <c r="AZC69" s="1553"/>
      <c r="AZE69" s="1553"/>
      <c r="AZG69" s="1553"/>
      <c r="AZI69" s="1553"/>
      <c r="AZK69" s="1553"/>
      <c r="AZM69" s="1553"/>
      <c r="AZO69" s="1553"/>
      <c r="AZQ69" s="1553"/>
      <c r="AZS69" s="1553"/>
      <c r="AZU69" s="1553"/>
      <c r="AZW69" s="1553"/>
      <c r="AZY69" s="1553"/>
      <c r="BAA69" s="1553"/>
      <c r="BAC69" s="1553"/>
      <c r="BAE69" s="1553"/>
      <c r="BAG69" s="1553"/>
      <c r="BAI69" s="1553"/>
      <c r="BAK69" s="1553"/>
      <c r="BAM69" s="1553"/>
      <c r="BAO69" s="1553"/>
      <c r="BAQ69" s="1553"/>
      <c r="BAS69" s="1553"/>
      <c r="BAU69" s="1553"/>
      <c r="BAW69" s="1553"/>
      <c r="BAY69" s="1553"/>
      <c r="BBA69" s="1553"/>
      <c r="BBC69" s="1553"/>
      <c r="BBE69" s="1553"/>
      <c r="BBG69" s="1553"/>
      <c r="BBI69" s="1553"/>
      <c r="BBK69" s="1553"/>
      <c r="BBM69" s="1553"/>
      <c r="BBO69" s="1553"/>
      <c r="BBQ69" s="1553"/>
      <c r="BBS69" s="1553"/>
      <c r="BBU69" s="1553"/>
      <c r="BBW69" s="1553"/>
      <c r="BBY69" s="1553"/>
      <c r="BCA69" s="1553"/>
      <c r="BCC69" s="1553"/>
      <c r="BCE69" s="1553"/>
      <c r="BCG69" s="1553"/>
      <c r="BCI69" s="1553"/>
      <c r="BCK69" s="1553"/>
      <c r="BCM69" s="1553"/>
      <c r="BCO69" s="1553"/>
      <c r="BCQ69" s="1553"/>
      <c r="BCS69" s="1553"/>
      <c r="BCU69" s="1553"/>
      <c r="BCW69" s="1553"/>
      <c r="BCY69" s="1553"/>
      <c r="BDA69" s="1553"/>
      <c r="BDC69" s="1553"/>
      <c r="BDE69" s="1553"/>
      <c r="BDG69" s="1553"/>
      <c r="BDI69" s="1553"/>
      <c r="BDK69" s="1553"/>
      <c r="BDM69" s="1553"/>
      <c r="BDO69" s="1553"/>
      <c r="BDQ69" s="1553"/>
      <c r="BDS69" s="1553"/>
      <c r="BDU69" s="1553"/>
      <c r="BDW69" s="1553"/>
      <c r="BDY69" s="1553"/>
      <c r="BEA69" s="1553"/>
      <c r="BEC69" s="1553"/>
      <c r="BEE69" s="1553"/>
      <c r="BEG69" s="1553"/>
      <c r="BEI69" s="1553"/>
      <c r="BEK69" s="1553"/>
      <c r="BEM69" s="1553"/>
      <c r="BEO69" s="1553"/>
      <c r="BEQ69" s="1553"/>
      <c r="BES69" s="1553"/>
      <c r="BEU69" s="1553"/>
      <c r="BEW69" s="1553"/>
      <c r="BEY69" s="1553"/>
      <c r="BFA69" s="1553"/>
      <c r="BFC69" s="1553"/>
      <c r="BFE69" s="1553"/>
      <c r="BFG69" s="1553"/>
      <c r="BFI69" s="1553"/>
      <c r="BFK69" s="1553"/>
      <c r="BFM69" s="1553"/>
      <c r="BFO69" s="1553"/>
      <c r="BFQ69" s="1553"/>
      <c r="BFS69" s="1553"/>
      <c r="BFU69" s="1553"/>
      <c r="BFW69" s="1553"/>
      <c r="BFY69" s="1553"/>
      <c r="BGA69" s="1553"/>
      <c r="BGC69" s="1553"/>
      <c r="BGE69" s="1553"/>
      <c r="BGG69" s="1553"/>
      <c r="BGI69" s="1553"/>
      <c r="BGK69" s="1553"/>
      <c r="BGM69" s="1553"/>
      <c r="BGO69" s="1553"/>
      <c r="BGQ69" s="1553"/>
      <c r="BGS69" s="1553"/>
      <c r="BGU69" s="1553"/>
      <c r="BGW69" s="1553"/>
      <c r="BGY69" s="1553"/>
      <c r="BHA69" s="1553"/>
      <c r="BHC69" s="1553"/>
      <c r="BHE69" s="1553"/>
      <c r="BHG69" s="1553"/>
      <c r="BHI69" s="1553"/>
      <c r="BHK69" s="1553"/>
      <c r="BHM69" s="1553"/>
      <c r="BHO69" s="1553"/>
      <c r="BHQ69" s="1553"/>
      <c r="BHS69" s="1553"/>
      <c r="BHU69" s="1553"/>
      <c r="BHW69" s="1553"/>
      <c r="BHY69" s="1553"/>
      <c r="BIA69" s="1553"/>
      <c r="BIC69" s="1553"/>
      <c r="BIE69" s="1553"/>
      <c r="BIG69" s="1553"/>
      <c r="BII69" s="1553"/>
      <c r="BIK69" s="1553"/>
      <c r="BIM69" s="1553"/>
      <c r="BIO69" s="1553"/>
      <c r="BIQ69" s="1553"/>
      <c r="BIS69" s="1553"/>
      <c r="BIU69" s="1553"/>
      <c r="BIW69" s="1553"/>
      <c r="BIY69" s="1553"/>
      <c r="BJA69" s="1553"/>
      <c r="BJC69" s="1553"/>
      <c r="BJE69" s="1553"/>
      <c r="BJG69" s="1553"/>
      <c r="BJI69" s="1553"/>
      <c r="BJK69" s="1553"/>
      <c r="BJM69" s="1553"/>
      <c r="BJO69" s="1553"/>
      <c r="BJQ69" s="1553"/>
      <c r="BJS69" s="1553"/>
      <c r="BJU69" s="1553"/>
      <c r="BJW69" s="1553"/>
      <c r="BJY69" s="1553"/>
      <c r="BKA69" s="1553"/>
      <c r="BKC69" s="1553"/>
      <c r="BKE69" s="1553"/>
      <c r="BKG69" s="1553"/>
      <c r="BKI69" s="1553"/>
      <c r="BKK69" s="1553"/>
      <c r="BKM69" s="1553"/>
      <c r="BKO69" s="1553"/>
      <c r="BKQ69" s="1553"/>
      <c r="BKS69" s="1553"/>
      <c r="BKU69" s="1553"/>
      <c r="BKW69" s="1553"/>
      <c r="BKY69" s="1553"/>
      <c r="BLA69" s="1553"/>
      <c r="BLC69" s="1553"/>
      <c r="BLE69" s="1553"/>
      <c r="BLG69" s="1553"/>
      <c r="BLI69" s="1553"/>
      <c r="BLK69" s="1553"/>
      <c r="BLM69" s="1553"/>
      <c r="BLO69" s="1553"/>
      <c r="BLQ69" s="1553"/>
      <c r="BLS69" s="1553"/>
      <c r="BLU69" s="1553"/>
      <c r="BLW69" s="1553"/>
      <c r="BLY69" s="1553"/>
      <c r="BMA69" s="1553"/>
      <c r="BMC69" s="1553"/>
      <c r="BME69" s="1553"/>
      <c r="BMG69" s="1553"/>
      <c r="BMI69" s="1553"/>
      <c r="BMK69" s="1553"/>
      <c r="BMM69" s="1553"/>
      <c r="BMO69" s="1553"/>
      <c r="BMQ69" s="1553"/>
      <c r="BMS69" s="1553"/>
      <c r="BMU69" s="1553"/>
      <c r="BMW69" s="1553"/>
      <c r="BMY69" s="1553"/>
      <c r="BNA69" s="1553"/>
      <c r="BNC69" s="1553"/>
      <c r="BNE69" s="1553"/>
      <c r="BNG69" s="1553"/>
      <c r="BNI69" s="1553"/>
      <c r="BNK69" s="1553"/>
      <c r="BNM69" s="1553"/>
      <c r="BNO69" s="1553"/>
      <c r="BNQ69" s="1553"/>
      <c r="BNS69" s="1553"/>
      <c r="BNU69" s="1553"/>
      <c r="BNW69" s="1553"/>
      <c r="BNY69" s="1553"/>
      <c r="BOA69" s="1553"/>
      <c r="BOC69" s="1553"/>
      <c r="BOE69" s="1553"/>
      <c r="BOG69" s="1553"/>
      <c r="BOI69" s="1553"/>
      <c r="BOK69" s="1553"/>
      <c r="BOM69" s="1553"/>
      <c r="BOO69" s="1553"/>
      <c r="BOQ69" s="1553"/>
      <c r="BOS69" s="1553"/>
      <c r="BOU69" s="1553"/>
      <c r="BOW69" s="1553"/>
      <c r="BOY69" s="1553"/>
      <c r="BPA69" s="1553"/>
      <c r="BPC69" s="1553"/>
      <c r="BPE69" s="1553"/>
      <c r="BPG69" s="1553"/>
      <c r="BPI69" s="1553"/>
      <c r="BPK69" s="1553"/>
      <c r="BPM69" s="1553"/>
      <c r="BPO69" s="1553"/>
      <c r="BPQ69" s="1553"/>
      <c r="BPS69" s="1553"/>
      <c r="BPU69" s="1553"/>
      <c r="BPW69" s="1553"/>
      <c r="BPY69" s="1553"/>
      <c r="BQA69" s="1553"/>
      <c r="BQC69" s="1553"/>
      <c r="BQE69" s="1553"/>
      <c r="BQG69" s="1553"/>
      <c r="BQI69" s="1553"/>
      <c r="BQK69" s="1553"/>
      <c r="BQM69" s="1553"/>
      <c r="BQO69" s="1553"/>
      <c r="BQQ69" s="1553"/>
      <c r="BQS69" s="1553"/>
      <c r="BQU69" s="1553"/>
      <c r="BQW69" s="1553"/>
      <c r="BQY69" s="1553"/>
      <c r="BRA69" s="1553"/>
      <c r="BRC69" s="1553"/>
      <c r="BRE69" s="1553"/>
      <c r="BRG69" s="1553"/>
      <c r="BRI69" s="1553"/>
      <c r="BRK69" s="1553"/>
      <c r="BRM69" s="1553"/>
      <c r="BRO69" s="1553"/>
      <c r="BRQ69" s="1553"/>
      <c r="BRS69" s="1553"/>
      <c r="BRU69" s="1553"/>
      <c r="BRW69" s="1553"/>
      <c r="BRY69" s="1553"/>
      <c r="BSA69" s="1553"/>
      <c r="BSC69" s="1553"/>
      <c r="BSE69" s="1553"/>
      <c r="BSG69" s="1553"/>
      <c r="BSI69" s="1553"/>
      <c r="BSK69" s="1553"/>
      <c r="BSM69" s="1553"/>
      <c r="BSO69" s="1553"/>
      <c r="BSQ69" s="1553"/>
      <c r="BSS69" s="1553"/>
      <c r="BSU69" s="1553"/>
      <c r="BSW69" s="1553"/>
      <c r="BSY69" s="1553"/>
      <c r="BTA69" s="1553"/>
      <c r="BTC69" s="1553"/>
      <c r="BTE69" s="1553"/>
      <c r="BTG69" s="1553"/>
      <c r="BTI69" s="1553"/>
      <c r="BTK69" s="1553"/>
      <c r="BTM69" s="1553"/>
      <c r="BTO69" s="1553"/>
      <c r="BTQ69" s="1553"/>
      <c r="BTS69" s="1553"/>
      <c r="BTU69" s="1553"/>
      <c r="BTW69" s="1553"/>
      <c r="BTY69" s="1553"/>
      <c r="BUA69" s="1553"/>
      <c r="BUC69" s="1553"/>
      <c r="BUE69" s="1553"/>
      <c r="BUG69" s="1553"/>
      <c r="BUI69" s="1553"/>
      <c r="BUK69" s="1553"/>
      <c r="BUM69" s="1553"/>
      <c r="BUO69" s="1553"/>
      <c r="BUQ69" s="1553"/>
      <c r="BUS69" s="1553"/>
      <c r="BUU69" s="1553"/>
      <c r="BUW69" s="1553"/>
      <c r="BUY69" s="1553"/>
      <c r="BVA69" s="1553"/>
      <c r="BVC69" s="1553"/>
      <c r="BVE69" s="1553"/>
      <c r="BVG69" s="1553"/>
      <c r="BVI69" s="1553"/>
      <c r="BVK69" s="1553"/>
      <c r="BVM69" s="1553"/>
      <c r="BVO69" s="1553"/>
      <c r="BVQ69" s="1553"/>
      <c r="BVS69" s="1553"/>
      <c r="BVU69" s="1553"/>
      <c r="BVW69" s="1553"/>
      <c r="BVY69" s="1553"/>
      <c r="BWA69" s="1553"/>
      <c r="BWC69" s="1553"/>
      <c r="BWE69" s="1553"/>
      <c r="BWG69" s="1553"/>
      <c r="BWI69" s="1553"/>
      <c r="BWK69" s="1553"/>
      <c r="BWM69" s="1553"/>
      <c r="BWO69" s="1553"/>
      <c r="BWQ69" s="1553"/>
      <c r="BWS69" s="1553"/>
      <c r="BWU69" s="1553"/>
      <c r="BWW69" s="1553"/>
      <c r="BWY69" s="1553"/>
      <c r="BXA69" s="1553"/>
      <c r="BXC69" s="1553"/>
      <c r="BXE69" s="1553"/>
      <c r="BXG69" s="1553"/>
      <c r="BXI69" s="1553"/>
      <c r="BXK69" s="1553"/>
      <c r="BXM69" s="1553"/>
      <c r="BXO69" s="1553"/>
      <c r="BXQ69" s="1553"/>
      <c r="BXS69" s="1553"/>
      <c r="BXU69" s="1553"/>
      <c r="BXW69" s="1553"/>
      <c r="BXY69" s="1553"/>
      <c r="BYA69" s="1553"/>
      <c r="BYC69" s="1553"/>
      <c r="BYE69" s="1553"/>
      <c r="BYG69" s="1553"/>
      <c r="BYI69" s="1553"/>
      <c r="BYK69" s="1553"/>
      <c r="BYM69" s="1553"/>
      <c r="BYO69" s="1553"/>
      <c r="BYQ69" s="1553"/>
      <c r="BYS69" s="1553"/>
      <c r="BYU69" s="1553"/>
      <c r="BYW69" s="1553"/>
      <c r="BYY69" s="1553"/>
      <c r="BZA69" s="1553"/>
      <c r="BZC69" s="1553"/>
      <c r="BZE69" s="1553"/>
      <c r="BZG69" s="1553"/>
      <c r="BZI69" s="1553"/>
      <c r="BZK69" s="1553"/>
      <c r="BZM69" s="1553"/>
      <c r="BZO69" s="1553"/>
      <c r="BZQ69" s="1553"/>
      <c r="BZS69" s="1553"/>
      <c r="BZU69" s="1553"/>
      <c r="BZW69" s="1553"/>
      <c r="BZY69" s="1553"/>
      <c r="CAA69" s="1553"/>
      <c r="CAC69" s="1553"/>
      <c r="CAE69" s="1553"/>
      <c r="CAG69" s="1553"/>
      <c r="CAI69" s="1553"/>
      <c r="CAK69" s="1553"/>
      <c r="CAM69" s="1553"/>
      <c r="CAO69" s="1553"/>
      <c r="CAQ69" s="1553"/>
      <c r="CAS69" s="1553"/>
      <c r="CAU69" s="1553"/>
      <c r="CAW69" s="1553"/>
      <c r="CAY69" s="1553"/>
      <c r="CBA69" s="1553"/>
      <c r="CBC69" s="1553"/>
      <c r="CBE69" s="1553"/>
      <c r="CBG69" s="1553"/>
      <c r="CBI69" s="1553"/>
      <c r="CBK69" s="1553"/>
      <c r="CBM69" s="1553"/>
      <c r="CBO69" s="1553"/>
      <c r="CBQ69" s="1553"/>
      <c r="CBS69" s="1553"/>
      <c r="CBU69" s="1553"/>
      <c r="CBW69" s="1553"/>
      <c r="CBY69" s="1553"/>
      <c r="CCA69" s="1553"/>
      <c r="CCC69" s="1553"/>
      <c r="CCE69" s="1553"/>
      <c r="CCG69" s="1553"/>
      <c r="CCI69" s="1553"/>
      <c r="CCK69" s="1553"/>
      <c r="CCM69" s="1553"/>
      <c r="CCO69" s="1553"/>
      <c r="CCQ69" s="1553"/>
      <c r="CCS69" s="1553"/>
      <c r="CCU69" s="1553"/>
      <c r="CCW69" s="1553"/>
      <c r="CCY69" s="1553"/>
      <c r="CDA69" s="1553"/>
      <c r="CDC69" s="1553"/>
      <c r="CDE69" s="1553"/>
      <c r="CDG69" s="1553"/>
      <c r="CDI69" s="1553"/>
      <c r="CDK69" s="1553"/>
      <c r="CDM69" s="1553"/>
      <c r="CDO69" s="1553"/>
      <c r="CDQ69" s="1553"/>
      <c r="CDS69" s="1553"/>
      <c r="CDU69" s="1553"/>
      <c r="CDW69" s="1553"/>
      <c r="CDY69" s="1553"/>
      <c r="CEA69" s="1553"/>
      <c r="CEC69" s="1553"/>
      <c r="CEE69" s="1553"/>
      <c r="CEG69" s="1553"/>
      <c r="CEI69" s="1553"/>
      <c r="CEK69" s="1553"/>
      <c r="CEM69" s="1553"/>
      <c r="CEO69" s="1553"/>
      <c r="CEQ69" s="1553"/>
      <c r="CES69" s="1553"/>
      <c r="CEU69" s="1553"/>
      <c r="CEW69" s="1553"/>
      <c r="CEY69" s="1553"/>
      <c r="CFA69" s="1553"/>
      <c r="CFC69" s="1553"/>
      <c r="CFE69" s="1553"/>
      <c r="CFG69" s="1553"/>
      <c r="CFI69" s="1553"/>
      <c r="CFK69" s="1553"/>
      <c r="CFM69" s="1553"/>
      <c r="CFO69" s="1553"/>
      <c r="CFQ69" s="1553"/>
      <c r="CFS69" s="1553"/>
      <c r="CFU69" s="1553"/>
      <c r="CFW69" s="1553"/>
      <c r="CFY69" s="1553"/>
      <c r="CGA69" s="1553"/>
      <c r="CGC69" s="1553"/>
      <c r="CGE69" s="1553"/>
      <c r="CGG69" s="1553"/>
      <c r="CGI69" s="1553"/>
      <c r="CGK69" s="1553"/>
      <c r="CGM69" s="1553"/>
      <c r="CGO69" s="1553"/>
      <c r="CGQ69" s="1553"/>
      <c r="CGS69" s="1553"/>
      <c r="CGU69" s="1553"/>
      <c r="CGW69" s="1553"/>
      <c r="CGY69" s="1553"/>
      <c r="CHA69" s="1553"/>
      <c r="CHC69" s="1553"/>
      <c r="CHE69" s="1553"/>
      <c r="CHG69" s="1553"/>
      <c r="CHI69" s="1553"/>
      <c r="CHK69" s="1553"/>
      <c r="CHM69" s="1553"/>
      <c r="CHO69" s="1553"/>
      <c r="CHQ69" s="1553"/>
      <c r="CHS69" s="1553"/>
      <c r="CHU69" s="1553"/>
      <c r="CHW69" s="1553"/>
      <c r="CHY69" s="1553"/>
      <c r="CIA69" s="1553"/>
      <c r="CIC69" s="1553"/>
      <c r="CIE69" s="1553"/>
      <c r="CIG69" s="1553"/>
      <c r="CII69" s="1553"/>
      <c r="CIK69" s="1553"/>
      <c r="CIM69" s="1553"/>
      <c r="CIO69" s="1553"/>
      <c r="CIQ69" s="1553"/>
      <c r="CIS69" s="1553"/>
      <c r="CIU69" s="1553"/>
      <c r="CIW69" s="1553"/>
      <c r="CIY69" s="1553"/>
      <c r="CJA69" s="1553"/>
      <c r="CJC69" s="1553"/>
      <c r="CJE69" s="1553"/>
      <c r="CJG69" s="1553"/>
      <c r="CJI69" s="1553"/>
      <c r="CJK69" s="1553"/>
      <c r="CJM69" s="1553"/>
      <c r="CJO69" s="1553"/>
      <c r="CJQ69" s="1553"/>
      <c r="CJS69" s="1553"/>
      <c r="CJU69" s="1553"/>
      <c r="CJW69" s="1553"/>
      <c r="CJY69" s="1553"/>
      <c r="CKA69" s="1553"/>
      <c r="CKC69" s="1553"/>
      <c r="CKE69" s="1553"/>
      <c r="CKG69" s="1553"/>
      <c r="CKI69" s="1553"/>
      <c r="CKK69" s="1553"/>
      <c r="CKM69" s="1553"/>
      <c r="CKO69" s="1553"/>
      <c r="CKQ69" s="1553"/>
      <c r="CKS69" s="1553"/>
      <c r="CKU69" s="1553"/>
      <c r="CKW69" s="1553"/>
      <c r="CKY69" s="1553"/>
      <c r="CLA69" s="1553"/>
      <c r="CLC69" s="1553"/>
      <c r="CLE69" s="1553"/>
      <c r="CLG69" s="1553"/>
      <c r="CLI69" s="1553"/>
      <c r="CLK69" s="1553"/>
      <c r="CLM69" s="1553"/>
      <c r="CLO69" s="1553"/>
      <c r="CLQ69" s="1553"/>
      <c r="CLS69" s="1553"/>
      <c r="CLU69" s="1553"/>
      <c r="CLW69" s="1553"/>
      <c r="CLY69" s="1553"/>
      <c r="CMA69" s="1553"/>
      <c r="CMC69" s="1553"/>
      <c r="CME69" s="1553"/>
      <c r="CMG69" s="1553"/>
      <c r="CMI69" s="1553"/>
      <c r="CMK69" s="1553"/>
      <c r="CMM69" s="1553"/>
      <c r="CMO69" s="1553"/>
      <c r="CMQ69" s="1553"/>
      <c r="CMS69" s="1553"/>
      <c r="CMU69" s="1553"/>
      <c r="CMW69" s="1553"/>
      <c r="CMY69" s="1553"/>
      <c r="CNA69" s="1553"/>
      <c r="CNC69" s="1553"/>
      <c r="CNE69" s="1553"/>
      <c r="CNG69" s="1553"/>
      <c r="CNI69" s="1553"/>
      <c r="CNK69" s="1553"/>
      <c r="CNM69" s="1553"/>
      <c r="CNO69" s="1553"/>
      <c r="CNQ69" s="1553"/>
      <c r="CNS69" s="1553"/>
      <c r="CNU69" s="1553"/>
      <c r="CNW69" s="1553"/>
      <c r="CNY69" s="1553"/>
      <c r="COA69" s="1553"/>
      <c r="COC69" s="1553"/>
      <c r="COE69" s="1553"/>
      <c r="COG69" s="1553"/>
      <c r="COI69" s="1553"/>
      <c r="COK69" s="1553"/>
      <c r="COM69" s="1553"/>
      <c r="COO69" s="1553"/>
      <c r="COQ69" s="1553"/>
      <c r="COS69" s="1553"/>
      <c r="COU69" s="1553"/>
      <c r="COW69" s="1553"/>
      <c r="COY69" s="1553"/>
      <c r="CPA69" s="1553"/>
      <c r="CPC69" s="1553"/>
      <c r="CPE69" s="1553"/>
      <c r="CPG69" s="1553"/>
      <c r="CPI69" s="1553"/>
      <c r="CPK69" s="1553"/>
      <c r="CPM69" s="1553"/>
      <c r="CPO69" s="1553"/>
      <c r="CPQ69" s="1553"/>
      <c r="CPS69" s="1553"/>
      <c r="CPU69" s="1553"/>
      <c r="CPW69" s="1553"/>
      <c r="CPY69" s="1553"/>
      <c r="CQA69" s="1553"/>
      <c r="CQC69" s="1553"/>
      <c r="CQE69" s="1553"/>
      <c r="CQG69" s="1553"/>
      <c r="CQI69" s="1553"/>
      <c r="CQK69" s="1553"/>
      <c r="CQM69" s="1553"/>
      <c r="CQO69" s="1553"/>
      <c r="CQQ69" s="1553"/>
      <c r="CQS69" s="1553"/>
      <c r="CQU69" s="1553"/>
      <c r="CQW69" s="1553"/>
      <c r="CQY69" s="1553"/>
      <c r="CRA69" s="1553"/>
      <c r="CRC69" s="1553"/>
      <c r="CRE69" s="1553"/>
      <c r="CRG69" s="1553"/>
      <c r="CRI69" s="1553"/>
      <c r="CRK69" s="1553"/>
      <c r="CRM69" s="1553"/>
      <c r="CRO69" s="1553"/>
      <c r="CRQ69" s="1553"/>
      <c r="CRS69" s="1553"/>
      <c r="CRU69" s="1553"/>
      <c r="CRW69" s="1553"/>
      <c r="CRY69" s="1553"/>
      <c r="CSA69" s="1553"/>
      <c r="CSC69" s="1553"/>
      <c r="CSE69" s="1553"/>
      <c r="CSG69" s="1553"/>
      <c r="CSI69" s="1553"/>
      <c r="CSK69" s="1553"/>
      <c r="CSM69" s="1553"/>
      <c r="CSO69" s="1553"/>
      <c r="CSQ69" s="1553"/>
      <c r="CSS69" s="1553"/>
      <c r="CSU69" s="1553"/>
      <c r="CSW69" s="1553"/>
      <c r="CSY69" s="1553"/>
      <c r="CTA69" s="1553"/>
      <c r="CTC69" s="1553"/>
      <c r="CTE69" s="1553"/>
      <c r="CTG69" s="1553"/>
      <c r="CTI69" s="1553"/>
      <c r="CTK69" s="1553"/>
      <c r="CTM69" s="1553"/>
      <c r="CTO69" s="1553"/>
      <c r="CTQ69" s="1553"/>
      <c r="CTS69" s="1553"/>
      <c r="CTU69" s="1553"/>
      <c r="CTW69" s="1553"/>
      <c r="CTY69" s="1553"/>
      <c r="CUA69" s="1553"/>
      <c r="CUC69" s="1553"/>
      <c r="CUE69" s="1553"/>
      <c r="CUG69" s="1553"/>
      <c r="CUI69" s="1553"/>
      <c r="CUK69" s="1553"/>
      <c r="CUM69" s="1553"/>
      <c r="CUO69" s="1553"/>
      <c r="CUQ69" s="1553"/>
      <c r="CUS69" s="1553"/>
      <c r="CUU69" s="1553"/>
      <c r="CUW69" s="1553"/>
      <c r="CUY69" s="1553"/>
      <c r="CVA69" s="1553"/>
      <c r="CVC69" s="1553"/>
      <c r="CVE69" s="1553"/>
      <c r="CVG69" s="1553"/>
      <c r="CVI69" s="1553"/>
      <c r="CVK69" s="1553"/>
      <c r="CVM69" s="1553"/>
      <c r="CVO69" s="1553"/>
      <c r="CVQ69" s="1553"/>
      <c r="CVS69" s="1553"/>
      <c r="CVU69" s="1553"/>
      <c r="CVW69" s="1553"/>
      <c r="CVY69" s="1553"/>
      <c r="CWA69" s="1553"/>
      <c r="CWC69" s="1553"/>
      <c r="CWE69" s="1553"/>
      <c r="CWG69" s="1553"/>
      <c r="CWI69" s="1553"/>
      <c r="CWK69" s="1553"/>
      <c r="CWM69" s="1553"/>
      <c r="CWO69" s="1553"/>
      <c r="CWQ69" s="1553"/>
      <c r="CWS69" s="1553"/>
      <c r="CWU69" s="1553"/>
      <c r="CWW69" s="1553"/>
      <c r="CWY69" s="1553"/>
      <c r="CXA69" s="1553"/>
      <c r="CXC69" s="1553"/>
      <c r="CXE69" s="1553"/>
      <c r="CXG69" s="1553"/>
      <c r="CXI69" s="1553"/>
      <c r="CXK69" s="1553"/>
      <c r="CXM69" s="1553"/>
      <c r="CXO69" s="1553"/>
      <c r="CXQ69" s="1553"/>
      <c r="CXS69" s="1553"/>
      <c r="CXU69" s="1553"/>
      <c r="CXW69" s="1553"/>
      <c r="CXY69" s="1553"/>
      <c r="CYA69" s="1553"/>
      <c r="CYC69" s="1553"/>
      <c r="CYE69" s="1553"/>
      <c r="CYG69" s="1553"/>
      <c r="CYI69" s="1553"/>
      <c r="CYK69" s="1553"/>
      <c r="CYM69" s="1553"/>
      <c r="CYO69" s="1553"/>
      <c r="CYQ69" s="1553"/>
      <c r="CYS69" s="1553"/>
      <c r="CYU69" s="1553"/>
      <c r="CYW69" s="1553"/>
      <c r="CYY69" s="1553"/>
      <c r="CZA69" s="1553"/>
      <c r="CZC69" s="1553"/>
      <c r="CZE69" s="1553"/>
      <c r="CZG69" s="1553"/>
      <c r="CZI69" s="1553"/>
      <c r="CZK69" s="1553"/>
      <c r="CZM69" s="1553"/>
      <c r="CZO69" s="1553"/>
      <c r="CZQ69" s="1553"/>
      <c r="CZS69" s="1553"/>
      <c r="CZU69" s="1553"/>
      <c r="CZW69" s="1553"/>
      <c r="CZY69" s="1553"/>
      <c r="DAA69" s="1553"/>
      <c r="DAC69" s="1553"/>
      <c r="DAE69" s="1553"/>
      <c r="DAG69" s="1553"/>
      <c r="DAI69" s="1553"/>
      <c r="DAK69" s="1553"/>
      <c r="DAM69" s="1553"/>
      <c r="DAO69" s="1553"/>
      <c r="DAQ69" s="1553"/>
      <c r="DAS69" s="1553"/>
      <c r="DAU69" s="1553"/>
      <c r="DAW69" s="1553"/>
      <c r="DAY69" s="1553"/>
      <c r="DBA69" s="1553"/>
      <c r="DBC69" s="1553"/>
      <c r="DBE69" s="1553"/>
      <c r="DBG69" s="1553"/>
      <c r="DBI69" s="1553"/>
      <c r="DBK69" s="1553"/>
      <c r="DBM69" s="1553"/>
      <c r="DBO69" s="1553"/>
      <c r="DBQ69" s="1553"/>
      <c r="DBS69" s="1553"/>
      <c r="DBU69" s="1553"/>
      <c r="DBW69" s="1553"/>
      <c r="DBY69" s="1553"/>
      <c r="DCA69" s="1553"/>
      <c r="DCC69" s="1553"/>
      <c r="DCE69" s="1553"/>
      <c r="DCG69" s="1553"/>
      <c r="DCI69" s="1553"/>
      <c r="DCK69" s="1553"/>
      <c r="DCM69" s="1553"/>
      <c r="DCO69" s="1553"/>
      <c r="DCQ69" s="1553"/>
      <c r="DCS69" s="1553"/>
      <c r="DCU69" s="1553"/>
      <c r="DCW69" s="1553"/>
      <c r="DCY69" s="1553"/>
      <c r="DDA69" s="1553"/>
      <c r="DDC69" s="1553"/>
      <c r="DDE69" s="1553"/>
      <c r="DDG69" s="1553"/>
      <c r="DDI69" s="1553"/>
      <c r="DDK69" s="1553"/>
      <c r="DDM69" s="1553"/>
      <c r="DDO69" s="1553"/>
      <c r="DDQ69" s="1553"/>
      <c r="DDS69" s="1553"/>
      <c r="DDU69" s="1553"/>
      <c r="DDW69" s="1553"/>
      <c r="DDY69" s="1553"/>
      <c r="DEA69" s="1553"/>
      <c r="DEC69" s="1553"/>
      <c r="DEE69" s="1553"/>
      <c r="DEG69" s="1553"/>
      <c r="DEI69" s="1553"/>
      <c r="DEK69" s="1553"/>
      <c r="DEM69" s="1553"/>
      <c r="DEO69" s="1553"/>
      <c r="DEQ69" s="1553"/>
      <c r="DES69" s="1553"/>
      <c r="DEU69" s="1553"/>
      <c r="DEW69" s="1553"/>
      <c r="DEY69" s="1553"/>
      <c r="DFA69" s="1553"/>
      <c r="DFC69" s="1553"/>
      <c r="DFE69" s="1553"/>
      <c r="DFG69" s="1553"/>
      <c r="DFI69" s="1553"/>
      <c r="DFK69" s="1553"/>
      <c r="DFM69" s="1553"/>
      <c r="DFO69" s="1553"/>
      <c r="DFQ69" s="1553"/>
      <c r="DFS69" s="1553"/>
      <c r="DFU69" s="1553"/>
      <c r="DFW69" s="1553"/>
      <c r="DFY69" s="1553"/>
      <c r="DGA69" s="1553"/>
      <c r="DGC69" s="1553"/>
      <c r="DGE69" s="1553"/>
      <c r="DGG69" s="1553"/>
      <c r="DGI69" s="1553"/>
      <c r="DGK69" s="1553"/>
      <c r="DGM69" s="1553"/>
      <c r="DGO69" s="1553"/>
      <c r="DGQ69" s="1553"/>
      <c r="DGS69" s="1553"/>
      <c r="DGU69" s="1553"/>
      <c r="DGW69" s="1553"/>
      <c r="DGY69" s="1553"/>
      <c r="DHA69" s="1553"/>
      <c r="DHC69" s="1553"/>
      <c r="DHE69" s="1553"/>
      <c r="DHG69" s="1553"/>
      <c r="DHI69" s="1553"/>
      <c r="DHK69" s="1553"/>
      <c r="DHM69" s="1553"/>
      <c r="DHO69" s="1553"/>
      <c r="DHQ69" s="1553"/>
      <c r="DHS69" s="1553"/>
      <c r="DHU69" s="1553"/>
      <c r="DHW69" s="1553"/>
      <c r="DHY69" s="1553"/>
      <c r="DIA69" s="1553"/>
      <c r="DIC69" s="1553"/>
      <c r="DIE69" s="1553"/>
      <c r="DIG69" s="1553"/>
      <c r="DII69" s="1553"/>
      <c r="DIK69" s="1553"/>
      <c r="DIM69" s="1553"/>
      <c r="DIO69" s="1553"/>
      <c r="DIQ69" s="1553"/>
      <c r="DIS69" s="1553"/>
      <c r="DIU69" s="1553"/>
      <c r="DIW69" s="1553"/>
      <c r="DIY69" s="1553"/>
      <c r="DJA69" s="1553"/>
      <c r="DJC69" s="1553"/>
      <c r="DJE69" s="1553"/>
      <c r="DJG69" s="1553"/>
      <c r="DJI69" s="1553"/>
      <c r="DJK69" s="1553"/>
      <c r="DJM69" s="1553"/>
      <c r="DJO69" s="1553"/>
      <c r="DJQ69" s="1553"/>
      <c r="DJS69" s="1553"/>
      <c r="DJU69" s="1553"/>
      <c r="DJW69" s="1553"/>
      <c r="DJY69" s="1553"/>
      <c r="DKA69" s="1553"/>
      <c r="DKC69" s="1553"/>
      <c r="DKE69" s="1553"/>
      <c r="DKG69" s="1553"/>
      <c r="DKI69" s="1553"/>
      <c r="DKK69" s="1553"/>
      <c r="DKM69" s="1553"/>
      <c r="DKO69" s="1553"/>
      <c r="DKQ69" s="1553"/>
      <c r="DKS69" s="1553"/>
      <c r="DKU69" s="1553"/>
      <c r="DKW69" s="1553"/>
      <c r="DKY69" s="1553"/>
      <c r="DLA69" s="1553"/>
      <c r="DLC69" s="1553"/>
      <c r="DLE69" s="1553"/>
      <c r="DLG69" s="1553"/>
      <c r="DLI69" s="1553"/>
      <c r="DLK69" s="1553"/>
      <c r="DLM69" s="1553"/>
      <c r="DLO69" s="1553"/>
      <c r="DLQ69" s="1553"/>
      <c r="DLS69" s="1553"/>
      <c r="DLU69" s="1553"/>
      <c r="DLW69" s="1553"/>
      <c r="DLY69" s="1553"/>
      <c r="DMA69" s="1553"/>
      <c r="DMC69" s="1553"/>
      <c r="DME69" s="1553"/>
      <c r="DMG69" s="1553"/>
      <c r="DMI69" s="1553"/>
      <c r="DMK69" s="1553"/>
      <c r="DMM69" s="1553"/>
      <c r="DMO69" s="1553"/>
      <c r="DMQ69" s="1553"/>
      <c r="DMS69" s="1553"/>
      <c r="DMU69" s="1553"/>
      <c r="DMW69" s="1553"/>
      <c r="DMY69" s="1553"/>
      <c r="DNA69" s="1553"/>
      <c r="DNC69" s="1553"/>
      <c r="DNE69" s="1553"/>
      <c r="DNG69" s="1553"/>
      <c r="DNI69" s="1553"/>
      <c r="DNK69" s="1553"/>
      <c r="DNM69" s="1553"/>
      <c r="DNO69" s="1553"/>
      <c r="DNQ69" s="1553"/>
      <c r="DNS69" s="1553"/>
      <c r="DNU69" s="1553"/>
      <c r="DNW69" s="1553"/>
      <c r="DNY69" s="1553"/>
      <c r="DOA69" s="1553"/>
      <c r="DOC69" s="1553"/>
      <c r="DOE69" s="1553"/>
      <c r="DOG69" s="1553"/>
      <c r="DOI69" s="1553"/>
      <c r="DOK69" s="1553"/>
      <c r="DOM69" s="1553"/>
      <c r="DOO69" s="1553"/>
      <c r="DOQ69" s="1553"/>
      <c r="DOS69" s="1553"/>
      <c r="DOU69" s="1553"/>
      <c r="DOW69" s="1553"/>
      <c r="DOY69" s="1553"/>
      <c r="DPA69" s="1553"/>
      <c r="DPC69" s="1553"/>
      <c r="DPE69" s="1553"/>
      <c r="DPG69" s="1553"/>
      <c r="DPI69" s="1553"/>
      <c r="DPK69" s="1553"/>
      <c r="DPM69" s="1553"/>
      <c r="DPO69" s="1553"/>
      <c r="DPQ69" s="1553"/>
      <c r="DPS69" s="1553"/>
      <c r="DPU69" s="1553"/>
      <c r="DPW69" s="1553"/>
      <c r="DPY69" s="1553"/>
      <c r="DQA69" s="1553"/>
      <c r="DQC69" s="1553"/>
      <c r="DQE69" s="1553"/>
      <c r="DQG69" s="1553"/>
      <c r="DQI69" s="1553"/>
      <c r="DQK69" s="1553"/>
      <c r="DQM69" s="1553"/>
      <c r="DQO69" s="1553"/>
      <c r="DQQ69" s="1553"/>
      <c r="DQS69" s="1553"/>
      <c r="DQU69" s="1553"/>
      <c r="DQW69" s="1553"/>
      <c r="DQY69" s="1553"/>
      <c r="DRA69" s="1553"/>
      <c r="DRC69" s="1553"/>
      <c r="DRE69" s="1553"/>
      <c r="DRG69" s="1553"/>
      <c r="DRI69" s="1553"/>
      <c r="DRK69" s="1553"/>
      <c r="DRM69" s="1553"/>
      <c r="DRO69" s="1553"/>
      <c r="DRQ69" s="1553"/>
      <c r="DRS69" s="1553"/>
      <c r="DRU69" s="1553"/>
      <c r="DRW69" s="1553"/>
      <c r="DRY69" s="1553"/>
      <c r="DSA69" s="1553"/>
      <c r="DSC69" s="1553"/>
      <c r="DSE69" s="1553"/>
      <c r="DSG69" s="1553"/>
      <c r="DSI69" s="1553"/>
      <c r="DSK69" s="1553"/>
      <c r="DSM69" s="1553"/>
      <c r="DSO69" s="1553"/>
      <c r="DSQ69" s="1553"/>
      <c r="DSS69" s="1553"/>
      <c r="DSU69" s="1553"/>
      <c r="DSW69" s="1553"/>
      <c r="DSY69" s="1553"/>
      <c r="DTA69" s="1553"/>
      <c r="DTC69" s="1553"/>
      <c r="DTE69" s="1553"/>
      <c r="DTG69" s="1553"/>
      <c r="DTI69" s="1553"/>
      <c r="DTK69" s="1553"/>
      <c r="DTM69" s="1553"/>
      <c r="DTO69" s="1553"/>
      <c r="DTQ69" s="1553"/>
      <c r="DTS69" s="1553"/>
      <c r="DTU69" s="1553"/>
      <c r="DTW69" s="1553"/>
      <c r="DTY69" s="1553"/>
      <c r="DUA69" s="1553"/>
      <c r="DUC69" s="1553"/>
      <c r="DUE69" s="1553"/>
      <c r="DUG69" s="1553"/>
      <c r="DUI69" s="1553"/>
      <c r="DUK69" s="1553"/>
      <c r="DUM69" s="1553"/>
      <c r="DUO69" s="1553"/>
      <c r="DUQ69" s="1553"/>
      <c r="DUS69" s="1553"/>
      <c r="DUU69" s="1553"/>
      <c r="DUW69" s="1553"/>
      <c r="DUY69" s="1553"/>
      <c r="DVA69" s="1553"/>
      <c r="DVC69" s="1553"/>
      <c r="DVE69" s="1553"/>
      <c r="DVG69" s="1553"/>
      <c r="DVI69" s="1553"/>
      <c r="DVK69" s="1553"/>
      <c r="DVM69" s="1553"/>
      <c r="DVO69" s="1553"/>
      <c r="DVQ69" s="1553"/>
      <c r="DVS69" s="1553"/>
      <c r="DVU69" s="1553"/>
      <c r="DVW69" s="1553"/>
      <c r="DVY69" s="1553"/>
      <c r="DWA69" s="1553"/>
      <c r="DWC69" s="1553"/>
      <c r="DWE69" s="1553"/>
      <c r="DWG69" s="1553"/>
      <c r="DWI69" s="1553"/>
      <c r="DWK69" s="1553"/>
      <c r="DWM69" s="1553"/>
      <c r="DWO69" s="1553"/>
      <c r="DWQ69" s="1553"/>
      <c r="DWS69" s="1553"/>
      <c r="DWU69" s="1553"/>
      <c r="DWW69" s="1553"/>
      <c r="DWY69" s="1553"/>
      <c r="DXA69" s="1553"/>
      <c r="DXC69" s="1553"/>
      <c r="DXE69" s="1553"/>
      <c r="DXG69" s="1553"/>
      <c r="DXI69" s="1553"/>
      <c r="DXK69" s="1553"/>
      <c r="DXM69" s="1553"/>
      <c r="DXO69" s="1553"/>
      <c r="DXQ69" s="1553"/>
      <c r="DXS69" s="1553"/>
      <c r="DXU69" s="1553"/>
      <c r="DXW69" s="1553"/>
      <c r="DXY69" s="1553"/>
      <c r="DYA69" s="1553"/>
      <c r="DYC69" s="1553"/>
      <c r="DYE69" s="1553"/>
      <c r="DYG69" s="1553"/>
      <c r="DYI69" s="1553"/>
      <c r="DYK69" s="1553"/>
      <c r="DYM69" s="1553"/>
      <c r="DYO69" s="1553"/>
      <c r="DYQ69" s="1553"/>
      <c r="DYS69" s="1553"/>
      <c r="DYU69" s="1553"/>
      <c r="DYW69" s="1553"/>
      <c r="DYY69" s="1553"/>
      <c r="DZA69" s="1553"/>
      <c r="DZC69" s="1553"/>
      <c r="DZE69" s="1553"/>
      <c r="DZG69" s="1553"/>
      <c r="DZI69" s="1553"/>
      <c r="DZK69" s="1553"/>
      <c r="DZM69" s="1553"/>
      <c r="DZO69" s="1553"/>
      <c r="DZQ69" s="1553"/>
      <c r="DZS69" s="1553"/>
      <c r="DZU69" s="1553"/>
      <c r="DZW69" s="1553"/>
      <c r="DZY69" s="1553"/>
      <c r="EAA69" s="1553"/>
      <c r="EAC69" s="1553"/>
      <c r="EAE69" s="1553"/>
      <c r="EAG69" s="1553"/>
      <c r="EAI69" s="1553"/>
      <c r="EAK69" s="1553"/>
      <c r="EAM69" s="1553"/>
      <c r="EAO69" s="1553"/>
      <c r="EAQ69" s="1553"/>
      <c r="EAS69" s="1553"/>
      <c r="EAU69" s="1553"/>
      <c r="EAW69" s="1553"/>
      <c r="EAY69" s="1553"/>
      <c r="EBA69" s="1553"/>
      <c r="EBC69" s="1553"/>
      <c r="EBE69" s="1553"/>
      <c r="EBG69" s="1553"/>
      <c r="EBI69" s="1553"/>
      <c r="EBK69" s="1553"/>
      <c r="EBM69" s="1553"/>
      <c r="EBO69" s="1553"/>
      <c r="EBQ69" s="1553"/>
      <c r="EBS69" s="1553"/>
      <c r="EBU69" s="1553"/>
      <c r="EBW69" s="1553"/>
      <c r="EBY69" s="1553"/>
      <c r="ECA69" s="1553"/>
      <c r="ECC69" s="1553"/>
      <c r="ECE69" s="1553"/>
      <c r="ECG69" s="1553"/>
      <c r="ECI69" s="1553"/>
      <c r="ECK69" s="1553"/>
      <c r="ECM69" s="1553"/>
      <c r="ECO69" s="1553"/>
      <c r="ECQ69" s="1553"/>
      <c r="ECS69" s="1553"/>
      <c r="ECU69" s="1553"/>
      <c r="ECW69" s="1553"/>
      <c r="ECY69" s="1553"/>
      <c r="EDA69" s="1553"/>
      <c r="EDC69" s="1553"/>
      <c r="EDE69" s="1553"/>
      <c r="EDG69" s="1553"/>
      <c r="EDI69" s="1553"/>
      <c r="EDK69" s="1553"/>
      <c r="EDM69" s="1553"/>
      <c r="EDO69" s="1553"/>
      <c r="EDQ69" s="1553"/>
      <c r="EDS69" s="1553"/>
      <c r="EDU69" s="1553"/>
      <c r="EDW69" s="1553"/>
      <c r="EDY69" s="1553"/>
      <c r="EEA69" s="1553"/>
      <c r="EEC69" s="1553"/>
      <c r="EEE69" s="1553"/>
      <c r="EEG69" s="1553"/>
      <c r="EEI69" s="1553"/>
      <c r="EEK69" s="1553"/>
      <c r="EEM69" s="1553"/>
      <c r="EEO69" s="1553"/>
      <c r="EEQ69" s="1553"/>
      <c r="EES69" s="1553"/>
      <c r="EEU69" s="1553"/>
      <c r="EEW69" s="1553"/>
      <c r="EEY69" s="1553"/>
      <c r="EFA69" s="1553"/>
      <c r="EFC69" s="1553"/>
      <c r="EFE69" s="1553"/>
      <c r="EFG69" s="1553"/>
      <c r="EFI69" s="1553"/>
      <c r="EFK69" s="1553"/>
      <c r="EFM69" s="1553"/>
      <c r="EFO69" s="1553"/>
      <c r="EFQ69" s="1553"/>
      <c r="EFS69" s="1553"/>
      <c r="EFU69" s="1553"/>
      <c r="EFW69" s="1553"/>
      <c r="EFY69" s="1553"/>
      <c r="EGA69" s="1553"/>
      <c r="EGC69" s="1553"/>
      <c r="EGE69" s="1553"/>
      <c r="EGG69" s="1553"/>
      <c r="EGI69" s="1553"/>
      <c r="EGK69" s="1553"/>
      <c r="EGM69" s="1553"/>
      <c r="EGO69" s="1553"/>
      <c r="EGQ69" s="1553"/>
      <c r="EGS69" s="1553"/>
      <c r="EGU69" s="1553"/>
      <c r="EGW69" s="1553"/>
      <c r="EGY69" s="1553"/>
      <c r="EHA69" s="1553"/>
      <c r="EHC69" s="1553"/>
      <c r="EHE69" s="1553"/>
      <c r="EHG69" s="1553"/>
      <c r="EHI69" s="1553"/>
      <c r="EHK69" s="1553"/>
      <c r="EHM69" s="1553"/>
      <c r="EHO69" s="1553"/>
      <c r="EHQ69" s="1553"/>
      <c r="EHS69" s="1553"/>
      <c r="EHU69" s="1553"/>
      <c r="EHW69" s="1553"/>
      <c r="EHY69" s="1553"/>
      <c r="EIA69" s="1553"/>
      <c r="EIC69" s="1553"/>
      <c r="EIE69" s="1553"/>
      <c r="EIG69" s="1553"/>
      <c r="EII69" s="1553"/>
      <c r="EIK69" s="1553"/>
      <c r="EIM69" s="1553"/>
      <c r="EIO69" s="1553"/>
      <c r="EIQ69" s="1553"/>
      <c r="EIS69" s="1553"/>
      <c r="EIU69" s="1553"/>
      <c r="EIW69" s="1553"/>
      <c r="EIY69" s="1553"/>
      <c r="EJA69" s="1553"/>
      <c r="EJC69" s="1553"/>
      <c r="EJE69" s="1553"/>
      <c r="EJG69" s="1553"/>
      <c r="EJI69" s="1553"/>
      <c r="EJK69" s="1553"/>
      <c r="EJM69" s="1553"/>
      <c r="EJO69" s="1553"/>
      <c r="EJQ69" s="1553"/>
      <c r="EJS69" s="1553"/>
      <c r="EJU69" s="1553"/>
      <c r="EJW69" s="1553"/>
      <c r="EJY69" s="1553"/>
      <c r="EKA69" s="1553"/>
      <c r="EKC69" s="1553"/>
      <c r="EKE69" s="1553"/>
      <c r="EKG69" s="1553"/>
      <c r="EKI69" s="1553"/>
      <c r="EKK69" s="1553"/>
      <c r="EKM69" s="1553"/>
      <c r="EKO69" s="1553"/>
      <c r="EKQ69" s="1553"/>
      <c r="EKS69" s="1553"/>
      <c r="EKU69" s="1553"/>
      <c r="EKW69" s="1553"/>
      <c r="EKY69" s="1553"/>
      <c r="ELA69" s="1553"/>
      <c r="ELC69" s="1553"/>
      <c r="ELE69" s="1553"/>
      <c r="ELG69" s="1553"/>
      <c r="ELI69" s="1553"/>
      <c r="ELK69" s="1553"/>
      <c r="ELM69" s="1553"/>
      <c r="ELO69" s="1553"/>
      <c r="ELQ69" s="1553"/>
      <c r="ELS69" s="1553"/>
      <c r="ELU69" s="1553"/>
      <c r="ELW69" s="1553"/>
      <c r="ELY69" s="1553"/>
      <c r="EMA69" s="1553"/>
      <c r="EMC69" s="1553"/>
      <c r="EME69" s="1553"/>
      <c r="EMG69" s="1553"/>
      <c r="EMI69" s="1553"/>
      <c r="EMK69" s="1553"/>
      <c r="EMM69" s="1553"/>
      <c r="EMO69" s="1553"/>
      <c r="EMQ69" s="1553"/>
      <c r="EMS69" s="1553"/>
      <c r="EMU69" s="1553"/>
      <c r="EMW69" s="1553"/>
      <c r="EMY69" s="1553"/>
      <c r="ENA69" s="1553"/>
      <c r="ENC69" s="1553"/>
      <c r="ENE69" s="1553"/>
      <c r="ENG69" s="1553"/>
      <c r="ENI69" s="1553"/>
      <c r="ENK69" s="1553"/>
      <c r="ENM69" s="1553"/>
      <c r="ENO69" s="1553"/>
      <c r="ENQ69" s="1553"/>
      <c r="ENS69" s="1553"/>
      <c r="ENU69" s="1553"/>
      <c r="ENW69" s="1553"/>
      <c r="ENY69" s="1553"/>
      <c r="EOA69" s="1553"/>
      <c r="EOC69" s="1553"/>
      <c r="EOE69" s="1553"/>
      <c r="EOG69" s="1553"/>
      <c r="EOI69" s="1553"/>
      <c r="EOK69" s="1553"/>
      <c r="EOM69" s="1553"/>
      <c r="EOO69" s="1553"/>
      <c r="EOQ69" s="1553"/>
      <c r="EOS69" s="1553"/>
      <c r="EOU69" s="1553"/>
      <c r="EOW69" s="1553"/>
      <c r="EOY69" s="1553"/>
      <c r="EPA69" s="1553"/>
      <c r="EPC69" s="1553"/>
      <c r="EPE69" s="1553"/>
      <c r="EPG69" s="1553"/>
      <c r="EPI69" s="1553"/>
      <c r="EPK69" s="1553"/>
      <c r="EPM69" s="1553"/>
      <c r="EPO69" s="1553"/>
      <c r="EPQ69" s="1553"/>
      <c r="EPS69" s="1553"/>
      <c r="EPU69" s="1553"/>
      <c r="EPW69" s="1553"/>
      <c r="EPY69" s="1553"/>
      <c r="EQA69" s="1553"/>
      <c r="EQC69" s="1553"/>
      <c r="EQE69" s="1553"/>
      <c r="EQG69" s="1553"/>
      <c r="EQI69" s="1553"/>
      <c r="EQK69" s="1553"/>
      <c r="EQM69" s="1553"/>
      <c r="EQO69" s="1553"/>
      <c r="EQQ69" s="1553"/>
      <c r="EQS69" s="1553"/>
      <c r="EQU69" s="1553"/>
      <c r="EQW69" s="1553"/>
      <c r="EQY69" s="1553"/>
      <c r="ERA69" s="1553"/>
      <c r="ERC69" s="1553"/>
      <c r="ERE69" s="1553"/>
      <c r="ERG69" s="1553"/>
      <c r="ERI69" s="1553"/>
      <c r="ERK69" s="1553"/>
      <c r="ERM69" s="1553"/>
      <c r="ERO69" s="1553"/>
      <c r="ERQ69" s="1553"/>
      <c r="ERS69" s="1553"/>
      <c r="ERU69" s="1553"/>
      <c r="ERW69" s="1553"/>
      <c r="ERY69" s="1553"/>
      <c r="ESA69" s="1553"/>
      <c r="ESC69" s="1553"/>
      <c r="ESE69" s="1553"/>
      <c r="ESG69" s="1553"/>
      <c r="ESI69" s="1553"/>
      <c r="ESK69" s="1553"/>
      <c r="ESM69" s="1553"/>
      <c r="ESO69" s="1553"/>
      <c r="ESQ69" s="1553"/>
      <c r="ESS69" s="1553"/>
      <c r="ESU69" s="1553"/>
      <c r="ESW69" s="1553"/>
      <c r="ESY69" s="1553"/>
      <c r="ETA69" s="1553"/>
      <c r="ETC69" s="1553"/>
      <c r="ETE69" s="1553"/>
      <c r="ETG69" s="1553"/>
      <c r="ETI69" s="1553"/>
      <c r="ETK69" s="1553"/>
      <c r="ETM69" s="1553"/>
      <c r="ETO69" s="1553"/>
      <c r="ETQ69" s="1553"/>
      <c r="ETS69" s="1553"/>
      <c r="ETU69" s="1553"/>
      <c r="ETW69" s="1553"/>
      <c r="ETY69" s="1553"/>
      <c r="EUA69" s="1553"/>
      <c r="EUC69" s="1553"/>
      <c r="EUE69" s="1553"/>
      <c r="EUG69" s="1553"/>
      <c r="EUI69" s="1553"/>
      <c r="EUK69" s="1553"/>
      <c r="EUM69" s="1553"/>
      <c r="EUO69" s="1553"/>
      <c r="EUQ69" s="1553"/>
      <c r="EUS69" s="1553"/>
      <c r="EUU69" s="1553"/>
      <c r="EUW69" s="1553"/>
      <c r="EUY69" s="1553"/>
      <c r="EVA69" s="1553"/>
      <c r="EVC69" s="1553"/>
      <c r="EVE69" s="1553"/>
      <c r="EVG69" s="1553"/>
      <c r="EVI69" s="1553"/>
      <c r="EVK69" s="1553"/>
      <c r="EVM69" s="1553"/>
      <c r="EVO69" s="1553"/>
      <c r="EVQ69" s="1553"/>
      <c r="EVS69" s="1553"/>
      <c r="EVU69" s="1553"/>
      <c r="EVW69" s="1553"/>
      <c r="EVY69" s="1553"/>
      <c r="EWA69" s="1553"/>
      <c r="EWC69" s="1553"/>
      <c r="EWE69" s="1553"/>
      <c r="EWG69" s="1553"/>
      <c r="EWI69" s="1553"/>
      <c r="EWK69" s="1553"/>
      <c r="EWM69" s="1553"/>
      <c r="EWO69" s="1553"/>
      <c r="EWQ69" s="1553"/>
      <c r="EWS69" s="1553"/>
      <c r="EWU69" s="1553"/>
      <c r="EWW69" s="1553"/>
      <c r="EWY69" s="1553"/>
      <c r="EXA69" s="1553"/>
      <c r="EXC69" s="1553"/>
      <c r="EXE69" s="1553"/>
      <c r="EXG69" s="1553"/>
      <c r="EXI69" s="1553"/>
      <c r="EXK69" s="1553"/>
      <c r="EXM69" s="1553"/>
      <c r="EXO69" s="1553"/>
      <c r="EXQ69" s="1553"/>
      <c r="EXS69" s="1553"/>
      <c r="EXU69" s="1553"/>
      <c r="EXW69" s="1553"/>
      <c r="EXY69" s="1553"/>
      <c r="EYA69" s="1553"/>
      <c r="EYC69" s="1553"/>
      <c r="EYE69" s="1553"/>
      <c r="EYG69" s="1553"/>
      <c r="EYI69" s="1553"/>
      <c r="EYK69" s="1553"/>
      <c r="EYM69" s="1553"/>
      <c r="EYO69" s="1553"/>
      <c r="EYQ69" s="1553"/>
      <c r="EYS69" s="1553"/>
      <c r="EYU69" s="1553"/>
      <c r="EYW69" s="1553"/>
      <c r="EYY69" s="1553"/>
      <c r="EZA69" s="1553"/>
      <c r="EZC69" s="1553"/>
      <c r="EZE69" s="1553"/>
      <c r="EZG69" s="1553"/>
      <c r="EZI69" s="1553"/>
      <c r="EZK69" s="1553"/>
      <c r="EZM69" s="1553"/>
      <c r="EZO69" s="1553"/>
      <c r="EZQ69" s="1553"/>
      <c r="EZS69" s="1553"/>
      <c r="EZU69" s="1553"/>
      <c r="EZW69" s="1553"/>
      <c r="EZY69" s="1553"/>
      <c r="FAA69" s="1553"/>
      <c r="FAC69" s="1553"/>
      <c r="FAE69" s="1553"/>
      <c r="FAG69" s="1553"/>
      <c r="FAI69" s="1553"/>
      <c r="FAK69" s="1553"/>
      <c r="FAM69" s="1553"/>
      <c r="FAO69" s="1553"/>
      <c r="FAQ69" s="1553"/>
      <c r="FAS69" s="1553"/>
      <c r="FAU69" s="1553"/>
      <c r="FAW69" s="1553"/>
      <c r="FAY69" s="1553"/>
      <c r="FBA69" s="1553"/>
      <c r="FBC69" s="1553"/>
      <c r="FBE69" s="1553"/>
      <c r="FBG69" s="1553"/>
      <c r="FBI69" s="1553"/>
      <c r="FBK69" s="1553"/>
      <c r="FBM69" s="1553"/>
      <c r="FBO69" s="1553"/>
      <c r="FBQ69" s="1553"/>
      <c r="FBS69" s="1553"/>
      <c r="FBU69" s="1553"/>
      <c r="FBW69" s="1553"/>
      <c r="FBY69" s="1553"/>
      <c r="FCA69" s="1553"/>
      <c r="FCC69" s="1553"/>
      <c r="FCE69" s="1553"/>
      <c r="FCG69" s="1553"/>
      <c r="FCI69" s="1553"/>
      <c r="FCK69" s="1553"/>
      <c r="FCM69" s="1553"/>
      <c r="FCO69" s="1553"/>
      <c r="FCQ69" s="1553"/>
      <c r="FCS69" s="1553"/>
      <c r="FCU69" s="1553"/>
      <c r="FCW69" s="1553"/>
      <c r="FCY69" s="1553"/>
      <c r="FDA69" s="1553"/>
      <c r="FDC69" s="1553"/>
      <c r="FDE69" s="1553"/>
      <c r="FDG69" s="1553"/>
      <c r="FDI69" s="1553"/>
      <c r="FDK69" s="1553"/>
      <c r="FDM69" s="1553"/>
      <c r="FDO69" s="1553"/>
      <c r="FDQ69" s="1553"/>
      <c r="FDS69" s="1553"/>
      <c r="FDU69" s="1553"/>
      <c r="FDW69" s="1553"/>
      <c r="FDY69" s="1553"/>
      <c r="FEA69" s="1553"/>
      <c r="FEC69" s="1553"/>
      <c r="FEE69" s="1553"/>
      <c r="FEG69" s="1553"/>
      <c r="FEI69" s="1553"/>
      <c r="FEK69" s="1553"/>
      <c r="FEM69" s="1553"/>
      <c r="FEO69" s="1553"/>
      <c r="FEQ69" s="1553"/>
      <c r="FES69" s="1553"/>
      <c r="FEU69" s="1553"/>
      <c r="FEW69" s="1553"/>
      <c r="FEY69" s="1553"/>
      <c r="FFA69" s="1553"/>
      <c r="FFC69" s="1553"/>
      <c r="FFE69" s="1553"/>
      <c r="FFG69" s="1553"/>
      <c r="FFI69" s="1553"/>
      <c r="FFK69" s="1553"/>
      <c r="FFM69" s="1553"/>
      <c r="FFO69" s="1553"/>
      <c r="FFQ69" s="1553"/>
      <c r="FFS69" s="1553"/>
      <c r="FFU69" s="1553"/>
      <c r="FFW69" s="1553"/>
      <c r="FFY69" s="1553"/>
      <c r="FGA69" s="1553"/>
      <c r="FGC69" s="1553"/>
      <c r="FGE69" s="1553"/>
      <c r="FGG69" s="1553"/>
      <c r="FGI69" s="1553"/>
      <c r="FGK69" s="1553"/>
      <c r="FGM69" s="1553"/>
      <c r="FGO69" s="1553"/>
      <c r="FGQ69" s="1553"/>
      <c r="FGS69" s="1553"/>
      <c r="FGU69" s="1553"/>
      <c r="FGW69" s="1553"/>
      <c r="FGY69" s="1553"/>
      <c r="FHA69" s="1553"/>
      <c r="FHC69" s="1553"/>
      <c r="FHE69" s="1553"/>
      <c r="FHG69" s="1553"/>
      <c r="FHI69" s="1553"/>
      <c r="FHK69" s="1553"/>
      <c r="FHM69" s="1553"/>
      <c r="FHO69" s="1553"/>
      <c r="FHQ69" s="1553"/>
      <c r="FHS69" s="1553"/>
      <c r="FHU69" s="1553"/>
      <c r="FHW69" s="1553"/>
      <c r="FHY69" s="1553"/>
      <c r="FIA69" s="1553"/>
      <c r="FIC69" s="1553"/>
      <c r="FIE69" s="1553"/>
      <c r="FIG69" s="1553"/>
      <c r="FII69" s="1553"/>
      <c r="FIK69" s="1553"/>
      <c r="FIM69" s="1553"/>
      <c r="FIO69" s="1553"/>
      <c r="FIQ69" s="1553"/>
      <c r="FIS69" s="1553"/>
      <c r="FIU69" s="1553"/>
      <c r="FIW69" s="1553"/>
      <c r="FIY69" s="1553"/>
      <c r="FJA69" s="1553"/>
      <c r="FJC69" s="1553"/>
      <c r="FJE69" s="1553"/>
      <c r="FJG69" s="1553"/>
      <c r="FJI69" s="1553"/>
      <c r="FJK69" s="1553"/>
      <c r="FJM69" s="1553"/>
      <c r="FJO69" s="1553"/>
      <c r="FJQ69" s="1553"/>
      <c r="FJS69" s="1553"/>
      <c r="FJU69" s="1553"/>
      <c r="FJW69" s="1553"/>
      <c r="FJY69" s="1553"/>
      <c r="FKA69" s="1553"/>
      <c r="FKC69" s="1553"/>
      <c r="FKE69" s="1553"/>
      <c r="FKG69" s="1553"/>
      <c r="FKI69" s="1553"/>
      <c r="FKK69" s="1553"/>
      <c r="FKM69" s="1553"/>
      <c r="FKO69" s="1553"/>
      <c r="FKQ69" s="1553"/>
      <c r="FKS69" s="1553"/>
      <c r="FKU69" s="1553"/>
      <c r="FKW69" s="1553"/>
      <c r="FKY69" s="1553"/>
      <c r="FLA69" s="1553"/>
      <c r="FLC69" s="1553"/>
      <c r="FLE69" s="1553"/>
      <c r="FLG69" s="1553"/>
      <c r="FLI69" s="1553"/>
      <c r="FLK69" s="1553"/>
      <c r="FLM69" s="1553"/>
      <c r="FLO69" s="1553"/>
      <c r="FLQ69" s="1553"/>
      <c r="FLS69" s="1553"/>
      <c r="FLU69" s="1553"/>
      <c r="FLW69" s="1553"/>
      <c r="FLY69" s="1553"/>
      <c r="FMA69" s="1553"/>
      <c r="FMC69" s="1553"/>
      <c r="FME69" s="1553"/>
      <c r="FMG69" s="1553"/>
      <c r="FMI69" s="1553"/>
      <c r="FMK69" s="1553"/>
      <c r="FMM69" s="1553"/>
      <c r="FMO69" s="1553"/>
      <c r="FMQ69" s="1553"/>
      <c r="FMS69" s="1553"/>
      <c r="FMU69" s="1553"/>
      <c r="FMW69" s="1553"/>
      <c r="FMY69" s="1553"/>
      <c r="FNA69" s="1553"/>
      <c r="FNC69" s="1553"/>
      <c r="FNE69" s="1553"/>
      <c r="FNG69" s="1553"/>
      <c r="FNI69" s="1553"/>
      <c r="FNK69" s="1553"/>
      <c r="FNM69" s="1553"/>
      <c r="FNO69" s="1553"/>
      <c r="FNQ69" s="1553"/>
      <c r="FNS69" s="1553"/>
      <c r="FNU69" s="1553"/>
      <c r="FNW69" s="1553"/>
      <c r="FNY69" s="1553"/>
      <c r="FOA69" s="1553"/>
      <c r="FOC69" s="1553"/>
      <c r="FOE69" s="1553"/>
      <c r="FOG69" s="1553"/>
      <c r="FOI69" s="1553"/>
      <c r="FOK69" s="1553"/>
      <c r="FOM69" s="1553"/>
      <c r="FOO69" s="1553"/>
      <c r="FOQ69" s="1553"/>
      <c r="FOS69" s="1553"/>
      <c r="FOU69" s="1553"/>
      <c r="FOW69" s="1553"/>
      <c r="FOY69" s="1553"/>
      <c r="FPA69" s="1553"/>
      <c r="FPC69" s="1553"/>
      <c r="FPE69" s="1553"/>
      <c r="FPG69" s="1553"/>
      <c r="FPI69" s="1553"/>
      <c r="FPK69" s="1553"/>
      <c r="FPM69" s="1553"/>
      <c r="FPO69" s="1553"/>
      <c r="FPQ69" s="1553"/>
      <c r="FPS69" s="1553"/>
      <c r="FPU69" s="1553"/>
      <c r="FPW69" s="1553"/>
      <c r="FPY69" s="1553"/>
      <c r="FQA69" s="1553"/>
      <c r="FQC69" s="1553"/>
      <c r="FQE69" s="1553"/>
      <c r="FQG69" s="1553"/>
      <c r="FQI69" s="1553"/>
      <c r="FQK69" s="1553"/>
      <c r="FQM69" s="1553"/>
      <c r="FQO69" s="1553"/>
      <c r="FQQ69" s="1553"/>
      <c r="FQS69" s="1553"/>
      <c r="FQU69" s="1553"/>
      <c r="FQW69" s="1553"/>
      <c r="FQY69" s="1553"/>
      <c r="FRA69" s="1553"/>
      <c r="FRC69" s="1553"/>
      <c r="FRE69" s="1553"/>
      <c r="FRG69" s="1553"/>
      <c r="FRI69" s="1553"/>
      <c r="FRK69" s="1553"/>
      <c r="FRM69" s="1553"/>
      <c r="FRO69" s="1553"/>
      <c r="FRQ69" s="1553"/>
      <c r="FRS69" s="1553"/>
      <c r="FRU69" s="1553"/>
      <c r="FRW69" s="1553"/>
      <c r="FRY69" s="1553"/>
      <c r="FSA69" s="1553"/>
      <c r="FSC69" s="1553"/>
      <c r="FSE69" s="1553"/>
      <c r="FSG69" s="1553"/>
      <c r="FSI69" s="1553"/>
      <c r="FSK69" s="1553"/>
      <c r="FSM69" s="1553"/>
      <c r="FSO69" s="1553"/>
      <c r="FSQ69" s="1553"/>
      <c r="FSS69" s="1553"/>
      <c r="FSU69" s="1553"/>
      <c r="FSW69" s="1553"/>
      <c r="FSY69" s="1553"/>
      <c r="FTA69" s="1553"/>
      <c r="FTC69" s="1553"/>
      <c r="FTE69" s="1553"/>
      <c r="FTG69" s="1553"/>
      <c r="FTI69" s="1553"/>
      <c r="FTK69" s="1553"/>
      <c r="FTM69" s="1553"/>
      <c r="FTO69" s="1553"/>
      <c r="FTQ69" s="1553"/>
      <c r="FTS69" s="1553"/>
      <c r="FTU69" s="1553"/>
      <c r="FTW69" s="1553"/>
      <c r="FTY69" s="1553"/>
      <c r="FUA69" s="1553"/>
      <c r="FUC69" s="1553"/>
      <c r="FUE69" s="1553"/>
      <c r="FUG69" s="1553"/>
      <c r="FUI69" s="1553"/>
      <c r="FUK69" s="1553"/>
      <c r="FUM69" s="1553"/>
      <c r="FUO69" s="1553"/>
      <c r="FUQ69" s="1553"/>
      <c r="FUS69" s="1553"/>
      <c r="FUU69" s="1553"/>
      <c r="FUW69" s="1553"/>
      <c r="FUY69" s="1553"/>
      <c r="FVA69" s="1553"/>
      <c r="FVC69" s="1553"/>
      <c r="FVE69" s="1553"/>
      <c r="FVG69" s="1553"/>
      <c r="FVI69" s="1553"/>
      <c r="FVK69" s="1553"/>
      <c r="FVM69" s="1553"/>
      <c r="FVO69" s="1553"/>
      <c r="FVQ69" s="1553"/>
      <c r="FVS69" s="1553"/>
      <c r="FVU69" s="1553"/>
      <c r="FVW69" s="1553"/>
      <c r="FVY69" s="1553"/>
      <c r="FWA69" s="1553"/>
      <c r="FWC69" s="1553"/>
      <c r="FWE69" s="1553"/>
      <c r="FWG69" s="1553"/>
      <c r="FWI69" s="1553"/>
      <c r="FWK69" s="1553"/>
      <c r="FWM69" s="1553"/>
      <c r="FWO69" s="1553"/>
      <c r="FWQ69" s="1553"/>
      <c r="FWS69" s="1553"/>
      <c r="FWU69" s="1553"/>
      <c r="FWW69" s="1553"/>
      <c r="FWY69" s="1553"/>
      <c r="FXA69" s="1553"/>
      <c r="FXC69" s="1553"/>
      <c r="FXE69" s="1553"/>
      <c r="FXG69" s="1553"/>
      <c r="FXI69" s="1553"/>
      <c r="FXK69" s="1553"/>
      <c r="FXM69" s="1553"/>
      <c r="FXO69" s="1553"/>
      <c r="FXQ69" s="1553"/>
      <c r="FXS69" s="1553"/>
      <c r="FXU69" s="1553"/>
      <c r="FXW69" s="1553"/>
      <c r="FXY69" s="1553"/>
      <c r="FYA69" s="1553"/>
      <c r="FYC69" s="1553"/>
      <c r="FYE69" s="1553"/>
      <c r="FYG69" s="1553"/>
      <c r="FYI69" s="1553"/>
      <c r="FYK69" s="1553"/>
      <c r="FYM69" s="1553"/>
      <c r="FYO69" s="1553"/>
      <c r="FYQ69" s="1553"/>
      <c r="FYS69" s="1553"/>
      <c r="FYU69" s="1553"/>
      <c r="FYW69" s="1553"/>
      <c r="FYY69" s="1553"/>
      <c r="FZA69" s="1553"/>
      <c r="FZC69" s="1553"/>
      <c r="FZE69" s="1553"/>
      <c r="FZG69" s="1553"/>
      <c r="FZI69" s="1553"/>
      <c r="FZK69" s="1553"/>
      <c r="FZM69" s="1553"/>
      <c r="FZO69" s="1553"/>
      <c r="FZQ69" s="1553"/>
      <c r="FZS69" s="1553"/>
      <c r="FZU69" s="1553"/>
      <c r="FZW69" s="1553"/>
      <c r="FZY69" s="1553"/>
      <c r="GAA69" s="1553"/>
      <c r="GAC69" s="1553"/>
      <c r="GAE69" s="1553"/>
      <c r="GAG69" s="1553"/>
      <c r="GAI69" s="1553"/>
      <c r="GAK69" s="1553"/>
      <c r="GAM69" s="1553"/>
      <c r="GAO69" s="1553"/>
      <c r="GAQ69" s="1553"/>
      <c r="GAS69" s="1553"/>
      <c r="GAU69" s="1553"/>
      <c r="GAW69" s="1553"/>
      <c r="GAY69" s="1553"/>
      <c r="GBA69" s="1553"/>
      <c r="GBC69" s="1553"/>
      <c r="GBE69" s="1553"/>
      <c r="GBG69" s="1553"/>
      <c r="GBI69" s="1553"/>
      <c r="GBK69" s="1553"/>
      <c r="GBM69" s="1553"/>
      <c r="GBO69" s="1553"/>
      <c r="GBQ69" s="1553"/>
      <c r="GBS69" s="1553"/>
      <c r="GBU69" s="1553"/>
      <c r="GBW69" s="1553"/>
      <c r="GBY69" s="1553"/>
      <c r="GCA69" s="1553"/>
      <c r="GCC69" s="1553"/>
      <c r="GCE69" s="1553"/>
      <c r="GCG69" s="1553"/>
      <c r="GCI69" s="1553"/>
      <c r="GCK69" s="1553"/>
      <c r="GCM69" s="1553"/>
      <c r="GCO69" s="1553"/>
      <c r="GCQ69" s="1553"/>
      <c r="GCS69" s="1553"/>
      <c r="GCU69" s="1553"/>
      <c r="GCW69" s="1553"/>
      <c r="GCY69" s="1553"/>
      <c r="GDA69" s="1553"/>
      <c r="GDC69" s="1553"/>
      <c r="GDE69" s="1553"/>
      <c r="GDG69" s="1553"/>
      <c r="GDI69" s="1553"/>
      <c r="GDK69" s="1553"/>
      <c r="GDM69" s="1553"/>
      <c r="GDO69" s="1553"/>
      <c r="GDQ69" s="1553"/>
      <c r="GDS69" s="1553"/>
      <c r="GDU69" s="1553"/>
      <c r="GDW69" s="1553"/>
      <c r="GDY69" s="1553"/>
      <c r="GEA69" s="1553"/>
      <c r="GEC69" s="1553"/>
      <c r="GEE69" s="1553"/>
      <c r="GEG69" s="1553"/>
      <c r="GEI69" s="1553"/>
      <c r="GEK69" s="1553"/>
      <c r="GEM69" s="1553"/>
      <c r="GEO69" s="1553"/>
      <c r="GEQ69" s="1553"/>
      <c r="GES69" s="1553"/>
      <c r="GEU69" s="1553"/>
      <c r="GEW69" s="1553"/>
      <c r="GEY69" s="1553"/>
      <c r="GFA69" s="1553"/>
      <c r="GFC69" s="1553"/>
      <c r="GFE69" s="1553"/>
      <c r="GFG69" s="1553"/>
      <c r="GFI69" s="1553"/>
      <c r="GFK69" s="1553"/>
      <c r="GFM69" s="1553"/>
      <c r="GFO69" s="1553"/>
      <c r="GFQ69" s="1553"/>
      <c r="GFS69" s="1553"/>
      <c r="GFU69" s="1553"/>
      <c r="GFW69" s="1553"/>
      <c r="GFY69" s="1553"/>
      <c r="GGA69" s="1553"/>
      <c r="GGC69" s="1553"/>
      <c r="GGE69" s="1553"/>
      <c r="GGG69" s="1553"/>
      <c r="GGI69" s="1553"/>
      <c r="GGK69" s="1553"/>
      <c r="GGM69" s="1553"/>
      <c r="GGO69" s="1553"/>
      <c r="GGQ69" s="1553"/>
      <c r="GGS69" s="1553"/>
      <c r="GGU69" s="1553"/>
      <c r="GGW69" s="1553"/>
      <c r="GGY69" s="1553"/>
      <c r="GHA69" s="1553"/>
      <c r="GHC69" s="1553"/>
      <c r="GHE69" s="1553"/>
      <c r="GHG69" s="1553"/>
      <c r="GHI69" s="1553"/>
      <c r="GHK69" s="1553"/>
      <c r="GHM69" s="1553"/>
      <c r="GHO69" s="1553"/>
      <c r="GHQ69" s="1553"/>
      <c r="GHS69" s="1553"/>
      <c r="GHU69" s="1553"/>
      <c r="GHW69" s="1553"/>
      <c r="GHY69" s="1553"/>
      <c r="GIA69" s="1553"/>
      <c r="GIC69" s="1553"/>
      <c r="GIE69" s="1553"/>
      <c r="GIG69" s="1553"/>
      <c r="GII69" s="1553"/>
      <c r="GIK69" s="1553"/>
      <c r="GIM69" s="1553"/>
      <c r="GIO69" s="1553"/>
      <c r="GIQ69" s="1553"/>
      <c r="GIS69" s="1553"/>
      <c r="GIU69" s="1553"/>
      <c r="GIW69" s="1553"/>
      <c r="GIY69" s="1553"/>
      <c r="GJA69" s="1553"/>
      <c r="GJC69" s="1553"/>
      <c r="GJE69" s="1553"/>
      <c r="GJG69" s="1553"/>
      <c r="GJI69" s="1553"/>
      <c r="GJK69" s="1553"/>
      <c r="GJM69" s="1553"/>
      <c r="GJO69" s="1553"/>
      <c r="GJQ69" s="1553"/>
      <c r="GJS69" s="1553"/>
      <c r="GJU69" s="1553"/>
      <c r="GJW69" s="1553"/>
      <c r="GJY69" s="1553"/>
      <c r="GKA69" s="1553"/>
      <c r="GKC69" s="1553"/>
      <c r="GKE69" s="1553"/>
      <c r="GKG69" s="1553"/>
      <c r="GKI69" s="1553"/>
      <c r="GKK69" s="1553"/>
      <c r="GKM69" s="1553"/>
      <c r="GKO69" s="1553"/>
      <c r="GKQ69" s="1553"/>
      <c r="GKS69" s="1553"/>
      <c r="GKU69" s="1553"/>
      <c r="GKW69" s="1553"/>
      <c r="GKY69" s="1553"/>
      <c r="GLA69" s="1553"/>
      <c r="GLC69" s="1553"/>
      <c r="GLE69" s="1553"/>
      <c r="GLG69" s="1553"/>
      <c r="GLI69" s="1553"/>
      <c r="GLK69" s="1553"/>
      <c r="GLM69" s="1553"/>
      <c r="GLO69" s="1553"/>
      <c r="GLQ69" s="1553"/>
      <c r="GLS69" s="1553"/>
      <c r="GLU69" s="1553"/>
      <c r="GLW69" s="1553"/>
      <c r="GLY69" s="1553"/>
      <c r="GMA69" s="1553"/>
      <c r="GMC69" s="1553"/>
      <c r="GME69" s="1553"/>
      <c r="GMG69" s="1553"/>
      <c r="GMI69" s="1553"/>
      <c r="GMK69" s="1553"/>
      <c r="GMM69" s="1553"/>
      <c r="GMO69" s="1553"/>
      <c r="GMQ69" s="1553"/>
      <c r="GMS69" s="1553"/>
      <c r="GMU69" s="1553"/>
      <c r="GMW69" s="1553"/>
      <c r="GMY69" s="1553"/>
      <c r="GNA69" s="1553"/>
      <c r="GNC69" s="1553"/>
      <c r="GNE69" s="1553"/>
      <c r="GNG69" s="1553"/>
      <c r="GNI69" s="1553"/>
      <c r="GNK69" s="1553"/>
      <c r="GNM69" s="1553"/>
      <c r="GNO69" s="1553"/>
      <c r="GNQ69" s="1553"/>
      <c r="GNS69" s="1553"/>
      <c r="GNU69" s="1553"/>
      <c r="GNW69" s="1553"/>
      <c r="GNY69" s="1553"/>
      <c r="GOA69" s="1553"/>
      <c r="GOC69" s="1553"/>
      <c r="GOE69" s="1553"/>
      <c r="GOG69" s="1553"/>
      <c r="GOI69" s="1553"/>
      <c r="GOK69" s="1553"/>
      <c r="GOM69" s="1553"/>
      <c r="GOO69" s="1553"/>
      <c r="GOQ69" s="1553"/>
      <c r="GOS69" s="1553"/>
      <c r="GOU69" s="1553"/>
      <c r="GOW69" s="1553"/>
      <c r="GOY69" s="1553"/>
      <c r="GPA69" s="1553"/>
      <c r="GPC69" s="1553"/>
      <c r="GPE69" s="1553"/>
      <c r="GPG69" s="1553"/>
      <c r="GPI69" s="1553"/>
      <c r="GPK69" s="1553"/>
      <c r="GPM69" s="1553"/>
      <c r="GPO69" s="1553"/>
      <c r="GPQ69" s="1553"/>
      <c r="GPS69" s="1553"/>
      <c r="GPU69" s="1553"/>
      <c r="GPW69" s="1553"/>
      <c r="GPY69" s="1553"/>
      <c r="GQA69" s="1553"/>
      <c r="GQC69" s="1553"/>
      <c r="GQE69" s="1553"/>
      <c r="GQG69" s="1553"/>
      <c r="GQI69" s="1553"/>
      <c r="GQK69" s="1553"/>
      <c r="GQM69" s="1553"/>
      <c r="GQO69" s="1553"/>
      <c r="GQQ69" s="1553"/>
      <c r="GQS69" s="1553"/>
      <c r="GQU69" s="1553"/>
      <c r="GQW69" s="1553"/>
      <c r="GQY69" s="1553"/>
      <c r="GRA69" s="1553"/>
      <c r="GRC69" s="1553"/>
      <c r="GRE69" s="1553"/>
      <c r="GRG69" s="1553"/>
      <c r="GRI69" s="1553"/>
      <c r="GRK69" s="1553"/>
      <c r="GRM69" s="1553"/>
      <c r="GRO69" s="1553"/>
      <c r="GRQ69" s="1553"/>
      <c r="GRS69" s="1553"/>
      <c r="GRU69" s="1553"/>
      <c r="GRW69" s="1553"/>
      <c r="GRY69" s="1553"/>
      <c r="GSA69" s="1553"/>
      <c r="GSC69" s="1553"/>
      <c r="GSE69" s="1553"/>
      <c r="GSG69" s="1553"/>
      <c r="GSI69" s="1553"/>
      <c r="GSK69" s="1553"/>
      <c r="GSM69" s="1553"/>
      <c r="GSO69" s="1553"/>
      <c r="GSQ69" s="1553"/>
      <c r="GSS69" s="1553"/>
      <c r="GSU69" s="1553"/>
      <c r="GSW69" s="1553"/>
      <c r="GSY69" s="1553"/>
      <c r="GTA69" s="1553"/>
      <c r="GTC69" s="1553"/>
      <c r="GTE69" s="1553"/>
      <c r="GTG69" s="1553"/>
      <c r="GTI69" s="1553"/>
      <c r="GTK69" s="1553"/>
      <c r="GTM69" s="1553"/>
      <c r="GTO69" s="1553"/>
      <c r="GTQ69" s="1553"/>
      <c r="GTS69" s="1553"/>
      <c r="GTU69" s="1553"/>
      <c r="GTW69" s="1553"/>
      <c r="GTY69" s="1553"/>
      <c r="GUA69" s="1553"/>
      <c r="GUC69" s="1553"/>
      <c r="GUE69" s="1553"/>
      <c r="GUG69" s="1553"/>
      <c r="GUI69" s="1553"/>
      <c r="GUK69" s="1553"/>
      <c r="GUM69" s="1553"/>
      <c r="GUO69" s="1553"/>
      <c r="GUQ69" s="1553"/>
      <c r="GUS69" s="1553"/>
      <c r="GUU69" s="1553"/>
      <c r="GUW69" s="1553"/>
      <c r="GUY69" s="1553"/>
      <c r="GVA69" s="1553"/>
      <c r="GVC69" s="1553"/>
      <c r="GVE69" s="1553"/>
      <c r="GVG69" s="1553"/>
      <c r="GVI69" s="1553"/>
      <c r="GVK69" s="1553"/>
      <c r="GVM69" s="1553"/>
      <c r="GVO69" s="1553"/>
      <c r="GVQ69" s="1553"/>
      <c r="GVS69" s="1553"/>
      <c r="GVU69" s="1553"/>
      <c r="GVW69" s="1553"/>
      <c r="GVY69" s="1553"/>
      <c r="GWA69" s="1553"/>
      <c r="GWC69" s="1553"/>
      <c r="GWE69" s="1553"/>
      <c r="GWG69" s="1553"/>
      <c r="GWI69" s="1553"/>
      <c r="GWK69" s="1553"/>
      <c r="GWM69" s="1553"/>
      <c r="GWO69" s="1553"/>
      <c r="GWQ69" s="1553"/>
      <c r="GWS69" s="1553"/>
      <c r="GWU69" s="1553"/>
      <c r="GWW69" s="1553"/>
      <c r="GWY69" s="1553"/>
      <c r="GXA69" s="1553"/>
      <c r="GXC69" s="1553"/>
      <c r="GXE69" s="1553"/>
      <c r="GXG69" s="1553"/>
      <c r="GXI69" s="1553"/>
      <c r="GXK69" s="1553"/>
      <c r="GXM69" s="1553"/>
      <c r="GXO69" s="1553"/>
      <c r="GXQ69" s="1553"/>
      <c r="GXS69" s="1553"/>
      <c r="GXU69" s="1553"/>
      <c r="GXW69" s="1553"/>
      <c r="GXY69" s="1553"/>
      <c r="GYA69" s="1553"/>
      <c r="GYC69" s="1553"/>
      <c r="GYE69" s="1553"/>
      <c r="GYG69" s="1553"/>
      <c r="GYI69" s="1553"/>
      <c r="GYK69" s="1553"/>
      <c r="GYM69" s="1553"/>
      <c r="GYO69" s="1553"/>
      <c r="GYQ69" s="1553"/>
      <c r="GYS69" s="1553"/>
      <c r="GYU69" s="1553"/>
      <c r="GYW69" s="1553"/>
      <c r="GYY69" s="1553"/>
      <c r="GZA69" s="1553"/>
      <c r="GZC69" s="1553"/>
      <c r="GZE69" s="1553"/>
      <c r="GZG69" s="1553"/>
      <c r="GZI69" s="1553"/>
      <c r="GZK69" s="1553"/>
      <c r="GZM69" s="1553"/>
      <c r="GZO69" s="1553"/>
      <c r="GZQ69" s="1553"/>
      <c r="GZS69" s="1553"/>
      <c r="GZU69" s="1553"/>
      <c r="GZW69" s="1553"/>
      <c r="GZY69" s="1553"/>
      <c r="HAA69" s="1553"/>
      <c r="HAC69" s="1553"/>
      <c r="HAE69" s="1553"/>
      <c r="HAG69" s="1553"/>
      <c r="HAI69" s="1553"/>
      <c r="HAK69" s="1553"/>
      <c r="HAM69" s="1553"/>
      <c r="HAO69" s="1553"/>
      <c r="HAQ69" s="1553"/>
      <c r="HAS69" s="1553"/>
      <c r="HAU69" s="1553"/>
      <c r="HAW69" s="1553"/>
      <c r="HAY69" s="1553"/>
      <c r="HBA69" s="1553"/>
      <c r="HBC69" s="1553"/>
      <c r="HBE69" s="1553"/>
      <c r="HBG69" s="1553"/>
      <c r="HBI69" s="1553"/>
      <c r="HBK69" s="1553"/>
      <c r="HBM69" s="1553"/>
      <c r="HBO69" s="1553"/>
      <c r="HBQ69" s="1553"/>
      <c r="HBS69" s="1553"/>
      <c r="HBU69" s="1553"/>
      <c r="HBW69" s="1553"/>
      <c r="HBY69" s="1553"/>
      <c r="HCA69" s="1553"/>
      <c r="HCC69" s="1553"/>
      <c r="HCE69" s="1553"/>
      <c r="HCG69" s="1553"/>
      <c r="HCI69" s="1553"/>
      <c r="HCK69" s="1553"/>
      <c r="HCM69" s="1553"/>
      <c r="HCO69" s="1553"/>
      <c r="HCQ69" s="1553"/>
      <c r="HCS69" s="1553"/>
      <c r="HCU69" s="1553"/>
      <c r="HCW69" s="1553"/>
      <c r="HCY69" s="1553"/>
      <c r="HDA69" s="1553"/>
      <c r="HDC69" s="1553"/>
      <c r="HDE69" s="1553"/>
      <c r="HDG69" s="1553"/>
      <c r="HDI69" s="1553"/>
      <c r="HDK69" s="1553"/>
      <c r="HDM69" s="1553"/>
      <c r="HDO69" s="1553"/>
      <c r="HDQ69" s="1553"/>
      <c r="HDS69" s="1553"/>
      <c r="HDU69" s="1553"/>
      <c r="HDW69" s="1553"/>
      <c r="HDY69" s="1553"/>
      <c r="HEA69" s="1553"/>
      <c r="HEC69" s="1553"/>
      <c r="HEE69" s="1553"/>
      <c r="HEG69" s="1553"/>
      <c r="HEI69" s="1553"/>
      <c r="HEK69" s="1553"/>
      <c r="HEM69" s="1553"/>
      <c r="HEO69" s="1553"/>
      <c r="HEQ69" s="1553"/>
      <c r="HES69" s="1553"/>
      <c r="HEU69" s="1553"/>
      <c r="HEW69" s="1553"/>
      <c r="HEY69" s="1553"/>
      <c r="HFA69" s="1553"/>
      <c r="HFC69" s="1553"/>
      <c r="HFE69" s="1553"/>
      <c r="HFG69" s="1553"/>
      <c r="HFI69" s="1553"/>
      <c r="HFK69" s="1553"/>
      <c r="HFM69" s="1553"/>
      <c r="HFO69" s="1553"/>
      <c r="HFQ69" s="1553"/>
      <c r="HFS69" s="1553"/>
      <c r="HFU69" s="1553"/>
      <c r="HFW69" s="1553"/>
      <c r="HFY69" s="1553"/>
      <c r="HGA69" s="1553"/>
      <c r="HGC69" s="1553"/>
      <c r="HGE69" s="1553"/>
      <c r="HGG69" s="1553"/>
      <c r="HGI69" s="1553"/>
      <c r="HGK69" s="1553"/>
      <c r="HGM69" s="1553"/>
      <c r="HGO69" s="1553"/>
      <c r="HGQ69" s="1553"/>
      <c r="HGS69" s="1553"/>
      <c r="HGU69" s="1553"/>
      <c r="HGW69" s="1553"/>
      <c r="HGY69" s="1553"/>
      <c r="HHA69" s="1553"/>
      <c r="HHC69" s="1553"/>
      <c r="HHE69" s="1553"/>
      <c r="HHG69" s="1553"/>
      <c r="HHI69" s="1553"/>
      <c r="HHK69" s="1553"/>
      <c r="HHM69" s="1553"/>
      <c r="HHO69" s="1553"/>
      <c r="HHQ69" s="1553"/>
      <c r="HHS69" s="1553"/>
      <c r="HHU69" s="1553"/>
      <c r="HHW69" s="1553"/>
      <c r="HHY69" s="1553"/>
      <c r="HIA69" s="1553"/>
      <c r="HIC69" s="1553"/>
      <c r="HIE69" s="1553"/>
      <c r="HIG69" s="1553"/>
      <c r="HII69" s="1553"/>
      <c r="HIK69" s="1553"/>
      <c r="HIM69" s="1553"/>
      <c r="HIO69" s="1553"/>
      <c r="HIQ69" s="1553"/>
      <c r="HIS69" s="1553"/>
      <c r="HIU69" s="1553"/>
      <c r="HIW69" s="1553"/>
      <c r="HIY69" s="1553"/>
      <c r="HJA69" s="1553"/>
      <c r="HJC69" s="1553"/>
      <c r="HJE69" s="1553"/>
      <c r="HJG69" s="1553"/>
      <c r="HJI69" s="1553"/>
      <c r="HJK69" s="1553"/>
      <c r="HJM69" s="1553"/>
      <c r="HJO69" s="1553"/>
      <c r="HJQ69" s="1553"/>
      <c r="HJS69" s="1553"/>
      <c r="HJU69" s="1553"/>
      <c r="HJW69" s="1553"/>
      <c r="HJY69" s="1553"/>
      <c r="HKA69" s="1553"/>
      <c r="HKC69" s="1553"/>
      <c r="HKE69" s="1553"/>
      <c r="HKG69" s="1553"/>
      <c r="HKI69" s="1553"/>
      <c r="HKK69" s="1553"/>
      <c r="HKM69" s="1553"/>
      <c r="HKO69" s="1553"/>
      <c r="HKQ69" s="1553"/>
      <c r="HKS69" s="1553"/>
      <c r="HKU69" s="1553"/>
      <c r="HKW69" s="1553"/>
      <c r="HKY69" s="1553"/>
      <c r="HLA69" s="1553"/>
      <c r="HLC69" s="1553"/>
      <c r="HLE69" s="1553"/>
      <c r="HLG69" s="1553"/>
      <c r="HLI69" s="1553"/>
      <c r="HLK69" s="1553"/>
      <c r="HLM69" s="1553"/>
      <c r="HLO69" s="1553"/>
      <c r="HLQ69" s="1553"/>
      <c r="HLS69" s="1553"/>
      <c r="HLU69" s="1553"/>
      <c r="HLW69" s="1553"/>
      <c r="HLY69" s="1553"/>
      <c r="HMA69" s="1553"/>
      <c r="HMC69" s="1553"/>
      <c r="HME69" s="1553"/>
      <c r="HMG69" s="1553"/>
      <c r="HMI69" s="1553"/>
      <c r="HMK69" s="1553"/>
      <c r="HMM69" s="1553"/>
      <c r="HMO69" s="1553"/>
      <c r="HMQ69" s="1553"/>
      <c r="HMS69" s="1553"/>
      <c r="HMU69" s="1553"/>
      <c r="HMW69" s="1553"/>
      <c r="HMY69" s="1553"/>
      <c r="HNA69" s="1553"/>
      <c r="HNC69" s="1553"/>
      <c r="HNE69" s="1553"/>
      <c r="HNG69" s="1553"/>
      <c r="HNI69" s="1553"/>
      <c r="HNK69" s="1553"/>
      <c r="HNM69" s="1553"/>
      <c r="HNO69" s="1553"/>
      <c r="HNQ69" s="1553"/>
      <c r="HNS69" s="1553"/>
      <c r="HNU69" s="1553"/>
      <c r="HNW69" s="1553"/>
      <c r="HNY69" s="1553"/>
      <c r="HOA69" s="1553"/>
      <c r="HOC69" s="1553"/>
      <c r="HOE69" s="1553"/>
      <c r="HOG69" s="1553"/>
      <c r="HOI69" s="1553"/>
      <c r="HOK69" s="1553"/>
      <c r="HOM69" s="1553"/>
      <c r="HOO69" s="1553"/>
      <c r="HOQ69" s="1553"/>
      <c r="HOS69" s="1553"/>
      <c r="HOU69" s="1553"/>
      <c r="HOW69" s="1553"/>
      <c r="HOY69" s="1553"/>
      <c r="HPA69" s="1553"/>
      <c r="HPC69" s="1553"/>
      <c r="HPE69" s="1553"/>
      <c r="HPG69" s="1553"/>
      <c r="HPI69" s="1553"/>
      <c r="HPK69" s="1553"/>
      <c r="HPM69" s="1553"/>
      <c r="HPO69" s="1553"/>
      <c r="HPQ69" s="1553"/>
      <c r="HPS69" s="1553"/>
      <c r="HPU69" s="1553"/>
      <c r="HPW69" s="1553"/>
      <c r="HPY69" s="1553"/>
      <c r="HQA69" s="1553"/>
      <c r="HQC69" s="1553"/>
      <c r="HQE69" s="1553"/>
      <c r="HQG69" s="1553"/>
      <c r="HQI69" s="1553"/>
      <c r="HQK69" s="1553"/>
      <c r="HQM69" s="1553"/>
      <c r="HQO69" s="1553"/>
      <c r="HQQ69" s="1553"/>
      <c r="HQS69" s="1553"/>
      <c r="HQU69" s="1553"/>
      <c r="HQW69" s="1553"/>
      <c r="HQY69" s="1553"/>
      <c r="HRA69" s="1553"/>
      <c r="HRC69" s="1553"/>
      <c r="HRE69" s="1553"/>
      <c r="HRG69" s="1553"/>
      <c r="HRI69" s="1553"/>
      <c r="HRK69" s="1553"/>
      <c r="HRM69" s="1553"/>
      <c r="HRO69" s="1553"/>
      <c r="HRQ69" s="1553"/>
      <c r="HRS69" s="1553"/>
      <c r="HRU69" s="1553"/>
      <c r="HRW69" s="1553"/>
      <c r="HRY69" s="1553"/>
      <c r="HSA69" s="1553"/>
      <c r="HSC69" s="1553"/>
      <c r="HSE69" s="1553"/>
      <c r="HSG69" s="1553"/>
      <c r="HSI69" s="1553"/>
      <c r="HSK69" s="1553"/>
      <c r="HSM69" s="1553"/>
      <c r="HSO69" s="1553"/>
      <c r="HSQ69" s="1553"/>
      <c r="HSS69" s="1553"/>
      <c r="HSU69" s="1553"/>
      <c r="HSW69" s="1553"/>
      <c r="HSY69" s="1553"/>
      <c r="HTA69" s="1553"/>
      <c r="HTC69" s="1553"/>
      <c r="HTE69" s="1553"/>
      <c r="HTG69" s="1553"/>
      <c r="HTI69" s="1553"/>
      <c r="HTK69" s="1553"/>
      <c r="HTM69" s="1553"/>
      <c r="HTO69" s="1553"/>
      <c r="HTQ69" s="1553"/>
      <c r="HTS69" s="1553"/>
      <c r="HTU69" s="1553"/>
      <c r="HTW69" s="1553"/>
      <c r="HTY69" s="1553"/>
      <c r="HUA69" s="1553"/>
      <c r="HUC69" s="1553"/>
      <c r="HUE69" s="1553"/>
      <c r="HUG69" s="1553"/>
      <c r="HUI69" s="1553"/>
      <c r="HUK69" s="1553"/>
      <c r="HUM69" s="1553"/>
      <c r="HUO69" s="1553"/>
      <c r="HUQ69" s="1553"/>
      <c r="HUS69" s="1553"/>
      <c r="HUU69" s="1553"/>
      <c r="HUW69" s="1553"/>
      <c r="HUY69" s="1553"/>
      <c r="HVA69" s="1553"/>
      <c r="HVC69" s="1553"/>
      <c r="HVE69" s="1553"/>
      <c r="HVG69" s="1553"/>
      <c r="HVI69" s="1553"/>
      <c r="HVK69" s="1553"/>
      <c r="HVM69" s="1553"/>
      <c r="HVO69" s="1553"/>
      <c r="HVQ69" s="1553"/>
      <c r="HVS69" s="1553"/>
      <c r="HVU69" s="1553"/>
      <c r="HVW69" s="1553"/>
      <c r="HVY69" s="1553"/>
      <c r="HWA69" s="1553"/>
      <c r="HWC69" s="1553"/>
      <c r="HWE69" s="1553"/>
      <c r="HWG69" s="1553"/>
      <c r="HWI69" s="1553"/>
      <c r="HWK69" s="1553"/>
      <c r="HWM69" s="1553"/>
      <c r="HWO69" s="1553"/>
      <c r="HWQ69" s="1553"/>
      <c r="HWS69" s="1553"/>
      <c r="HWU69" s="1553"/>
      <c r="HWW69" s="1553"/>
      <c r="HWY69" s="1553"/>
      <c r="HXA69" s="1553"/>
      <c r="HXC69" s="1553"/>
      <c r="HXE69" s="1553"/>
      <c r="HXG69" s="1553"/>
      <c r="HXI69" s="1553"/>
      <c r="HXK69" s="1553"/>
      <c r="HXM69" s="1553"/>
      <c r="HXO69" s="1553"/>
      <c r="HXQ69" s="1553"/>
      <c r="HXS69" s="1553"/>
      <c r="HXU69" s="1553"/>
      <c r="HXW69" s="1553"/>
      <c r="HXY69" s="1553"/>
      <c r="HYA69" s="1553"/>
      <c r="HYC69" s="1553"/>
      <c r="HYE69" s="1553"/>
      <c r="HYG69" s="1553"/>
      <c r="HYI69" s="1553"/>
      <c r="HYK69" s="1553"/>
      <c r="HYM69" s="1553"/>
      <c r="HYO69" s="1553"/>
      <c r="HYQ69" s="1553"/>
      <c r="HYS69" s="1553"/>
      <c r="HYU69" s="1553"/>
      <c r="HYW69" s="1553"/>
      <c r="HYY69" s="1553"/>
      <c r="HZA69" s="1553"/>
      <c r="HZC69" s="1553"/>
      <c r="HZE69" s="1553"/>
      <c r="HZG69" s="1553"/>
      <c r="HZI69" s="1553"/>
      <c r="HZK69" s="1553"/>
      <c r="HZM69" s="1553"/>
      <c r="HZO69" s="1553"/>
      <c r="HZQ69" s="1553"/>
      <c r="HZS69" s="1553"/>
      <c r="HZU69" s="1553"/>
      <c r="HZW69" s="1553"/>
      <c r="HZY69" s="1553"/>
      <c r="IAA69" s="1553"/>
      <c r="IAC69" s="1553"/>
      <c r="IAE69" s="1553"/>
      <c r="IAG69" s="1553"/>
      <c r="IAI69" s="1553"/>
      <c r="IAK69" s="1553"/>
      <c r="IAM69" s="1553"/>
      <c r="IAO69" s="1553"/>
      <c r="IAQ69" s="1553"/>
      <c r="IAS69" s="1553"/>
      <c r="IAU69" s="1553"/>
      <c r="IAW69" s="1553"/>
      <c r="IAY69" s="1553"/>
      <c r="IBA69" s="1553"/>
      <c r="IBC69" s="1553"/>
      <c r="IBE69" s="1553"/>
      <c r="IBG69" s="1553"/>
      <c r="IBI69" s="1553"/>
      <c r="IBK69" s="1553"/>
      <c r="IBM69" s="1553"/>
      <c r="IBO69" s="1553"/>
      <c r="IBQ69" s="1553"/>
      <c r="IBS69" s="1553"/>
      <c r="IBU69" s="1553"/>
      <c r="IBW69" s="1553"/>
      <c r="IBY69" s="1553"/>
      <c r="ICA69" s="1553"/>
      <c r="ICC69" s="1553"/>
      <c r="ICE69" s="1553"/>
      <c r="ICG69" s="1553"/>
      <c r="ICI69" s="1553"/>
      <c r="ICK69" s="1553"/>
      <c r="ICM69" s="1553"/>
      <c r="ICO69" s="1553"/>
      <c r="ICQ69" s="1553"/>
      <c r="ICS69" s="1553"/>
      <c r="ICU69" s="1553"/>
      <c r="ICW69" s="1553"/>
      <c r="ICY69" s="1553"/>
      <c r="IDA69" s="1553"/>
      <c r="IDC69" s="1553"/>
      <c r="IDE69" s="1553"/>
      <c r="IDG69" s="1553"/>
      <c r="IDI69" s="1553"/>
      <c r="IDK69" s="1553"/>
      <c r="IDM69" s="1553"/>
      <c r="IDO69" s="1553"/>
      <c r="IDQ69" s="1553"/>
      <c r="IDS69" s="1553"/>
      <c r="IDU69" s="1553"/>
      <c r="IDW69" s="1553"/>
      <c r="IDY69" s="1553"/>
      <c r="IEA69" s="1553"/>
      <c r="IEC69" s="1553"/>
      <c r="IEE69" s="1553"/>
      <c r="IEG69" s="1553"/>
      <c r="IEI69" s="1553"/>
      <c r="IEK69" s="1553"/>
      <c r="IEM69" s="1553"/>
      <c r="IEO69" s="1553"/>
      <c r="IEQ69" s="1553"/>
      <c r="IES69" s="1553"/>
      <c r="IEU69" s="1553"/>
      <c r="IEW69" s="1553"/>
      <c r="IEY69" s="1553"/>
      <c r="IFA69" s="1553"/>
      <c r="IFC69" s="1553"/>
      <c r="IFE69" s="1553"/>
      <c r="IFG69" s="1553"/>
      <c r="IFI69" s="1553"/>
      <c r="IFK69" s="1553"/>
      <c r="IFM69" s="1553"/>
      <c r="IFO69" s="1553"/>
      <c r="IFQ69" s="1553"/>
      <c r="IFS69" s="1553"/>
      <c r="IFU69" s="1553"/>
      <c r="IFW69" s="1553"/>
      <c r="IFY69" s="1553"/>
      <c r="IGA69" s="1553"/>
      <c r="IGC69" s="1553"/>
      <c r="IGE69" s="1553"/>
      <c r="IGG69" s="1553"/>
      <c r="IGI69" s="1553"/>
      <c r="IGK69" s="1553"/>
      <c r="IGM69" s="1553"/>
      <c r="IGO69" s="1553"/>
      <c r="IGQ69" s="1553"/>
      <c r="IGS69" s="1553"/>
      <c r="IGU69" s="1553"/>
      <c r="IGW69" s="1553"/>
      <c r="IGY69" s="1553"/>
      <c r="IHA69" s="1553"/>
      <c r="IHC69" s="1553"/>
      <c r="IHE69" s="1553"/>
      <c r="IHG69" s="1553"/>
      <c r="IHI69" s="1553"/>
      <c r="IHK69" s="1553"/>
      <c r="IHM69" s="1553"/>
      <c r="IHO69" s="1553"/>
      <c r="IHQ69" s="1553"/>
      <c r="IHS69" s="1553"/>
      <c r="IHU69" s="1553"/>
      <c r="IHW69" s="1553"/>
      <c r="IHY69" s="1553"/>
      <c r="IIA69" s="1553"/>
      <c r="IIC69" s="1553"/>
      <c r="IIE69" s="1553"/>
      <c r="IIG69" s="1553"/>
      <c r="III69" s="1553"/>
      <c r="IIK69" s="1553"/>
      <c r="IIM69" s="1553"/>
      <c r="IIO69" s="1553"/>
      <c r="IIQ69" s="1553"/>
      <c r="IIS69" s="1553"/>
      <c r="IIU69" s="1553"/>
      <c r="IIW69" s="1553"/>
      <c r="IIY69" s="1553"/>
      <c r="IJA69" s="1553"/>
      <c r="IJC69" s="1553"/>
      <c r="IJE69" s="1553"/>
      <c r="IJG69" s="1553"/>
      <c r="IJI69" s="1553"/>
      <c r="IJK69" s="1553"/>
      <c r="IJM69" s="1553"/>
      <c r="IJO69" s="1553"/>
      <c r="IJQ69" s="1553"/>
      <c r="IJS69" s="1553"/>
      <c r="IJU69" s="1553"/>
      <c r="IJW69" s="1553"/>
      <c r="IJY69" s="1553"/>
      <c r="IKA69" s="1553"/>
      <c r="IKC69" s="1553"/>
      <c r="IKE69" s="1553"/>
      <c r="IKG69" s="1553"/>
      <c r="IKI69" s="1553"/>
      <c r="IKK69" s="1553"/>
      <c r="IKM69" s="1553"/>
      <c r="IKO69" s="1553"/>
      <c r="IKQ69" s="1553"/>
      <c r="IKS69" s="1553"/>
      <c r="IKU69" s="1553"/>
      <c r="IKW69" s="1553"/>
      <c r="IKY69" s="1553"/>
      <c r="ILA69" s="1553"/>
      <c r="ILC69" s="1553"/>
      <c r="ILE69" s="1553"/>
      <c r="ILG69" s="1553"/>
      <c r="ILI69" s="1553"/>
      <c r="ILK69" s="1553"/>
      <c r="ILM69" s="1553"/>
      <c r="ILO69" s="1553"/>
      <c r="ILQ69" s="1553"/>
      <c r="ILS69" s="1553"/>
      <c r="ILU69" s="1553"/>
      <c r="ILW69" s="1553"/>
      <c r="ILY69" s="1553"/>
      <c r="IMA69" s="1553"/>
      <c r="IMC69" s="1553"/>
      <c r="IME69" s="1553"/>
      <c r="IMG69" s="1553"/>
      <c r="IMI69" s="1553"/>
      <c r="IMK69" s="1553"/>
      <c r="IMM69" s="1553"/>
      <c r="IMO69" s="1553"/>
      <c r="IMQ69" s="1553"/>
      <c r="IMS69" s="1553"/>
      <c r="IMU69" s="1553"/>
      <c r="IMW69" s="1553"/>
      <c r="IMY69" s="1553"/>
      <c r="INA69" s="1553"/>
      <c r="INC69" s="1553"/>
      <c r="INE69" s="1553"/>
      <c r="ING69" s="1553"/>
      <c r="INI69" s="1553"/>
      <c r="INK69" s="1553"/>
      <c r="INM69" s="1553"/>
      <c r="INO69" s="1553"/>
      <c r="INQ69" s="1553"/>
      <c r="INS69" s="1553"/>
      <c r="INU69" s="1553"/>
      <c r="INW69" s="1553"/>
      <c r="INY69" s="1553"/>
      <c r="IOA69" s="1553"/>
      <c r="IOC69" s="1553"/>
      <c r="IOE69" s="1553"/>
      <c r="IOG69" s="1553"/>
      <c r="IOI69" s="1553"/>
      <c r="IOK69" s="1553"/>
      <c r="IOM69" s="1553"/>
      <c r="IOO69" s="1553"/>
      <c r="IOQ69" s="1553"/>
      <c r="IOS69" s="1553"/>
      <c r="IOU69" s="1553"/>
      <c r="IOW69" s="1553"/>
      <c r="IOY69" s="1553"/>
      <c r="IPA69" s="1553"/>
      <c r="IPC69" s="1553"/>
      <c r="IPE69" s="1553"/>
      <c r="IPG69" s="1553"/>
      <c r="IPI69" s="1553"/>
      <c r="IPK69" s="1553"/>
      <c r="IPM69" s="1553"/>
      <c r="IPO69" s="1553"/>
      <c r="IPQ69" s="1553"/>
      <c r="IPS69" s="1553"/>
      <c r="IPU69" s="1553"/>
      <c r="IPW69" s="1553"/>
      <c r="IPY69" s="1553"/>
      <c r="IQA69" s="1553"/>
      <c r="IQC69" s="1553"/>
      <c r="IQE69" s="1553"/>
      <c r="IQG69" s="1553"/>
      <c r="IQI69" s="1553"/>
      <c r="IQK69" s="1553"/>
      <c r="IQM69" s="1553"/>
      <c r="IQO69" s="1553"/>
      <c r="IQQ69" s="1553"/>
      <c r="IQS69" s="1553"/>
      <c r="IQU69" s="1553"/>
      <c r="IQW69" s="1553"/>
      <c r="IQY69" s="1553"/>
      <c r="IRA69" s="1553"/>
      <c r="IRC69" s="1553"/>
      <c r="IRE69" s="1553"/>
      <c r="IRG69" s="1553"/>
      <c r="IRI69" s="1553"/>
      <c r="IRK69" s="1553"/>
      <c r="IRM69" s="1553"/>
      <c r="IRO69" s="1553"/>
      <c r="IRQ69" s="1553"/>
      <c r="IRS69" s="1553"/>
      <c r="IRU69" s="1553"/>
      <c r="IRW69" s="1553"/>
      <c r="IRY69" s="1553"/>
      <c r="ISA69" s="1553"/>
      <c r="ISC69" s="1553"/>
      <c r="ISE69" s="1553"/>
      <c r="ISG69" s="1553"/>
      <c r="ISI69" s="1553"/>
      <c r="ISK69" s="1553"/>
      <c r="ISM69" s="1553"/>
      <c r="ISO69" s="1553"/>
      <c r="ISQ69" s="1553"/>
      <c r="ISS69" s="1553"/>
      <c r="ISU69" s="1553"/>
      <c r="ISW69" s="1553"/>
      <c r="ISY69" s="1553"/>
      <c r="ITA69" s="1553"/>
      <c r="ITC69" s="1553"/>
      <c r="ITE69" s="1553"/>
      <c r="ITG69" s="1553"/>
      <c r="ITI69" s="1553"/>
      <c r="ITK69" s="1553"/>
      <c r="ITM69" s="1553"/>
      <c r="ITO69" s="1553"/>
      <c r="ITQ69" s="1553"/>
      <c r="ITS69" s="1553"/>
      <c r="ITU69" s="1553"/>
      <c r="ITW69" s="1553"/>
      <c r="ITY69" s="1553"/>
      <c r="IUA69" s="1553"/>
      <c r="IUC69" s="1553"/>
      <c r="IUE69" s="1553"/>
      <c r="IUG69" s="1553"/>
      <c r="IUI69" s="1553"/>
      <c r="IUK69" s="1553"/>
      <c r="IUM69" s="1553"/>
      <c r="IUO69" s="1553"/>
      <c r="IUQ69" s="1553"/>
      <c r="IUS69" s="1553"/>
      <c r="IUU69" s="1553"/>
      <c r="IUW69" s="1553"/>
      <c r="IUY69" s="1553"/>
      <c r="IVA69" s="1553"/>
      <c r="IVC69" s="1553"/>
      <c r="IVE69" s="1553"/>
      <c r="IVG69" s="1553"/>
      <c r="IVI69" s="1553"/>
      <c r="IVK69" s="1553"/>
      <c r="IVM69" s="1553"/>
      <c r="IVO69" s="1553"/>
      <c r="IVQ69" s="1553"/>
      <c r="IVS69" s="1553"/>
      <c r="IVU69" s="1553"/>
      <c r="IVW69" s="1553"/>
      <c r="IVY69" s="1553"/>
      <c r="IWA69" s="1553"/>
      <c r="IWC69" s="1553"/>
      <c r="IWE69" s="1553"/>
      <c r="IWG69" s="1553"/>
      <c r="IWI69" s="1553"/>
      <c r="IWK69" s="1553"/>
      <c r="IWM69" s="1553"/>
      <c r="IWO69" s="1553"/>
      <c r="IWQ69" s="1553"/>
      <c r="IWS69" s="1553"/>
      <c r="IWU69" s="1553"/>
      <c r="IWW69" s="1553"/>
      <c r="IWY69" s="1553"/>
      <c r="IXA69" s="1553"/>
      <c r="IXC69" s="1553"/>
      <c r="IXE69" s="1553"/>
      <c r="IXG69" s="1553"/>
      <c r="IXI69" s="1553"/>
      <c r="IXK69" s="1553"/>
      <c r="IXM69" s="1553"/>
      <c r="IXO69" s="1553"/>
      <c r="IXQ69" s="1553"/>
      <c r="IXS69" s="1553"/>
      <c r="IXU69" s="1553"/>
      <c r="IXW69" s="1553"/>
      <c r="IXY69" s="1553"/>
      <c r="IYA69" s="1553"/>
      <c r="IYC69" s="1553"/>
      <c r="IYE69" s="1553"/>
      <c r="IYG69" s="1553"/>
      <c r="IYI69" s="1553"/>
      <c r="IYK69" s="1553"/>
      <c r="IYM69" s="1553"/>
      <c r="IYO69" s="1553"/>
      <c r="IYQ69" s="1553"/>
      <c r="IYS69" s="1553"/>
      <c r="IYU69" s="1553"/>
      <c r="IYW69" s="1553"/>
      <c r="IYY69" s="1553"/>
      <c r="IZA69" s="1553"/>
      <c r="IZC69" s="1553"/>
      <c r="IZE69" s="1553"/>
      <c r="IZG69" s="1553"/>
      <c r="IZI69" s="1553"/>
      <c r="IZK69" s="1553"/>
      <c r="IZM69" s="1553"/>
      <c r="IZO69" s="1553"/>
      <c r="IZQ69" s="1553"/>
      <c r="IZS69" s="1553"/>
      <c r="IZU69" s="1553"/>
      <c r="IZW69" s="1553"/>
      <c r="IZY69" s="1553"/>
      <c r="JAA69" s="1553"/>
      <c r="JAC69" s="1553"/>
      <c r="JAE69" s="1553"/>
      <c r="JAG69" s="1553"/>
      <c r="JAI69" s="1553"/>
      <c r="JAK69" s="1553"/>
      <c r="JAM69" s="1553"/>
      <c r="JAO69" s="1553"/>
      <c r="JAQ69" s="1553"/>
      <c r="JAS69" s="1553"/>
      <c r="JAU69" s="1553"/>
      <c r="JAW69" s="1553"/>
      <c r="JAY69" s="1553"/>
      <c r="JBA69" s="1553"/>
      <c r="JBC69" s="1553"/>
      <c r="JBE69" s="1553"/>
      <c r="JBG69" s="1553"/>
      <c r="JBI69" s="1553"/>
      <c r="JBK69" s="1553"/>
      <c r="JBM69" s="1553"/>
      <c r="JBO69" s="1553"/>
      <c r="JBQ69" s="1553"/>
      <c r="JBS69" s="1553"/>
      <c r="JBU69" s="1553"/>
      <c r="JBW69" s="1553"/>
      <c r="JBY69" s="1553"/>
      <c r="JCA69" s="1553"/>
      <c r="JCC69" s="1553"/>
      <c r="JCE69" s="1553"/>
      <c r="JCG69" s="1553"/>
      <c r="JCI69" s="1553"/>
      <c r="JCK69" s="1553"/>
      <c r="JCM69" s="1553"/>
      <c r="JCO69" s="1553"/>
      <c r="JCQ69" s="1553"/>
      <c r="JCS69" s="1553"/>
      <c r="JCU69" s="1553"/>
      <c r="JCW69" s="1553"/>
      <c r="JCY69" s="1553"/>
      <c r="JDA69" s="1553"/>
      <c r="JDC69" s="1553"/>
      <c r="JDE69" s="1553"/>
      <c r="JDG69" s="1553"/>
      <c r="JDI69" s="1553"/>
      <c r="JDK69" s="1553"/>
      <c r="JDM69" s="1553"/>
      <c r="JDO69" s="1553"/>
      <c r="JDQ69" s="1553"/>
      <c r="JDS69" s="1553"/>
      <c r="JDU69" s="1553"/>
      <c r="JDW69" s="1553"/>
      <c r="JDY69" s="1553"/>
      <c r="JEA69" s="1553"/>
      <c r="JEC69" s="1553"/>
      <c r="JEE69" s="1553"/>
      <c r="JEG69" s="1553"/>
      <c r="JEI69" s="1553"/>
      <c r="JEK69" s="1553"/>
      <c r="JEM69" s="1553"/>
      <c r="JEO69" s="1553"/>
      <c r="JEQ69" s="1553"/>
      <c r="JES69" s="1553"/>
      <c r="JEU69" s="1553"/>
      <c r="JEW69" s="1553"/>
      <c r="JEY69" s="1553"/>
      <c r="JFA69" s="1553"/>
      <c r="JFC69" s="1553"/>
      <c r="JFE69" s="1553"/>
      <c r="JFG69" s="1553"/>
      <c r="JFI69" s="1553"/>
      <c r="JFK69" s="1553"/>
      <c r="JFM69" s="1553"/>
      <c r="JFO69" s="1553"/>
      <c r="JFQ69" s="1553"/>
      <c r="JFS69" s="1553"/>
      <c r="JFU69" s="1553"/>
      <c r="JFW69" s="1553"/>
      <c r="JFY69" s="1553"/>
      <c r="JGA69" s="1553"/>
      <c r="JGC69" s="1553"/>
      <c r="JGE69" s="1553"/>
      <c r="JGG69" s="1553"/>
      <c r="JGI69" s="1553"/>
      <c r="JGK69" s="1553"/>
      <c r="JGM69" s="1553"/>
      <c r="JGO69" s="1553"/>
      <c r="JGQ69" s="1553"/>
      <c r="JGS69" s="1553"/>
      <c r="JGU69" s="1553"/>
      <c r="JGW69" s="1553"/>
      <c r="JGY69" s="1553"/>
      <c r="JHA69" s="1553"/>
      <c r="JHC69" s="1553"/>
      <c r="JHE69" s="1553"/>
      <c r="JHG69" s="1553"/>
      <c r="JHI69" s="1553"/>
      <c r="JHK69" s="1553"/>
      <c r="JHM69" s="1553"/>
      <c r="JHO69" s="1553"/>
      <c r="JHQ69" s="1553"/>
      <c r="JHS69" s="1553"/>
      <c r="JHU69" s="1553"/>
      <c r="JHW69" s="1553"/>
      <c r="JHY69" s="1553"/>
      <c r="JIA69" s="1553"/>
      <c r="JIC69" s="1553"/>
      <c r="JIE69" s="1553"/>
      <c r="JIG69" s="1553"/>
      <c r="JII69" s="1553"/>
      <c r="JIK69" s="1553"/>
      <c r="JIM69" s="1553"/>
      <c r="JIO69" s="1553"/>
      <c r="JIQ69" s="1553"/>
      <c r="JIS69" s="1553"/>
      <c r="JIU69" s="1553"/>
      <c r="JIW69" s="1553"/>
      <c r="JIY69" s="1553"/>
      <c r="JJA69" s="1553"/>
      <c r="JJC69" s="1553"/>
      <c r="JJE69" s="1553"/>
      <c r="JJG69" s="1553"/>
      <c r="JJI69" s="1553"/>
      <c r="JJK69" s="1553"/>
      <c r="JJM69" s="1553"/>
      <c r="JJO69" s="1553"/>
      <c r="JJQ69" s="1553"/>
      <c r="JJS69" s="1553"/>
      <c r="JJU69" s="1553"/>
      <c r="JJW69" s="1553"/>
      <c r="JJY69" s="1553"/>
      <c r="JKA69" s="1553"/>
      <c r="JKC69" s="1553"/>
      <c r="JKE69" s="1553"/>
      <c r="JKG69" s="1553"/>
      <c r="JKI69" s="1553"/>
      <c r="JKK69" s="1553"/>
      <c r="JKM69" s="1553"/>
      <c r="JKO69" s="1553"/>
      <c r="JKQ69" s="1553"/>
      <c r="JKS69" s="1553"/>
      <c r="JKU69" s="1553"/>
      <c r="JKW69" s="1553"/>
      <c r="JKY69" s="1553"/>
      <c r="JLA69" s="1553"/>
      <c r="JLC69" s="1553"/>
      <c r="JLE69" s="1553"/>
      <c r="JLG69" s="1553"/>
      <c r="JLI69" s="1553"/>
      <c r="JLK69" s="1553"/>
      <c r="JLM69" s="1553"/>
      <c r="JLO69" s="1553"/>
      <c r="JLQ69" s="1553"/>
      <c r="JLS69" s="1553"/>
      <c r="JLU69" s="1553"/>
      <c r="JLW69" s="1553"/>
      <c r="JLY69" s="1553"/>
      <c r="JMA69" s="1553"/>
      <c r="JMC69" s="1553"/>
      <c r="JME69" s="1553"/>
      <c r="JMG69" s="1553"/>
      <c r="JMI69" s="1553"/>
      <c r="JMK69" s="1553"/>
      <c r="JMM69" s="1553"/>
      <c r="JMO69" s="1553"/>
      <c r="JMQ69" s="1553"/>
      <c r="JMS69" s="1553"/>
      <c r="JMU69" s="1553"/>
      <c r="JMW69" s="1553"/>
      <c r="JMY69" s="1553"/>
      <c r="JNA69" s="1553"/>
      <c r="JNC69" s="1553"/>
      <c r="JNE69" s="1553"/>
      <c r="JNG69" s="1553"/>
      <c r="JNI69" s="1553"/>
      <c r="JNK69" s="1553"/>
      <c r="JNM69" s="1553"/>
      <c r="JNO69" s="1553"/>
      <c r="JNQ69" s="1553"/>
      <c r="JNS69" s="1553"/>
      <c r="JNU69" s="1553"/>
      <c r="JNW69" s="1553"/>
      <c r="JNY69" s="1553"/>
      <c r="JOA69" s="1553"/>
      <c r="JOC69" s="1553"/>
      <c r="JOE69" s="1553"/>
      <c r="JOG69" s="1553"/>
      <c r="JOI69" s="1553"/>
      <c r="JOK69" s="1553"/>
      <c r="JOM69" s="1553"/>
      <c r="JOO69" s="1553"/>
      <c r="JOQ69" s="1553"/>
      <c r="JOS69" s="1553"/>
      <c r="JOU69" s="1553"/>
      <c r="JOW69" s="1553"/>
      <c r="JOY69" s="1553"/>
      <c r="JPA69" s="1553"/>
      <c r="JPC69" s="1553"/>
      <c r="JPE69" s="1553"/>
      <c r="JPG69" s="1553"/>
      <c r="JPI69" s="1553"/>
      <c r="JPK69" s="1553"/>
      <c r="JPM69" s="1553"/>
      <c r="JPO69" s="1553"/>
      <c r="JPQ69" s="1553"/>
      <c r="JPS69" s="1553"/>
      <c r="JPU69" s="1553"/>
      <c r="JPW69" s="1553"/>
      <c r="JPY69" s="1553"/>
      <c r="JQA69" s="1553"/>
      <c r="JQC69" s="1553"/>
      <c r="JQE69" s="1553"/>
      <c r="JQG69" s="1553"/>
      <c r="JQI69" s="1553"/>
      <c r="JQK69" s="1553"/>
      <c r="JQM69" s="1553"/>
      <c r="JQO69" s="1553"/>
      <c r="JQQ69" s="1553"/>
      <c r="JQS69" s="1553"/>
      <c r="JQU69" s="1553"/>
      <c r="JQW69" s="1553"/>
      <c r="JQY69" s="1553"/>
      <c r="JRA69" s="1553"/>
      <c r="JRC69" s="1553"/>
      <c r="JRE69" s="1553"/>
      <c r="JRG69" s="1553"/>
      <c r="JRI69" s="1553"/>
      <c r="JRK69" s="1553"/>
      <c r="JRM69" s="1553"/>
      <c r="JRO69" s="1553"/>
      <c r="JRQ69" s="1553"/>
      <c r="JRS69" s="1553"/>
      <c r="JRU69" s="1553"/>
      <c r="JRW69" s="1553"/>
      <c r="JRY69" s="1553"/>
      <c r="JSA69" s="1553"/>
      <c r="JSC69" s="1553"/>
      <c r="JSE69" s="1553"/>
      <c r="JSG69" s="1553"/>
      <c r="JSI69" s="1553"/>
      <c r="JSK69" s="1553"/>
      <c r="JSM69" s="1553"/>
      <c r="JSO69" s="1553"/>
      <c r="JSQ69" s="1553"/>
      <c r="JSS69" s="1553"/>
      <c r="JSU69" s="1553"/>
      <c r="JSW69" s="1553"/>
      <c r="JSY69" s="1553"/>
      <c r="JTA69" s="1553"/>
      <c r="JTC69" s="1553"/>
      <c r="JTE69" s="1553"/>
      <c r="JTG69" s="1553"/>
      <c r="JTI69" s="1553"/>
      <c r="JTK69" s="1553"/>
      <c r="JTM69" s="1553"/>
      <c r="JTO69" s="1553"/>
      <c r="JTQ69" s="1553"/>
      <c r="JTS69" s="1553"/>
      <c r="JTU69" s="1553"/>
      <c r="JTW69" s="1553"/>
      <c r="JTY69" s="1553"/>
      <c r="JUA69" s="1553"/>
      <c r="JUC69" s="1553"/>
      <c r="JUE69" s="1553"/>
      <c r="JUG69" s="1553"/>
      <c r="JUI69" s="1553"/>
      <c r="JUK69" s="1553"/>
      <c r="JUM69" s="1553"/>
      <c r="JUO69" s="1553"/>
      <c r="JUQ69" s="1553"/>
      <c r="JUS69" s="1553"/>
      <c r="JUU69" s="1553"/>
      <c r="JUW69" s="1553"/>
      <c r="JUY69" s="1553"/>
      <c r="JVA69" s="1553"/>
      <c r="JVC69" s="1553"/>
      <c r="JVE69" s="1553"/>
      <c r="JVG69" s="1553"/>
      <c r="JVI69" s="1553"/>
      <c r="JVK69" s="1553"/>
      <c r="JVM69" s="1553"/>
      <c r="JVO69" s="1553"/>
      <c r="JVQ69" s="1553"/>
      <c r="JVS69" s="1553"/>
      <c r="JVU69" s="1553"/>
      <c r="JVW69" s="1553"/>
      <c r="JVY69" s="1553"/>
      <c r="JWA69" s="1553"/>
      <c r="JWC69" s="1553"/>
      <c r="JWE69" s="1553"/>
      <c r="JWG69" s="1553"/>
      <c r="JWI69" s="1553"/>
      <c r="JWK69" s="1553"/>
      <c r="JWM69" s="1553"/>
      <c r="JWO69" s="1553"/>
      <c r="JWQ69" s="1553"/>
      <c r="JWS69" s="1553"/>
      <c r="JWU69" s="1553"/>
      <c r="JWW69" s="1553"/>
      <c r="JWY69" s="1553"/>
      <c r="JXA69" s="1553"/>
      <c r="JXC69" s="1553"/>
      <c r="JXE69" s="1553"/>
      <c r="JXG69" s="1553"/>
      <c r="JXI69" s="1553"/>
      <c r="JXK69" s="1553"/>
      <c r="JXM69" s="1553"/>
      <c r="JXO69" s="1553"/>
      <c r="JXQ69" s="1553"/>
      <c r="JXS69" s="1553"/>
      <c r="JXU69" s="1553"/>
      <c r="JXW69" s="1553"/>
      <c r="JXY69" s="1553"/>
      <c r="JYA69" s="1553"/>
      <c r="JYC69" s="1553"/>
      <c r="JYE69" s="1553"/>
      <c r="JYG69" s="1553"/>
      <c r="JYI69" s="1553"/>
      <c r="JYK69" s="1553"/>
      <c r="JYM69" s="1553"/>
      <c r="JYO69" s="1553"/>
      <c r="JYQ69" s="1553"/>
      <c r="JYS69" s="1553"/>
      <c r="JYU69" s="1553"/>
      <c r="JYW69" s="1553"/>
      <c r="JYY69" s="1553"/>
      <c r="JZA69" s="1553"/>
      <c r="JZC69" s="1553"/>
      <c r="JZE69" s="1553"/>
      <c r="JZG69" s="1553"/>
      <c r="JZI69" s="1553"/>
      <c r="JZK69" s="1553"/>
      <c r="JZM69" s="1553"/>
      <c r="JZO69" s="1553"/>
      <c r="JZQ69" s="1553"/>
      <c r="JZS69" s="1553"/>
      <c r="JZU69" s="1553"/>
      <c r="JZW69" s="1553"/>
      <c r="JZY69" s="1553"/>
      <c r="KAA69" s="1553"/>
      <c r="KAC69" s="1553"/>
      <c r="KAE69" s="1553"/>
      <c r="KAG69" s="1553"/>
      <c r="KAI69" s="1553"/>
      <c r="KAK69" s="1553"/>
      <c r="KAM69" s="1553"/>
      <c r="KAO69" s="1553"/>
      <c r="KAQ69" s="1553"/>
      <c r="KAS69" s="1553"/>
      <c r="KAU69" s="1553"/>
      <c r="KAW69" s="1553"/>
      <c r="KAY69" s="1553"/>
      <c r="KBA69" s="1553"/>
      <c r="KBC69" s="1553"/>
      <c r="KBE69" s="1553"/>
      <c r="KBG69" s="1553"/>
      <c r="KBI69" s="1553"/>
      <c r="KBK69" s="1553"/>
      <c r="KBM69" s="1553"/>
      <c r="KBO69" s="1553"/>
      <c r="KBQ69" s="1553"/>
      <c r="KBS69" s="1553"/>
      <c r="KBU69" s="1553"/>
      <c r="KBW69" s="1553"/>
      <c r="KBY69" s="1553"/>
      <c r="KCA69" s="1553"/>
      <c r="KCC69" s="1553"/>
      <c r="KCE69" s="1553"/>
      <c r="KCG69" s="1553"/>
      <c r="KCI69" s="1553"/>
      <c r="KCK69" s="1553"/>
      <c r="KCM69" s="1553"/>
      <c r="KCO69" s="1553"/>
      <c r="KCQ69" s="1553"/>
      <c r="KCS69" s="1553"/>
      <c r="KCU69" s="1553"/>
      <c r="KCW69" s="1553"/>
      <c r="KCY69" s="1553"/>
      <c r="KDA69" s="1553"/>
      <c r="KDC69" s="1553"/>
      <c r="KDE69" s="1553"/>
      <c r="KDG69" s="1553"/>
      <c r="KDI69" s="1553"/>
      <c r="KDK69" s="1553"/>
      <c r="KDM69" s="1553"/>
      <c r="KDO69" s="1553"/>
      <c r="KDQ69" s="1553"/>
      <c r="KDS69" s="1553"/>
      <c r="KDU69" s="1553"/>
      <c r="KDW69" s="1553"/>
      <c r="KDY69" s="1553"/>
      <c r="KEA69" s="1553"/>
      <c r="KEC69" s="1553"/>
      <c r="KEE69" s="1553"/>
      <c r="KEG69" s="1553"/>
      <c r="KEI69" s="1553"/>
      <c r="KEK69" s="1553"/>
      <c r="KEM69" s="1553"/>
      <c r="KEO69" s="1553"/>
      <c r="KEQ69" s="1553"/>
      <c r="KES69" s="1553"/>
      <c r="KEU69" s="1553"/>
      <c r="KEW69" s="1553"/>
      <c r="KEY69" s="1553"/>
      <c r="KFA69" s="1553"/>
      <c r="KFC69" s="1553"/>
      <c r="KFE69" s="1553"/>
      <c r="KFG69" s="1553"/>
      <c r="KFI69" s="1553"/>
      <c r="KFK69" s="1553"/>
      <c r="KFM69" s="1553"/>
      <c r="KFO69" s="1553"/>
      <c r="KFQ69" s="1553"/>
      <c r="KFS69" s="1553"/>
      <c r="KFU69" s="1553"/>
      <c r="KFW69" s="1553"/>
      <c r="KFY69" s="1553"/>
      <c r="KGA69" s="1553"/>
      <c r="KGC69" s="1553"/>
      <c r="KGE69" s="1553"/>
      <c r="KGG69" s="1553"/>
      <c r="KGI69" s="1553"/>
      <c r="KGK69" s="1553"/>
      <c r="KGM69" s="1553"/>
      <c r="KGO69" s="1553"/>
      <c r="KGQ69" s="1553"/>
      <c r="KGS69" s="1553"/>
      <c r="KGU69" s="1553"/>
      <c r="KGW69" s="1553"/>
      <c r="KGY69" s="1553"/>
      <c r="KHA69" s="1553"/>
      <c r="KHC69" s="1553"/>
      <c r="KHE69" s="1553"/>
      <c r="KHG69" s="1553"/>
      <c r="KHI69" s="1553"/>
      <c r="KHK69" s="1553"/>
      <c r="KHM69" s="1553"/>
      <c r="KHO69" s="1553"/>
      <c r="KHQ69" s="1553"/>
      <c r="KHS69" s="1553"/>
      <c r="KHU69" s="1553"/>
      <c r="KHW69" s="1553"/>
      <c r="KHY69" s="1553"/>
      <c r="KIA69" s="1553"/>
      <c r="KIC69" s="1553"/>
      <c r="KIE69" s="1553"/>
      <c r="KIG69" s="1553"/>
      <c r="KII69" s="1553"/>
      <c r="KIK69" s="1553"/>
      <c r="KIM69" s="1553"/>
      <c r="KIO69" s="1553"/>
      <c r="KIQ69" s="1553"/>
      <c r="KIS69" s="1553"/>
      <c r="KIU69" s="1553"/>
      <c r="KIW69" s="1553"/>
      <c r="KIY69" s="1553"/>
      <c r="KJA69" s="1553"/>
      <c r="KJC69" s="1553"/>
      <c r="KJE69" s="1553"/>
      <c r="KJG69" s="1553"/>
      <c r="KJI69" s="1553"/>
      <c r="KJK69" s="1553"/>
      <c r="KJM69" s="1553"/>
      <c r="KJO69" s="1553"/>
      <c r="KJQ69" s="1553"/>
      <c r="KJS69" s="1553"/>
      <c r="KJU69" s="1553"/>
      <c r="KJW69" s="1553"/>
      <c r="KJY69" s="1553"/>
      <c r="KKA69" s="1553"/>
      <c r="KKC69" s="1553"/>
      <c r="KKE69" s="1553"/>
      <c r="KKG69" s="1553"/>
      <c r="KKI69" s="1553"/>
      <c r="KKK69" s="1553"/>
      <c r="KKM69" s="1553"/>
      <c r="KKO69" s="1553"/>
      <c r="KKQ69" s="1553"/>
      <c r="KKS69" s="1553"/>
      <c r="KKU69" s="1553"/>
      <c r="KKW69" s="1553"/>
      <c r="KKY69" s="1553"/>
      <c r="KLA69" s="1553"/>
      <c r="KLC69" s="1553"/>
      <c r="KLE69" s="1553"/>
      <c r="KLG69" s="1553"/>
      <c r="KLI69" s="1553"/>
      <c r="KLK69" s="1553"/>
      <c r="KLM69" s="1553"/>
      <c r="KLO69" s="1553"/>
      <c r="KLQ69" s="1553"/>
      <c r="KLS69" s="1553"/>
      <c r="KLU69" s="1553"/>
      <c r="KLW69" s="1553"/>
      <c r="KLY69" s="1553"/>
      <c r="KMA69" s="1553"/>
      <c r="KMC69" s="1553"/>
      <c r="KME69" s="1553"/>
      <c r="KMG69" s="1553"/>
      <c r="KMI69" s="1553"/>
      <c r="KMK69" s="1553"/>
      <c r="KMM69" s="1553"/>
      <c r="KMO69" s="1553"/>
      <c r="KMQ69" s="1553"/>
      <c r="KMS69" s="1553"/>
      <c r="KMU69" s="1553"/>
      <c r="KMW69" s="1553"/>
      <c r="KMY69" s="1553"/>
      <c r="KNA69" s="1553"/>
      <c r="KNC69" s="1553"/>
      <c r="KNE69" s="1553"/>
      <c r="KNG69" s="1553"/>
      <c r="KNI69" s="1553"/>
      <c r="KNK69" s="1553"/>
      <c r="KNM69" s="1553"/>
      <c r="KNO69" s="1553"/>
      <c r="KNQ69" s="1553"/>
      <c r="KNS69" s="1553"/>
      <c r="KNU69" s="1553"/>
      <c r="KNW69" s="1553"/>
      <c r="KNY69" s="1553"/>
      <c r="KOA69" s="1553"/>
      <c r="KOC69" s="1553"/>
      <c r="KOE69" s="1553"/>
      <c r="KOG69" s="1553"/>
      <c r="KOI69" s="1553"/>
      <c r="KOK69" s="1553"/>
      <c r="KOM69" s="1553"/>
      <c r="KOO69" s="1553"/>
      <c r="KOQ69" s="1553"/>
      <c r="KOS69" s="1553"/>
      <c r="KOU69" s="1553"/>
      <c r="KOW69" s="1553"/>
      <c r="KOY69" s="1553"/>
      <c r="KPA69" s="1553"/>
      <c r="KPC69" s="1553"/>
      <c r="KPE69" s="1553"/>
      <c r="KPG69" s="1553"/>
      <c r="KPI69" s="1553"/>
      <c r="KPK69" s="1553"/>
      <c r="KPM69" s="1553"/>
      <c r="KPO69" s="1553"/>
      <c r="KPQ69" s="1553"/>
      <c r="KPS69" s="1553"/>
      <c r="KPU69" s="1553"/>
      <c r="KPW69" s="1553"/>
      <c r="KPY69" s="1553"/>
      <c r="KQA69" s="1553"/>
      <c r="KQC69" s="1553"/>
      <c r="KQE69" s="1553"/>
      <c r="KQG69" s="1553"/>
      <c r="KQI69" s="1553"/>
      <c r="KQK69" s="1553"/>
      <c r="KQM69" s="1553"/>
      <c r="KQO69" s="1553"/>
      <c r="KQQ69" s="1553"/>
      <c r="KQS69" s="1553"/>
      <c r="KQU69" s="1553"/>
      <c r="KQW69" s="1553"/>
      <c r="KQY69" s="1553"/>
      <c r="KRA69" s="1553"/>
      <c r="KRC69" s="1553"/>
      <c r="KRE69" s="1553"/>
      <c r="KRG69" s="1553"/>
      <c r="KRI69" s="1553"/>
      <c r="KRK69" s="1553"/>
      <c r="KRM69" s="1553"/>
      <c r="KRO69" s="1553"/>
      <c r="KRQ69" s="1553"/>
      <c r="KRS69" s="1553"/>
      <c r="KRU69" s="1553"/>
      <c r="KRW69" s="1553"/>
      <c r="KRY69" s="1553"/>
      <c r="KSA69" s="1553"/>
      <c r="KSC69" s="1553"/>
      <c r="KSE69" s="1553"/>
      <c r="KSG69" s="1553"/>
      <c r="KSI69" s="1553"/>
      <c r="KSK69" s="1553"/>
      <c r="KSM69" s="1553"/>
      <c r="KSO69" s="1553"/>
      <c r="KSQ69" s="1553"/>
      <c r="KSS69" s="1553"/>
      <c r="KSU69" s="1553"/>
      <c r="KSW69" s="1553"/>
      <c r="KSY69" s="1553"/>
      <c r="KTA69" s="1553"/>
      <c r="KTC69" s="1553"/>
      <c r="KTE69" s="1553"/>
      <c r="KTG69" s="1553"/>
      <c r="KTI69" s="1553"/>
      <c r="KTK69" s="1553"/>
      <c r="KTM69" s="1553"/>
      <c r="KTO69" s="1553"/>
      <c r="KTQ69" s="1553"/>
      <c r="KTS69" s="1553"/>
      <c r="KTU69" s="1553"/>
      <c r="KTW69" s="1553"/>
      <c r="KTY69" s="1553"/>
      <c r="KUA69" s="1553"/>
      <c r="KUC69" s="1553"/>
      <c r="KUE69" s="1553"/>
      <c r="KUG69" s="1553"/>
      <c r="KUI69" s="1553"/>
      <c r="KUK69" s="1553"/>
      <c r="KUM69" s="1553"/>
      <c r="KUO69" s="1553"/>
      <c r="KUQ69" s="1553"/>
      <c r="KUS69" s="1553"/>
      <c r="KUU69" s="1553"/>
      <c r="KUW69" s="1553"/>
      <c r="KUY69" s="1553"/>
      <c r="KVA69" s="1553"/>
      <c r="KVC69" s="1553"/>
      <c r="KVE69" s="1553"/>
      <c r="KVG69" s="1553"/>
      <c r="KVI69" s="1553"/>
      <c r="KVK69" s="1553"/>
      <c r="KVM69" s="1553"/>
      <c r="KVO69" s="1553"/>
      <c r="KVQ69" s="1553"/>
      <c r="KVS69" s="1553"/>
      <c r="KVU69" s="1553"/>
      <c r="KVW69" s="1553"/>
      <c r="KVY69" s="1553"/>
      <c r="KWA69" s="1553"/>
      <c r="KWC69" s="1553"/>
      <c r="KWE69" s="1553"/>
      <c r="KWG69" s="1553"/>
      <c r="KWI69" s="1553"/>
      <c r="KWK69" s="1553"/>
      <c r="KWM69" s="1553"/>
      <c r="KWO69" s="1553"/>
      <c r="KWQ69" s="1553"/>
      <c r="KWS69" s="1553"/>
      <c r="KWU69" s="1553"/>
      <c r="KWW69" s="1553"/>
      <c r="KWY69" s="1553"/>
      <c r="KXA69" s="1553"/>
      <c r="KXC69" s="1553"/>
      <c r="KXE69" s="1553"/>
      <c r="KXG69" s="1553"/>
      <c r="KXI69" s="1553"/>
      <c r="KXK69" s="1553"/>
      <c r="KXM69" s="1553"/>
      <c r="KXO69" s="1553"/>
      <c r="KXQ69" s="1553"/>
      <c r="KXS69" s="1553"/>
      <c r="KXU69" s="1553"/>
      <c r="KXW69" s="1553"/>
      <c r="KXY69" s="1553"/>
      <c r="KYA69" s="1553"/>
      <c r="KYC69" s="1553"/>
      <c r="KYE69" s="1553"/>
      <c r="KYG69" s="1553"/>
      <c r="KYI69" s="1553"/>
      <c r="KYK69" s="1553"/>
      <c r="KYM69" s="1553"/>
      <c r="KYO69" s="1553"/>
      <c r="KYQ69" s="1553"/>
      <c r="KYS69" s="1553"/>
      <c r="KYU69" s="1553"/>
      <c r="KYW69" s="1553"/>
      <c r="KYY69" s="1553"/>
      <c r="KZA69" s="1553"/>
      <c r="KZC69" s="1553"/>
      <c r="KZE69" s="1553"/>
      <c r="KZG69" s="1553"/>
      <c r="KZI69" s="1553"/>
      <c r="KZK69" s="1553"/>
      <c r="KZM69" s="1553"/>
      <c r="KZO69" s="1553"/>
      <c r="KZQ69" s="1553"/>
      <c r="KZS69" s="1553"/>
      <c r="KZU69" s="1553"/>
      <c r="KZW69" s="1553"/>
      <c r="KZY69" s="1553"/>
      <c r="LAA69" s="1553"/>
      <c r="LAC69" s="1553"/>
      <c r="LAE69" s="1553"/>
      <c r="LAG69" s="1553"/>
      <c r="LAI69" s="1553"/>
      <c r="LAK69" s="1553"/>
      <c r="LAM69" s="1553"/>
      <c r="LAO69" s="1553"/>
      <c r="LAQ69" s="1553"/>
      <c r="LAS69" s="1553"/>
      <c r="LAU69" s="1553"/>
      <c r="LAW69" s="1553"/>
      <c r="LAY69" s="1553"/>
      <c r="LBA69" s="1553"/>
      <c r="LBC69" s="1553"/>
      <c r="LBE69" s="1553"/>
      <c r="LBG69" s="1553"/>
      <c r="LBI69" s="1553"/>
      <c r="LBK69" s="1553"/>
      <c r="LBM69" s="1553"/>
      <c r="LBO69" s="1553"/>
      <c r="LBQ69" s="1553"/>
      <c r="LBS69" s="1553"/>
      <c r="LBU69" s="1553"/>
      <c r="LBW69" s="1553"/>
      <c r="LBY69" s="1553"/>
      <c r="LCA69" s="1553"/>
      <c r="LCC69" s="1553"/>
      <c r="LCE69" s="1553"/>
      <c r="LCG69" s="1553"/>
      <c r="LCI69" s="1553"/>
      <c r="LCK69" s="1553"/>
      <c r="LCM69" s="1553"/>
      <c r="LCO69" s="1553"/>
      <c r="LCQ69" s="1553"/>
      <c r="LCS69" s="1553"/>
      <c r="LCU69" s="1553"/>
      <c r="LCW69" s="1553"/>
      <c r="LCY69" s="1553"/>
      <c r="LDA69" s="1553"/>
      <c r="LDC69" s="1553"/>
      <c r="LDE69" s="1553"/>
      <c r="LDG69" s="1553"/>
      <c r="LDI69" s="1553"/>
      <c r="LDK69" s="1553"/>
      <c r="LDM69" s="1553"/>
      <c r="LDO69" s="1553"/>
      <c r="LDQ69" s="1553"/>
      <c r="LDS69" s="1553"/>
      <c r="LDU69" s="1553"/>
      <c r="LDW69" s="1553"/>
      <c r="LDY69" s="1553"/>
      <c r="LEA69" s="1553"/>
      <c r="LEC69" s="1553"/>
      <c r="LEE69" s="1553"/>
      <c r="LEG69" s="1553"/>
      <c r="LEI69" s="1553"/>
      <c r="LEK69" s="1553"/>
      <c r="LEM69" s="1553"/>
      <c r="LEO69" s="1553"/>
      <c r="LEQ69" s="1553"/>
      <c r="LES69" s="1553"/>
      <c r="LEU69" s="1553"/>
      <c r="LEW69" s="1553"/>
      <c r="LEY69" s="1553"/>
      <c r="LFA69" s="1553"/>
      <c r="LFC69" s="1553"/>
      <c r="LFE69" s="1553"/>
      <c r="LFG69" s="1553"/>
      <c r="LFI69" s="1553"/>
      <c r="LFK69" s="1553"/>
      <c r="LFM69" s="1553"/>
      <c r="LFO69" s="1553"/>
      <c r="LFQ69" s="1553"/>
      <c r="LFS69" s="1553"/>
      <c r="LFU69" s="1553"/>
      <c r="LFW69" s="1553"/>
      <c r="LFY69" s="1553"/>
      <c r="LGA69" s="1553"/>
      <c r="LGC69" s="1553"/>
      <c r="LGE69" s="1553"/>
      <c r="LGG69" s="1553"/>
      <c r="LGI69" s="1553"/>
      <c r="LGK69" s="1553"/>
      <c r="LGM69" s="1553"/>
      <c r="LGO69" s="1553"/>
      <c r="LGQ69" s="1553"/>
      <c r="LGS69" s="1553"/>
      <c r="LGU69" s="1553"/>
      <c r="LGW69" s="1553"/>
      <c r="LGY69" s="1553"/>
      <c r="LHA69" s="1553"/>
      <c r="LHC69" s="1553"/>
      <c r="LHE69" s="1553"/>
      <c r="LHG69" s="1553"/>
      <c r="LHI69" s="1553"/>
      <c r="LHK69" s="1553"/>
      <c r="LHM69" s="1553"/>
      <c r="LHO69" s="1553"/>
      <c r="LHQ69" s="1553"/>
      <c r="LHS69" s="1553"/>
      <c r="LHU69" s="1553"/>
      <c r="LHW69" s="1553"/>
      <c r="LHY69" s="1553"/>
      <c r="LIA69" s="1553"/>
      <c r="LIC69" s="1553"/>
      <c r="LIE69" s="1553"/>
      <c r="LIG69" s="1553"/>
      <c r="LII69" s="1553"/>
      <c r="LIK69" s="1553"/>
      <c r="LIM69" s="1553"/>
      <c r="LIO69" s="1553"/>
      <c r="LIQ69" s="1553"/>
      <c r="LIS69" s="1553"/>
      <c r="LIU69" s="1553"/>
      <c r="LIW69" s="1553"/>
      <c r="LIY69" s="1553"/>
      <c r="LJA69" s="1553"/>
      <c r="LJC69" s="1553"/>
      <c r="LJE69" s="1553"/>
      <c r="LJG69" s="1553"/>
      <c r="LJI69" s="1553"/>
      <c r="LJK69" s="1553"/>
      <c r="LJM69" s="1553"/>
      <c r="LJO69" s="1553"/>
      <c r="LJQ69" s="1553"/>
      <c r="LJS69" s="1553"/>
      <c r="LJU69" s="1553"/>
      <c r="LJW69" s="1553"/>
      <c r="LJY69" s="1553"/>
      <c r="LKA69" s="1553"/>
      <c r="LKC69" s="1553"/>
      <c r="LKE69" s="1553"/>
      <c r="LKG69" s="1553"/>
      <c r="LKI69" s="1553"/>
      <c r="LKK69" s="1553"/>
      <c r="LKM69" s="1553"/>
      <c r="LKO69" s="1553"/>
      <c r="LKQ69" s="1553"/>
      <c r="LKS69" s="1553"/>
      <c r="LKU69" s="1553"/>
      <c r="LKW69" s="1553"/>
      <c r="LKY69" s="1553"/>
      <c r="LLA69" s="1553"/>
      <c r="LLC69" s="1553"/>
      <c r="LLE69" s="1553"/>
      <c r="LLG69" s="1553"/>
      <c r="LLI69" s="1553"/>
      <c r="LLK69" s="1553"/>
      <c r="LLM69" s="1553"/>
      <c r="LLO69" s="1553"/>
      <c r="LLQ69" s="1553"/>
      <c r="LLS69" s="1553"/>
      <c r="LLU69" s="1553"/>
      <c r="LLW69" s="1553"/>
      <c r="LLY69" s="1553"/>
      <c r="LMA69" s="1553"/>
      <c r="LMC69" s="1553"/>
      <c r="LME69" s="1553"/>
      <c r="LMG69" s="1553"/>
      <c r="LMI69" s="1553"/>
      <c r="LMK69" s="1553"/>
      <c r="LMM69" s="1553"/>
      <c r="LMO69" s="1553"/>
      <c r="LMQ69" s="1553"/>
      <c r="LMS69" s="1553"/>
      <c r="LMU69" s="1553"/>
      <c r="LMW69" s="1553"/>
      <c r="LMY69" s="1553"/>
      <c r="LNA69" s="1553"/>
      <c r="LNC69" s="1553"/>
      <c r="LNE69" s="1553"/>
      <c r="LNG69" s="1553"/>
      <c r="LNI69" s="1553"/>
      <c r="LNK69" s="1553"/>
      <c r="LNM69" s="1553"/>
      <c r="LNO69" s="1553"/>
      <c r="LNQ69" s="1553"/>
      <c r="LNS69" s="1553"/>
      <c r="LNU69" s="1553"/>
      <c r="LNW69" s="1553"/>
      <c r="LNY69" s="1553"/>
      <c r="LOA69" s="1553"/>
      <c r="LOC69" s="1553"/>
      <c r="LOE69" s="1553"/>
      <c r="LOG69" s="1553"/>
      <c r="LOI69" s="1553"/>
      <c r="LOK69" s="1553"/>
      <c r="LOM69" s="1553"/>
      <c r="LOO69" s="1553"/>
      <c r="LOQ69" s="1553"/>
      <c r="LOS69" s="1553"/>
      <c r="LOU69" s="1553"/>
      <c r="LOW69" s="1553"/>
      <c r="LOY69" s="1553"/>
      <c r="LPA69" s="1553"/>
      <c r="LPC69" s="1553"/>
      <c r="LPE69" s="1553"/>
      <c r="LPG69" s="1553"/>
      <c r="LPI69" s="1553"/>
      <c r="LPK69" s="1553"/>
      <c r="LPM69" s="1553"/>
      <c r="LPO69" s="1553"/>
      <c r="LPQ69" s="1553"/>
      <c r="LPS69" s="1553"/>
      <c r="LPU69" s="1553"/>
      <c r="LPW69" s="1553"/>
      <c r="LPY69" s="1553"/>
      <c r="LQA69" s="1553"/>
      <c r="LQC69" s="1553"/>
      <c r="LQE69" s="1553"/>
      <c r="LQG69" s="1553"/>
      <c r="LQI69" s="1553"/>
      <c r="LQK69" s="1553"/>
      <c r="LQM69" s="1553"/>
      <c r="LQO69" s="1553"/>
      <c r="LQQ69" s="1553"/>
      <c r="LQS69" s="1553"/>
      <c r="LQU69" s="1553"/>
      <c r="LQW69" s="1553"/>
      <c r="LQY69" s="1553"/>
      <c r="LRA69" s="1553"/>
      <c r="LRC69" s="1553"/>
      <c r="LRE69" s="1553"/>
      <c r="LRG69" s="1553"/>
      <c r="LRI69" s="1553"/>
      <c r="LRK69" s="1553"/>
      <c r="LRM69" s="1553"/>
      <c r="LRO69" s="1553"/>
      <c r="LRQ69" s="1553"/>
      <c r="LRS69" s="1553"/>
      <c r="LRU69" s="1553"/>
      <c r="LRW69" s="1553"/>
      <c r="LRY69" s="1553"/>
      <c r="LSA69" s="1553"/>
      <c r="LSC69" s="1553"/>
      <c r="LSE69" s="1553"/>
      <c r="LSG69" s="1553"/>
      <c r="LSI69" s="1553"/>
      <c r="LSK69" s="1553"/>
      <c r="LSM69" s="1553"/>
      <c r="LSO69" s="1553"/>
      <c r="LSQ69" s="1553"/>
      <c r="LSS69" s="1553"/>
      <c r="LSU69" s="1553"/>
      <c r="LSW69" s="1553"/>
      <c r="LSY69" s="1553"/>
      <c r="LTA69" s="1553"/>
      <c r="LTC69" s="1553"/>
      <c r="LTE69" s="1553"/>
      <c r="LTG69" s="1553"/>
      <c r="LTI69" s="1553"/>
      <c r="LTK69" s="1553"/>
      <c r="LTM69" s="1553"/>
      <c r="LTO69" s="1553"/>
      <c r="LTQ69" s="1553"/>
      <c r="LTS69" s="1553"/>
      <c r="LTU69" s="1553"/>
      <c r="LTW69" s="1553"/>
      <c r="LTY69" s="1553"/>
      <c r="LUA69" s="1553"/>
      <c r="LUC69" s="1553"/>
      <c r="LUE69" s="1553"/>
      <c r="LUG69" s="1553"/>
      <c r="LUI69" s="1553"/>
      <c r="LUK69" s="1553"/>
      <c r="LUM69" s="1553"/>
      <c r="LUO69" s="1553"/>
      <c r="LUQ69" s="1553"/>
      <c r="LUS69" s="1553"/>
      <c r="LUU69" s="1553"/>
      <c r="LUW69" s="1553"/>
      <c r="LUY69" s="1553"/>
      <c r="LVA69" s="1553"/>
      <c r="LVC69" s="1553"/>
      <c r="LVE69" s="1553"/>
      <c r="LVG69" s="1553"/>
      <c r="LVI69" s="1553"/>
      <c r="LVK69" s="1553"/>
      <c r="LVM69" s="1553"/>
      <c r="LVO69" s="1553"/>
      <c r="LVQ69" s="1553"/>
      <c r="LVS69" s="1553"/>
      <c r="LVU69" s="1553"/>
      <c r="LVW69" s="1553"/>
      <c r="LVY69" s="1553"/>
      <c r="LWA69" s="1553"/>
      <c r="LWC69" s="1553"/>
      <c r="LWE69" s="1553"/>
      <c r="LWG69" s="1553"/>
      <c r="LWI69" s="1553"/>
      <c r="LWK69" s="1553"/>
      <c r="LWM69" s="1553"/>
      <c r="LWO69" s="1553"/>
      <c r="LWQ69" s="1553"/>
      <c r="LWS69" s="1553"/>
      <c r="LWU69" s="1553"/>
      <c r="LWW69" s="1553"/>
      <c r="LWY69" s="1553"/>
      <c r="LXA69" s="1553"/>
      <c r="LXC69" s="1553"/>
      <c r="LXE69" s="1553"/>
      <c r="LXG69" s="1553"/>
      <c r="LXI69" s="1553"/>
      <c r="LXK69" s="1553"/>
      <c r="LXM69" s="1553"/>
      <c r="LXO69" s="1553"/>
      <c r="LXQ69" s="1553"/>
      <c r="LXS69" s="1553"/>
      <c r="LXU69" s="1553"/>
      <c r="LXW69" s="1553"/>
      <c r="LXY69" s="1553"/>
      <c r="LYA69" s="1553"/>
      <c r="LYC69" s="1553"/>
      <c r="LYE69" s="1553"/>
      <c r="LYG69" s="1553"/>
      <c r="LYI69" s="1553"/>
      <c r="LYK69" s="1553"/>
      <c r="LYM69" s="1553"/>
      <c r="LYO69" s="1553"/>
      <c r="LYQ69" s="1553"/>
      <c r="LYS69" s="1553"/>
      <c r="LYU69" s="1553"/>
      <c r="LYW69" s="1553"/>
      <c r="LYY69" s="1553"/>
      <c r="LZA69" s="1553"/>
      <c r="LZC69" s="1553"/>
      <c r="LZE69" s="1553"/>
      <c r="LZG69" s="1553"/>
      <c r="LZI69" s="1553"/>
      <c r="LZK69" s="1553"/>
      <c r="LZM69" s="1553"/>
      <c r="LZO69" s="1553"/>
      <c r="LZQ69" s="1553"/>
      <c r="LZS69" s="1553"/>
      <c r="LZU69" s="1553"/>
      <c r="LZW69" s="1553"/>
      <c r="LZY69" s="1553"/>
      <c r="MAA69" s="1553"/>
      <c r="MAC69" s="1553"/>
      <c r="MAE69" s="1553"/>
      <c r="MAG69" s="1553"/>
      <c r="MAI69" s="1553"/>
      <c r="MAK69" s="1553"/>
      <c r="MAM69" s="1553"/>
      <c r="MAO69" s="1553"/>
      <c r="MAQ69" s="1553"/>
      <c r="MAS69" s="1553"/>
      <c r="MAU69" s="1553"/>
      <c r="MAW69" s="1553"/>
      <c r="MAY69" s="1553"/>
      <c r="MBA69" s="1553"/>
      <c r="MBC69" s="1553"/>
      <c r="MBE69" s="1553"/>
      <c r="MBG69" s="1553"/>
      <c r="MBI69" s="1553"/>
      <c r="MBK69" s="1553"/>
      <c r="MBM69" s="1553"/>
      <c r="MBO69" s="1553"/>
      <c r="MBQ69" s="1553"/>
      <c r="MBS69" s="1553"/>
      <c r="MBU69" s="1553"/>
      <c r="MBW69" s="1553"/>
      <c r="MBY69" s="1553"/>
      <c r="MCA69" s="1553"/>
      <c r="MCC69" s="1553"/>
      <c r="MCE69" s="1553"/>
      <c r="MCG69" s="1553"/>
      <c r="MCI69" s="1553"/>
      <c r="MCK69" s="1553"/>
      <c r="MCM69" s="1553"/>
      <c r="MCO69" s="1553"/>
      <c r="MCQ69" s="1553"/>
      <c r="MCS69" s="1553"/>
      <c r="MCU69" s="1553"/>
      <c r="MCW69" s="1553"/>
      <c r="MCY69" s="1553"/>
      <c r="MDA69" s="1553"/>
      <c r="MDC69" s="1553"/>
      <c r="MDE69" s="1553"/>
      <c r="MDG69" s="1553"/>
      <c r="MDI69" s="1553"/>
      <c r="MDK69" s="1553"/>
      <c r="MDM69" s="1553"/>
      <c r="MDO69" s="1553"/>
      <c r="MDQ69" s="1553"/>
      <c r="MDS69" s="1553"/>
      <c r="MDU69" s="1553"/>
      <c r="MDW69" s="1553"/>
      <c r="MDY69" s="1553"/>
      <c r="MEA69" s="1553"/>
      <c r="MEC69" s="1553"/>
      <c r="MEE69" s="1553"/>
      <c r="MEG69" s="1553"/>
      <c r="MEI69" s="1553"/>
      <c r="MEK69" s="1553"/>
      <c r="MEM69" s="1553"/>
      <c r="MEO69" s="1553"/>
      <c r="MEQ69" s="1553"/>
      <c r="MES69" s="1553"/>
      <c r="MEU69" s="1553"/>
      <c r="MEW69" s="1553"/>
      <c r="MEY69" s="1553"/>
      <c r="MFA69" s="1553"/>
      <c r="MFC69" s="1553"/>
      <c r="MFE69" s="1553"/>
      <c r="MFG69" s="1553"/>
      <c r="MFI69" s="1553"/>
      <c r="MFK69" s="1553"/>
      <c r="MFM69" s="1553"/>
      <c r="MFO69" s="1553"/>
      <c r="MFQ69" s="1553"/>
      <c r="MFS69" s="1553"/>
      <c r="MFU69" s="1553"/>
      <c r="MFW69" s="1553"/>
      <c r="MFY69" s="1553"/>
      <c r="MGA69" s="1553"/>
      <c r="MGC69" s="1553"/>
      <c r="MGE69" s="1553"/>
      <c r="MGG69" s="1553"/>
      <c r="MGI69" s="1553"/>
      <c r="MGK69" s="1553"/>
      <c r="MGM69" s="1553"/>
      <c r="MGO69" s="1553"/>
      <c r="MGQ69" s="1553"/>
      <c r="MGS69" s="1553"/>
      <c r="MGU69" s="1553"/>
      <c r="MGW69" s="1553"/>
      <c r="MGY69" s="1553"/>
      <c r="MHA69" s="1553"/>
      <c r="MHC69" s="1553"/>
      <c r="MHE69" s="1553"/>
      <c r="MHG69" s="1553"/>
      <c r="MHI69" s="1553"/>
      <c r="MHK69" s="1553"/>
      <c r="MHM69" s="1553"/>
      <c r="MHO69" s="1553"/>
      <c r="MHQ69" s="1553"/>
      <c r="MHS69" s="1553"/>
      <c r="MHU69" s="1553"/>
      <c r="MHW69" s="1553"/>
      <c r="MHY69" s="1553"/>
      <c r="MIA69" s="1553"/>
      <c r="MIC69" s="1553"/>
      <c r="MIE69" s="1553"/>
      <c r="MIG69" s="1553"/>
      <c r="MII69" s="1553"/>
      <c r="MIK69" s="1553"/>
      <c r="MIM69" s="1553"/>
      <c r="MIO69" s="1553"/>
      <c r="MIQ69" s="1553"/>
      <c r="MIS69" s="1553"/>
      <c r="MIU69" s="1553"/>
      <c r="MIW69" s="1553"/>
      <c r="MIY69" s="1553"/>
      <c r="MJA69" s="1553"/>
      <c r="MJC69" s="1553"/>
      <c r="MJE69" s="1553"/>
      <c r="MJG69" s="1553"/>
      <c r="MJI69" s="1553"/>
      <c r="MJK69" s="1553"/>
      <c r="MJM69" s="1553"/>
      <c r="MJO69" s="1553"/>
      <c r="MJQ69" s="1553"/>
      <c r="MJS69" s="1553"/>
      <c r="MJU69" s="1553"/>
      <c r="MJW69" s="1553"/>
      <c r="MJY69" s="1553"/>
      <c r="MKA69" s="1553"/>
      <c r="MKC69" s="1553"/>
      <c r="MKE69" s="1553"/>
      <c r="MKG69" s="1553"/>
      <c r="MKI69" s="1553"/>
      <c r="MKK69" s="1553"/>
      <c r="MKM69" s="1553"/>
      <c r="MKO69" s="1553"/>
      <c r="MKQ69" s="1553"/>
      <c r="MKS69" s="1553"/>
      <c r="MKU69" s="1553"/>
      <c r="MKW69" s="1553"/>
      <c r="MKY69" s="1553"/>
      <c r="MLA69" s="1553"/>
      <c r="MLC69" s="1553"/>
      <c r="MLE69" s="1553"/>
      <c r="MLG69" s="1553"/>
      <c r="MLI69" s="1553"/>
      <c r="MLK69" s="1553"/>
      <c r="MLM69" s="1553"/>
      <c r="MLO69" s="1553"/>
      <c r="MLQ69" s="1553"/>
      <c r="MLS69" s="1553"/>
      <c r="MLU69" s="1553"/>
      <c r="MLW69" s="1553"/>
      <c r="MLY69" s="1553"/>
      <c r="MMA69" s="1553"/>
      <c r="MMC69" s="1553"/>
      <c r="MME69" s="1553"/>
      <c r="MMG69" s="1553"/>
      <c r="MMI69" s="1553"/>
      <c r="MMK69" s="1553"/>
      <c r="MMM69" s="1553"/>
      <c r="MMO69" s="1553"/>
      <c r="MMQ69" s="1553"/>
      <c r="MMS69" s="1553"/>
      <c r="MMU69" s="1553"/>
      <c r="MMW69" s="1553"/>
      <c r="MMY69" s="1553"/>
      <c r="MNA69" s="1553"/>
      <c r="MNC69" s="1553"/>
      <c r="MNE69" s="1553"/>
      <c r="MNG69" s="1553"/>
      <c r="MNI69" s="1553"/>
      <c r="MNK69" s="1553"/>
      <c r="MNM69" s="1553"/>
      <c r="MNO69" s="1553"/>
      <c r="MNQ69" s="1553"/>
      <c r="MNS69" s="1553"/>
      <c r="MNU69" s="1553"/>
      <c r="MNW69" s="1553"/>
      <c r="MNY69" s="1553"/>
      <c r="MOA69" s="1553"/>
      <c r="MOC69" s="1553"/>
      <c r="MOE69" s="1553"/>
      <c r="MOG69" s="1553"/>
      <c r="MOI69" s="1553"/>
      <c r="MOK69" s="1553"/>
      <c r="MOM69" s="1553"/>
      <c r="MOO69" s="1553"/>
      <c r="MOQ69" s="1553"/>
      <c r="MOS69" s="1553"/>
      <c r="MOU69" s="1553"/>
      <c r="MOW69" s="1553"/>
      <c r="MOY69" s="1553"/>
      <c r="MPA69" s="1553"/>
      <c r="MPC69" s="1553"/>
      <c r="MPE69" s="1553"/>
      <c r="MPG69" s="1553"/>
      <c r="MPI69" s="1553"/>
      <c r="MPK69" s="1553"/>
      <c r="MPM69" s="1553"/>
      <c r="MPO69" s="1553"/>
      <c r="MPQ69" s="1553"/>
      <c r="MPS69" s="1553"/>
      <c r="MPU69" s="1553"/>
      <c r="MPW69" s="1553"/>
      <c r="MPY69" s="1553"/>
      <c r="MQA69" s="1553"/>
      <c r="MQC69" s="1553"/>
      <c r="MQE69" s="1553"/>
      <c r="MQG69" s="1553"/>
      <c r="MQI69" s="1553"/>
      <c r="MQK69" s="1553"/>
      <c r="MQM69" s="1553"/>
      <c r="MQO69" s="1553"/>
      <c r="MQQ69" s="1553"/>
      <c r="MQS69" s="1553"/>
      <c r="MQU69" s="1553"/>
      <c r="MQW69" s="1553"/>
      <c r="MQY69" s="1553"/>
      <c r="MRA69" s="1553"/>
      <c r="MRC69" s="1553"/>
      <c r="MRE69" s="1553"/>
      <c r="MRG69" s="1553"/>
      <c r="MRI69" s="1553"/>
      <c r="MRK69" s="1553"/>
      <c r="MRM69" s="1553"/>
      <c r="MRO69" s="1553"/>
      <c r="MRQ69" s="1553"/>
      <c r="MRS69" s="1553"/>
      <c r="MRU69" s="1553"/>
      <c r="MRW69" s="1553"/>
      <c r="MRY69" s="1553"/>
      <c r="MSA69" s="1553"/>
      <c r="MSC69" s="1553"/>
      <c r="MSE69" s="1553"/>
      <c r="MSG69" s="1553"/>
      <c r="MSI69" s="1553"/>
      <c r="MSK69" s="1553"/>
      <c r="MSM69" s="1553"/>
      <c r="MSO69" s="1553"/>
      <c r="MSQ69" s="1553"/>
      <c r="MSS69" s="1553"/>
      <c r="MSU69" s="1553"/>
      <c r="MSW69" s="1553"/>
      <c r="MSY69" s="1553"/>
      <c r="MTA69" s="1553"/>
      <c r="MTC69" s="1553"/>
      <c r="MTE69" s="1553"/>
      <c r="MTG69" s="1553"/>
      <c r="MTI69" s="1553"/>
      <c r="MTK69" s="1553"/>
      <c r="MTM69" s="1553"/>
      <c r="MTO69" s="1553"/>
      <c r="MTQ69" s="1553"/>
      <c r="MTS69" s="1553"/>
      <c r="MTU69" s="1553"/>
      <c r="MTW69" s="1553"/>
      <c r="MTY69" s="1553"/>
      <c r="MUA69" s="1553"/>
      <c r="MUC69" s="1553"/>
      <c r="MUE69" s="1553"/>
      <c r="MUG69" s="1553"/>
      <c r="MUI69" s="1553"/>
      <c r="MUK69" s="1553"/>
      <c r="MUM69" s="1553"/>
      <c r="MUO69" s="1553"/>
      <c r="MUQ69" s="1553"/>
      <c r="MUS69" s="1553"/>
      <c r="MUU69" s="1553"/>
      <c r="MUW69" s="1553"/>
      <c r="MUY69" s="1553"/>
      <c r="MVA69" s="1553"/>
      <c r="MVC69" s="1553"/>
      <c r="MVE69" s="1553"/>
      <c r="MVG69" s="1553"/>
      <c r="MVI69" s="1553"/>
      <c r="MVK69" s="1553"/>
      <c r="MVM69" s="1553"/>
      <c r="MVO69" s="1553"/>
      <c r="MVQ69" s="1553"/>
      <c r="MVS69" s="1553"/>
      <c r="MVU69" s="1553"/>
      <c r="MVW69" s="1553"/>
      <c r="MVY69" s="1553"/>
      <c r="MWA69" s="1553"/>
      <c r="MWC69" s="1553"/>
      <c r="MWE69" s="1553"/>
      <c r="MWG69" s="1553"/>
      <c r="MWI69" s="1553"/>
      <c r="MWK69" s="1553"/>
      <c r="MWM69" s="1553"/>
      <c r="MWO69" s="1553"/>
      <c r="MWQ69" s="1553"/>
      <c r="MWS69" s="1553"/>
      <c r="MWU69" s="1553"/>
      <c r="MWW69" s="1553"/>
      <c r="MWY69" s="1553"/>
      <c r="MXA69" s="1553"/>
      <c r="MXC69" s="1553"/>
      <c r="MXE69" s="1553"/>
      <c r="MXG69" s="1553"/>
      <c r="MXI69" s="1553"/>
      <c r="MXK69" s="1553"/>
      <c r="MXM69" s="1553"/>
      <c r="MXO69" s="1553"/>
      <c r="MXQ69" s="1553"/>
      <c r="MXS69" s="1553"/>
      <c r="MXU69" s="1553"/>
      <c r="MXW69" s="1553"/>
      <c r="MXY69" s="1553"/>
      <c r="MYA69" s="1553"/>
      <c r="MYC69" s="1553"/>
      <c r="MYE69" s="1553"/>
      <c r="MYG69" s="1553"/>
      <c r="MYI69" s="1553"/>
      <c r="MYK69" s="1553"/>
      <c r="MYM69" s="1553"/>
      <c r="MYO69" s="1553"/>
      <c r="MYQ69" s="1553"/>
      <c r="MYS69" s="1553"/>
      <c r="MYU69" s="1553"/>
      <c r="MYW69" s="1553"/>
      <c r="MYY69" s="1553"/>
      <c r="MZA69" s="1553"/>
      <c r="MZC69" s="1553"/>
      <c r="MZE69" s="1553"/>
      <c r="MZG69" s="1553"/>
      <c r="MZI69" s="1553"/>
      <c r="MZK69" s="1553"/>
      <c r="MZM69" s="1553"/>
      <c r="MZO69" s="1553"/>
      <c r="MZQ69" s="1553"/>
      <c r="MZS69" s="1553"/>
      <c r="MZU69" s="1553"/>
      <c r="MZW69" s="1553"/>
      <c r="MZY69" s="1553"/>
      <c r="NAA69" s="1553"/>
      <c r="NAC69" s="1553"/>
      <c r="NAE69" s="1553"/>
      <c r="NAG69" s="1553"/>
      <c r="NAI69" s="1553"/>
      <c r="NAK69" s="1553"/>
      <c r="NAM69" s="1553"/>
      <c r="NAO69" s="1553"/>
      <c r="NAQ69" s="1553"/>
      <c r="NAS69" s="1553"/>
      <c r="NAU69" s="1553"/>
      <c r="NAW69" s="1553"/>
      <c r="NAY69" s="1553"/>
      <c r="NBA69" s="1553"/>
      <c r="NBC69" s="1553"/>
      <c r="NBE69" s="1553"/>
      <c r="NBG69" s="1553"/>
      <c r="NBI69" s="1553"/>
      <c r="NBK69" s="1553"/>
      <c r="NBM69" s="1553"/>
      <c r="NBO69" s="1553"/>
      <c r="NBQ69" s="1553"/>
      <c r="NBS69" s="1553"/>
      <c r="NBU69" s="1553"/>
      <c r="NBW69" s="1553"/>
      <c r="NBY69" s="1553"/>
      <c r="NCA69" s="1553"/>
      <c r="NCC69" s="1553"/>
      <c r="NCE69" s="1553"/>
      <c r="NCG69" s="1553"/>
      <c r="NCI69" s="1553"/>
      <c r="NCK69" s="1553"/>
      <c r="NCM69" s="1553"/>
      <c r="NCO69" s="1553"/>
      <c r="NCQ69" s="1553"/>
      <c r="NCS69" s="1553"/>
      <c r="NCU69" s="1553"/>
      <c r="NCW69" s="1553"/>
      <c r="NCY69" s="1553"/>
      <c r="NDA69" s="1553"/>
      <c r="NDC69" s="1553"/>
      <c r="NDE69" s="1553"/>
      <c r="NDG69" s="1553"/>
      <c r="NDI69" s="1553"/>
      <c r="NDK69" s="1553"/>
      <c r="NDM69" s="1553"/>
      <c r="NDO69" s="1553"/>
      <c r="NDQ69" s="1553"/>
      <c r="NDS69" s="1553"/>
      <c r="NDU69" s="1553"/>
      <c r="NDW69" s="1553"/>
      <c r="NDY69" s="1553"/>
      <c r="NEA69" s="1553"/>
      <c r="NEC69" s="1553"/>
      <c r="NEE69" s="1553"/>
      <c r="NEG69" s="1553"/>
      <c r="NEI69" s="1553"/>
      <c r="NEK69" s="1553"/>
      <c r="NEM69" s="1553"/>
      <c r="NEO69" s="1553"/>
      <c r="NEQ69" s="1553"/>
      <c r="NES69" s="1553"/>
      <c r="NEU69" s="1553"/>
      <c r="NEW69" s="1553"/>
      <c r="NEY69" s="1553"/>
      <c r="NFA69" s="1553"/>
      <c r="NFC69" s="1553"/>
      <c r="NFE69" s="1553"/>
      <c r="NFG69" s="1553"/>
      <c r="NFI69" s="1553"/>
      <c r="NFK69" s="1553"/>
      <c r="NFM69" s="1553"/>
      <c r="NFO69" s="1553"/>
      <c r="NFQ69" s="1553"/>
      <c r="NFS69" s="1553"/>
      <c r="NFU69" s="1553"/>
      <c r="NFW69" s="1553"/>
      <c r="NFY69" s="1553"/>
      <c r="NGA69" s="1553"/>
      <c r="NGC69" s="1553"/>
      <c r="NGE69" s="1553"/>
      <c r="NGG69" s="1553"/>
      <c r="NGI69" s="1553"/>
      <c r="NGK69" s="1553"/>
      <c r="NGM69" s="1553"/>
      <c r="NGO69" s="1553"/>
      <c r="NGQ69" s="1553"/>
      <c r="NGS69" s="1553"/>
      <c r="NGU69" s="1553"/>
      <c r="NGW69" s="1553"/>
      <c r="NGY69" s="1553"/>
      <c r="NHA69" s="1553"/>
      <c r="NHC69" s="1553"/>
      <c r="NHE69" s="1553"/>
      <c r="NHG69" s="1553"/>
      <c r="NHI69" s="1553"/>
      <c r="NHK69" s="1553"/>
      <c r="NHM69" s="1553"/>
      <c r="NHO69" s="1553"/>
      <c r="NHQ69" s="1553"/>
      <c r="NHS69" s="1553"/>
      <c r="NHU69" s="1553"/>
      <c r="NHW69" s="1553"/>
      <c r="NHY69" s="1553"/>
      <c r="NIA69" s="1553"/>
      <c r="NIC69" s="1553"/>
      <c r="NIE69" s="1553"/>
      <c r="NIG69" s="1553"/>
      <c r="NII69" s="1553"/>
      <c r="NIK69" s="1553"/>
      <c r="NIM69" s="1553"/>
      <c r="NIO69" s="1553"/>
      <c r="NIQ69" s="1553"/>
      <c r="NIS69" s="1553"/>
      <c r="NIU69" s="1553"/>
      <c r="NIW69" s="1553"/>
      <c r="NIY69" s="1553"/>
      <c r="NJA69" s="1553"/>
      <c r="NJC69" s="1553"/>
      <c r="NJE69" s="1553"/>
      <c r="NJG69" s="1553"/>
      <c r="NJI69" s="1553"/>
      <c r="NJK69" s="1553"/>
      <c r="NJM69" s="1553"/>
      <c r="NJO69" s="1553"/>
      <c r="NJQ69" s="1553"/>
      <c r="NJS69" s="1553"/>
      <c r="NJU69" s="1553"/>
      <c r="NJW69" s="1553"/>
      <c r="NJY69" s="1553"/>
      <c r="NKA69" s="1553"/>
      <c r="NKC69" s="1553"/>
      <c r="NKE69" s="1553"/>
      <c r="NKG69" s="1553"/>
      <c r="NKI69" s="1553"/>
      <c r="NKK69" s="1553"/>
      <c r="NKM69" s="1553"/>
      <c r="NKO69" s="1553"/>
      <c r="NKQ69" s="1553"/>
      <c r="NKS69" s="1553"/>
      <c r="NKU69" s="1553"/>
      <c r="NKW69" s="1553"/>
      <c r="NKY69" s="1553"/>
      <c r="NLA69" s="1553"/>
      <c r="NLC69" s="1553"/>
      <c r="NLE69" s="1553"/>
      <c r="NLG69" s="1553"/>
      <c r="NLI69" s="1553"/>
      <c r="NLK69" s="1553"/>
      <c r="NLM69" s="1553"/>
      <c r="NLO69" s="1553"/>
      <c r="NLQ69" s="1553"/>
      <c r="NLS69" s="1553"/>
      <c r="NLU69" s="1553"/>
      <c r="NLW69" s="1553"/>
      <c r="NLY69" s="1553"/>
      <c r="NMA69" s="1553"/>
      <c r="NMC69" s="1553"/>
      <c r="NME69" s="1553"/>
      <c r="NMG69" s="1553"/>
      <c r="NMI69" s="1553"/>
      <c r="NMK69" s="1553"/>
      <c r="NMM69" s="1553"/>
      <c r="NMO69" s="1553"/>
      <c r="NMQ69" s="1553"/>
      <c r="NMS69" s="1553"/>
      <c r="NMU69" s="1553"/>
      <c r="NMW69" s="1553"/>
      <c r="NMY69" s="1553"/>
      <c r="NNA69" s="1553"/>
      <c r="NNC69" s="1553"/>
      <c r="NNE69" s="1553"/>
      <c r="NNG69" s="1553"/>
      <c r="NNI69" s="1553"/>
      <c r="NNK69" s="1553"/>
      <c r="NNM69" s="1553"/>
      <c r="NNO69" s="1553"/>
      <c r="NNQ69" s="1553"/>
      <c r="NNS69" s="1553"/>
      <c r="NNU69" s="1553"/>
      <c r="NNW69" s="1553"/>
      <c r="NNY69" s="1553"/>
      <c r="NOA69" s="1553"/>
      <c r="NOC69" s="1553"/>
      <c r="NOE69" s="1553"/>
      <c r="NOG69" s="1553"/>
      <c r="NOI69" s="1553"/>
      <c r="NOK69" s="1553"/>
      <c r="NOM69" s="1553"/>
      <c r="NOO69" s="1553"/>
      <c r="NOQ69" s="1553"/>
      <c r="NOS69" s="1553"/>
      <c r="NOU69" s="1553"/>
      <c r="NOW69" s="1553"/>
      <c r="NOY69" s="1553"/>
      <c r="NPA69" s="1553"/>
      <c r="NPC69" s="1553"/>
      <c r="NPE69" s="1553"/>
      <c r="NPG69" s="1553"/>
      <c r="NPI69" s="1553"/>
      <c r="NPK69" s="1553"/>
      <c r="NPM69" s="1553"/>
      <c r="NPO69" s="1553"/>
      <c r="NPQ69" s="1553"/>
      <c r="NPS69" s="1553"/>
      <c r="NPU69" s="1553"/>
      <c r="NPW69" s="1553"/>
      <c r="NPY69" s="1553"/>
      <c r="NQA69" s="1553"/>
      <c r="NQC69" s="1553"/>
      <c r="NQE69" s="1553"/>
      <c r="NQG69" s="1553"/>
      <c r="NQI69" s="1553"/>
      <c r="NQK69" s="1553"/>
      <c r="NQM69" s="1553"/>
      <c r="NQO69" s="1553"/>
      <c r="NQQ69" s="1553"/>
      <c r="NQS69" s="1553"/>
      <c r="NQU69" s="1553"/>
      <c r="NQW69" s="1553"/>
      <c r="NQY69" s="1553"/>
      <c r="NRA69" s="1553"/>
      <c r="NRC69" s="1553"/>
      <c r="NRE69" s="1553"/>
      <c r="NRG69" s="1553"/>
      <c r="NRI69" s="1553"/>
      <c r="NRK69" s="1553"/>
      <c r="NRM69" s="1553"/>
      <c r="NRO69" s="1553"/>
      <c r="NRQ69" s="1553"/>
      <c r="NRS69" s="1553"/>
      <c r="NRU69" s="1553"/>
      <c r="NRW69" s="1553"/>
      <c r="NRY69" s="1553"/>
      <c r="NSA69" s="1553"/>
      <c r="NSC69" s="1553"/>
      <c r="NSE69" s="1553"/>
      <c r="NSG69" s="1553"/>
      <c r="NSI69" s="1553"/>
      <c r="NSK69" s="1553"/>
      <c r="NSM69" s="1553"/>
      <c r="NSO69" s="1553"/>
      <c r="NSQ69" s="1553"/>
      <c r="NSS69" s="1553"/>
      <c r="NSU69" s="1553"/>
      <c r="NSW69" s="1553"/>
      <c r="NSY69" s="1553"/>
      <c r="NTA69" s="1553"/>
      <c r="NTC69" s="1553"/>
      <c r="NTE69" s="1553"/>
      <c r="NTG69" s="1553"/>
      <c r="NTI69" s="1553"/>
      <c r="NTK69" s="1553"/>
      <c r="NTM69" s="1553"/>
      <c r="NTO69" s="1553"/>
      <c r="NTQ69" s="1553"/>
      <c r="NTS69" s="1553"/>
      <c r="NTU69" s="1553"/>
      <c r="NTW69" s="1553"/>
      <c r="NTY69" s="1553"/>
      <c r="NUA69" s="1553"/>
      <c r="NUC69" s="1553"/>
      <c r="NUE69" s="1553"/>
      <c r="NUG69" s="1553"/>
      <c r="NUI69" s="1553"/>
      <c r="NUK69" s="1553"/>
      <c r="NUM69" s="1553"/>
      <c r="NUO69" s="1553"/>
      <c r="NUQ69" s="1553"/>
      <c r="NUS69" s="1553"/>
      <c r="NUU69" s="1553"/>
      <c r="NUW69" s="1553"/>
      <c r="NUY69" s="1553"/>
      <c r="NVA69" s="1553"/>
      <c r="NVC69" s="1553"/>
      <c r="NVE69" s="1553"/>
      <c r="NVG69" s="1553"/>
      <c r="NVI69" s="1553"/>
      <c r="NVK69" s="1553"/>
      <c r="NVM69" s="1553"/>
      <c r="NVO69" s="1553"/>
      <c r="NVQ69" s="1553"/>
      <c r="NVS69" s="1553"/>
      <c r="NVU69" s="1553"/>
      <c r="NVW69" s="1553"/>
      <c r="NVY69" s="1553"/>
      <c r="NWA69" s="1553"/>
      <c r="NWC69" s="1553"/>
      <c r="NWE69" s="1553"/>
      <c r="NWG69" s="1553"/>
      <c r="NWI69" s="1553"/>
      <c r="NWK69" s="1553"/>
      <c r="NWM69" s="1553"/>
      <c r="NWO69" s="1553"/>
      <c r="NWQ69" s="1553"/>
      <c r="NWS69" s="1553"/>
      <c r="NWU69" s="1553"/>
      <c r="NWW69" s="1553"/>
      <c r="NWY69" s="1553"/>
      <c r="NXA69" s="1553"/>
      <c r="NXC69" s="1553"/>
      <c r="NXE69" s="1553"/>
      <c r="NXG69" s="1553"/>
      <c r="NXI69" s="1553"/>
      <c r="NXK69" s="1553"/>
      <c r="NXM69" s="1553"/>
      <c r="NXO69" s="1553"/>
      <c r="NXQ69" s="1553"/>
      <c r="NXS69" s="1553"/>
      <c r="NXU69" s="1553"/>
      <c r="NXW69" s="1553"/>
      <c r="NXY69" s="1553"/>
      <c r="NYA69" s="1553"/>
      <c r="NYC69" s="1553"/>
      <c r="NYE69" s="1553"/>
      <c r="NYG69" s="1553"/>
      <c r="NYI69" s="1553"/>
      <c r="NYK69" s="1553"/>
      <c r="NYM69" s="1553"/>
      <c r="NYO69" s="1553"/>
      <c r="NYQ69" s="1553"/>
      <c r="NYS69" s="1553"/>
      <c r="NYU69" s="1553"/>
      <c r="NYW69" s="1553"/>
      <c r="NYY69" s="1553"/>
      <c r="NZA69" s="1553"/>
      <c r="NZC69" s="1553"/>
      <c r="NZE69" s="1553"/>
      <c r="NZG69" s="1553"/>
      <c r="NZI69" s="1553"/>
      <c r="NZK69" s="1553"/>
      <c r="NZM69" s="1553"/>
      <c r="NZO69" s="1553"/>
      <c r="NZQ69" s="1553"/>
      <c r="NZS69" s="1553"/>
      <c r="NZU69" s="1553"/>
      <c r="NZW69" s="1553"/>
      <c r="NZY69" s="1553"/>
      <c r="OAA69" s="1553"/>
      <c r="OAC69" s="1553"/>
      <c r="OAE69" s="1553"/>
      <c r="OAG69" s="1553"/>
      <c r="OAI69" s="1553"/>
      <c r="OAK69" s="1553"/>
      <c r="OAM69" s="1553"/>
      <c r="OAO69" s="1553"/>
      <c r="OAQ69" s="1553"/>
      <c r="OAS69" s="1553"/>
      <c r="OAU69" s="1553"/>
      <c r="OAW69" s="1553"/>
      <c r="OAY69" s="1553"/>
      <c r="OBA69" s="1553"/>
      <c r="OBC69" s="1553"/>
      <c r="OBE69" s="1553"/>
      <c r="OBG69" s="1553"/>
      <c r="OBI69" s="1553"/>
      <c r="OBK69" s="1553"/>
      <c r="OBM69" s="1553"/>
      <c r="OBO69" s="1553"/>
      <c r="OBQ69" s="1553"/>
      <c r="OBS69" s="1553"/>
      <c r="OBU69" s="1553"/>
      <c r="OBW69" s="1553"/>
      <c r="OBY69" s="1553"/>
      <c r="OCA69" s="1553"/>
      <c r="OCC69" s="1553"/>
      <c r="OCE69" s="1553"/>
      <c r="OCG69" s="1553"/>
      <c r="OCI69" s="1553"/>
      <c r="OCK69" s="1553"/>
      <c r="OCM69" s="1553"/>
      <c r="OCO69" s="1553"/>
      <c r="OCQ69" s="1553"/>
      <c r="OCS69" s="1553"/>
      <c r="OCU69" s="1553"/>
      <c r="OCW69" s="1553"/>
      <c r="OCY69" s="1553"/>
      <c r="ODA69" s="1553"/>
      <c r="ODC69" s="1553"/>
      <c r="ODE69" s="1553"/>
      <c r="ODG69" s="1553"/>
      <c r="ODI69" s="1553"/>
      <c r="ODK69" s="1553"/>
      <c r="ODM69" s="1553"/>
      <c r="ODO69" s="1553"/>
      <c r="ODQ69" s="1553"/>
      <c r="ODS69" s="1553"/>
      <c r="ODU69" s="1553"/>
      <c r="ODW69" s="1553"/>
      <c r="ODY69" s="1553"/>
      <c r="OEA69" s="1553"/>
      <c r="OEC69" s="1553"/>
      <c r="OEE69" s="1553"/>
      <c r="OEG69" s="1553"/>
      <c r="OEI69" s="1553"/>
      <c r="OEK69" s="1553"/>
      <c r="OEM69" s="1553"/>
      <c r="OEO69" s="1553"/>
      <c r="OEQ69" s="1553"/>
      <c r="OES69" s="1553"/>
      <c r="OEU69" s="1553"/>
      <c r="OEW69" s="1553"/>
      <c r="OEY69" s="1553"/>
      <c r="OFA69" s="1553"/>
      <c r="OFC69" s="1553"/>
      <c r="OFE69" s="1553"/>
      <c r="OFG69" s="1553"/>
      <c r="OFI69" s="1553"/>
      <c r="OFK69" s="1553"/>
      <c r="OFM69" s="1553"/>
      <c r="OFO69" s="1553"/>
      <c r="OFQ69" s="1553"/>
      <c r="OFS69" s="1553"/>
      <c r="OFU69" s="1553"/>
      <c r="OFW69" s="1553"/>
      <c r="OFY69" s="1553"/>
      <c r="OGA69" s="1553"/>
      <c r="OGC69" s="1553"/>
      <c r="OGE69" s="1553"/>
      <c r="OGG69" s="1553"/>
      <c r="OGI69" s="1553"/>
      <c r="OGK69" s="1553"/>
      <c r="OGM69" s="1553"/>
      <c r="OGO69" s="1553"/>
      <c r="OGQ69" s="1553"/>
      <c r="OGS69" s="1553"/>
      <c r="OGU69" s="1553"/>
      <c r="OGW69" s="1553"/>
      <c r="OGY69" s="1553"/>
      <c r="OHA69" s="1553"/>
      <c r="OHC69" s="1553"/>
      <c r="OHE69" s="1553"/>
      <c r="OHG69" s="1553"/>
      <c r="OHI69" s="1553"/>
      <c r="OHK69" s="1553"/>
      <c r="OHM69" s="1553"/>
      <c r="OHO69" s="1553"/>
      <c r="OHQ69" s="1553"/>
      <c r="OHS69" s="1553"/>
      <c r="OHU69" s="1553"/>
      <c r="OHW69" s="1553"/>
      <c r="OHY69" s="1553"/>
      <c r="OIA69" s="1553"/>
      <c r="OIC69" s="1553"/>
      <c r="OIE69" s="1553"/>
      <c r="OIG69" s="1553"/>
      <c r="OII69" s="1553"/>
      <c r="OIK69" s="1553"/>
      <c r="OIM69" s="1553"/>
      <c r="OIO69" s="1553"/>
      <c r="OIQ69" s="1553"/>
      <c r="OIS69" s="1553"/>
      <c r="OIU69" s="1553"/>
      <c r="OIW69" s="1553"/>
      <c r="OIY69" s="1553"/>
      <c r="OJA69" s="1553"/>
      <c r="OJC69" s="1553"/>
      <c r="OJE69" s="1553"/>
      <c r="OJG69" s="1553"/>
      <c r="OJI69" s="1553"/>
      <c r="OJK69" s="1553"/>
      <c r="OJM69" s="1553"/>
      <c r="OJO69" s="1553"/>
      <c r="OJQ69" s="1553"/>
      <c r="OJS69" s="1553"/>
      <c r="OJU69" s="1553"/>
      <c r="OJW69" s="1553"/>
      <c r="OJY69" s="1553"/>
      <c r="OKA69" s="1553"/>
      <c r="OKC69" s="1553"/>
      <c r="OKE69" s="1553"/>
      <c r="OKG69" s="1553"/>
      <c r="OKI69" s="1553"/>
      <c r="OKK69" s="1553"/>
      <c r="OKM69" s="1553"/>
      <c r="OKO69" s="1553"/>
      <c r="OKQ69" s="1553"/>
      <c r="OKS69" s="1553"/>
      <c r="OKU69" s="1553"/>
      <c r="OKW69" s="1553"/>
      <c r="OKY69" s="1553"/>
      <c r="OLA69" s="1553"/>
      <c r="OLC69" s="1553"/>
      <c r="OLE69" s="1553"/>
      <c r="OLG69" s="1553"/>
      <c r="OLI69" s="1553"/>
      <c r="OLK69" s="1553"/>
      <c r="OLM69" s="1553"/>
      <c r="OLO69" s="1553"/>
      <c r="OLQ69" s="1553"/>
      <c r="OLS69" s="1553"/>
      <c r="OLU69" s="1553"/>
      <c r="OLW69" s="1553"/>
      <c r="OLY69" s="1553"/>
      <c r="OMA69" s="1553"/>
      <c r="OMC69" s="1553"/>
      <c r="OME69" s="1553"/>
      <c r="OMG69" s="1553"/>
      <c r="OMI69" s="1553"/>
      <c r="OMK69" s="1553"/>
      <c r="OMM69" s="1553"/>
      <c r="OMO69" s="1553"/>
      <c r="OMQ69" s="1553"/>
      <c r="OMS69" s="1553"/>
      <c r="OMU69" s="1553"/>
      <c r="OMW69" s="1553"/>
      <c r="OMY69" s="1553"/>
      <c r="ONA69" s="1553"/>
      <c r="ONC69" s="1553"/>
      <c r="ONE69" s="1553"/>
      <c r="ONG69" s="1553"/>
      <c r="ONI69" s="1553"/>
      <c r="ONK69" s="1553"/>
      <c r="ONM69" s="1553"/>
      <c r="ONO69" s="1553"/>
      <c r="ONQ69" s="1553"/>
      <c r="ONS69" s="1553"/>
      <c r="ONU69" s="1553"/>
      <c r="ONW69" s="1553"/>
      <c r="ONY69" s="1553"/>
      <c r="OOA69" s="1553"/>
      <c r="OOC69" s="1553"/>
      <c r="OOE69" s="1553"/>
      <c r="OOG69" s="1553"/>
      <c r="OOI69" s="1553"/>
      <c r="OOK69" s="1553"/>
      <c r="OOM69" s="1553"/>
      <c r="OOO69" s="1553"/>
      <c r="OOQ69" s="1553"/>
      <c r="OOS69" s="1553"/>
      <c r="OOU69" s="1553"/>
      <c r="OOW69" s="1553"/>
      <c r="OOY69" s="1553"/>
      <c r="OPA69" s="1553"/>
      <c r="OPC69" s="1553"/>
      <c r="OPE69" s="1553"/>
      <c r="OPG69" s="1553"/>
      <c r="OPI69" s="1553"/>
      <c r="OPK69" s="1553"/>
      <c r="OPM69" s="1553"/>
      <c r="OPO69" s="1553"/>
      <c r="OPQ69" s="1553"/>
      <c r="OPS69" s="1553"/>
      <c r="OPU69" s="1553"/>
      <c r="OPW69" s="1553"/>
      <c r="OPY69" s="1553"/>
      <c r="OQA69" s="1553"/>
      <c r="OQC69" s="1553"/>
      <c r="OQE69" s="1553"/>
      <c r="OQG69" s="1553"/>
      <c r="OQI69" s="1553"/>
      <c r="OQK69" s="1553"/>
      <c r="OQM69" s="1553"/>
      <c r="OQO69" s="1553"/>
      <c r="OQQ69" s="1553"/>
      <c r="OQS69" s="1553"/>
      <c r="OQU69" s="1553"/>
      <c r="OQW69" s="1553"/>
      <c r="OQY69" s="1553"/>
      <c r="ORA69" s="1553"/>
      <c r="ORC69" s="1553"/>
      <c r="ORE69" s="1553"/>
      <c r="ORG69" s="1553"/>
      <c r="ORI69" s="1553"/>
      <c r="ORK69" s="1553"/>
      <c r="ORM69" s="1553"/>
      <c r="ORO69" s="1553"/>
      <c r="ORQ69" s="1553"/>
      <c r="ORS69" s="1553"/>
      <c r="ORU69" s="1553"/>
      <c r="ORW69" s="1553"/>
      <c r="ORY69" s="1553"/>
      <c r="OSA69" s="1553"/>
      <c r="OSC69" s="1553"/>
      <c r="OSE69" s="1553"/>
      <c r="OSG69" s="1553"/>
      <c r="OSI69" s="1553"/>
      <c r="OSK69" s="1553"/>
      <c r="OSM69" s="1553"/>
      <c r="OSO69" s="1553"/>
      <c r="OSQ69" s="1553"/>
      <c r="OSS69" s="1553"/>
      <c r="OSU69" s="1553"/>
      <c r="OSW69" s="1553"/>
      <c r="OSY69" s="1553"/>
      <c r="OTA69" s="1553"/>
      <c r="OTC69" s="1553"/>
      <c r="OTE69" s="1553"/>
      <c r="OTG69" s="1553"/>
      <c r="OTI69" s="1553"/>
      <c r="OTK69" s="1553"/>
      <c r="OTM69" s="1553"/>
      <c r="OTO69" s="1553"/>
      <c r="OTQ69" s="1553"/>
      <c r="OTS69" s="1553"/>
      <c r="OTU69" s="1553"/>
      <c r="OTW69" s="1553"/>
      <c r="OTY69" s="1553"/>
      <c r="OUA69" s="1553"/>
      <c r="OUC69" s="1553"/>
      <c r="OUE69" s="1553"/>
      <c r="OUG69" s="1553"/>
      <c r="OUI69" s="1553"/>
      <c r="OUK69" s="1553"/>
      <c r="OUM69" s="1553"/>
      <c r="OUO69" s="1553"/>
      <c r="OUQ69" s="1553"/>
      <c r="OUS69" s="1553"/>
      <c r="OUU69" s="1553"/>
      <c r="OUW69" s="1553"/>
      <c r="OUY69" s="1553"/>
      <c r="OVA69" s="1553"/>
      <c r="OVC69" s="1553"/>
      <c r="OVE69" s="1553"/>
      <c r="OVG69" s="1553"/>
      <c r="OVI69" s="1553"/>
      <c r="OVK69" s="1553"/>
      <c r="OVM69" s="1553"/>
      <c r="OVO69" s="1553"/>
      <c r="OVQ69" s="1553"/>
      <c r="OVS69" s="1553"/>
      <c r="OVU69" s="1553"/>
      <c r="OVW69" s="1553"/>
      <c r="OVY69" s="1553"/>
      <c r="OWA69" s="1553"/>
      <c r="OWC69" s="1553"/>
      <c r="OWE69" s="1553"/>
      <c r="OWG69" s="1553"/>
      <c r="OWI69" s="1553"/>
      <c r="OWK69" s="1553"/>
      <c r="OWM69" s="1553"/>
      <c r="OWO69" s="1553"/>
      <c r="OWQ69" s="1553"/>
      <c r="OWS69" s="1553"/>
      <c r="OWU69" s="1553"/>
      <c r="OWW69" s="1553"/>
      <c r="OWY69" s="1553"/>
      <c r="OXA69" s="1553"/>
      <c r="OXC69" s="1553"/>
      <c r="OXE69" s="1553"/>
      <c r="OXG69" s="1553"/>
      <c r="OXI69" s="1553"/>
      <c r="OXK69" s="1553"/>
      <c r="OXM69" s="1553"/>
      <c r="OXO69" s="1553"/>
      <c r="OXQ69" s="1553"/>
      <c r="OXS69" s="1553"/>
      <c r="OXU69" s="1553"/>
      <c r="OXW69" s="1553"/>
      <c r="OXY69" s="1553"/>
      <c r="OYA69" s="1553"/>
      <c r="OYC69" s="1553"/>
      <c r="OYE69" s="1553"/>
      <c r="OYG69" s="1553"/>
      <c r="OYI69" s="1553"/>
      <c r="OYK69" s="1553"/>
      <c r="OYM69" s="1553"/>
      <c r="OYO69" s="1553"/>
      <c r="OYQ69" s="1553"/>
      <c r="OYS69" s="1553"/>
      <c r="OYU69" s="1553"/>
      <c r="OYW69" s="1553"/>
      <c r="OYY69" s="1553"/>
      <c r="OZA69" s="1553"/>
      <c r="OZC69" s="1553"/>
      <c r="OZE69" s="1553"/>
      <c r="OZG69" s="1553"/>
      <c r="OZI69" s="1553"/>
      <c r="OZK69" s="1553"/>
      <c r="OZM69" s="1553"/>
      <c r="OZO69" s="1553"/>
      <c r="OZQ69" s="1553"/>
      <c r="OZS69" s="1553"/>
      <c r="OZU69" s="1553"/>
      <c r="OZW69" s="1553"/>
      <c r="OZY69" s="1553"/>
      <c r="PAA69" s="1553"/>
      <c r="PAC69" s="1553"/>
      <c r="PAE69" s="1553"/>
      <c r="PAG69" s="1553"/>
      <c r="PAI69" s="1553"/>
      <c r="PAK69" s="1553"/>
      <c r="PAM69" s="1553"/>
      <c r="PAO69" s="1553"/>
      <c r="PAQ69" s="1553"/>
      <c r="PAS69" s="1553"/>
      <c r="PAU69" s="1553"/>
      <c r="PAW69" s="1553"/>
      <c r="PAY69" s="1553"/>
      <c r="PBA69" s="1553"/>
      <c r="PBC69" s="1553"/>
      <c r="PBE69" s="1553"/>
      <c r="PBG69" s="1553"/>
      <c r="PBI69" s="1553"/>
      <c r="PBK69" s="1553"/>
      <c r="PBM69" s="1553"/>
      <c r="PBO69" s="1553"/>
      <c r="PBQ69" s="1553"/>
      <c r="PBS69" s="1553"/>
      <c r="PBU69" s="1553"/>
      <c r="PBW69" s="1553"/>
      <c r="PBY69" s="1553"/>
      <c r="PCA69" s="1553"/>
      <c r="PCC69" s="1553"/>
      <c r="PCE69" s="1553"/>
      <c r="PCG69" s="1553"/>
      <c r="PCI69" s="1553"/>
      <c r="PCK69" s="1553"/>
      <c r="PCM69" s="1553"/>
      <c r="PCO69" s="1553"/>
      <c r="PCQ69" s="1553"/>
      <c r="PCS69" s="1553"/>
      <c r="PCU69" s="1553"/>
      <c r="PCW69" s="1553"/>
      <c r="PCY69" s="1553"/>
      <c r="PDA69" s="1553"/>
      <c r="PDC69" s="1553"/>
      <c r="PDE69" s="1553"/>
      <c r="PDG69" s="1553"/>
      <c r="PDI69" s="1553"/>
      <c r="PDK69" s="1553"/>
      <c r="PDM69" s="1553"/>
      <c r="PDO69" s="1553"/>
      <c r="PDQ69" s="1553"/>
      <c r="PDS69" s="1553"/>
      <c r="PDU69" s="1553"/>
      <c r="PDW69" s="1553"/>
      <c r="PDY69" s="1553"/>
      <c r="PEA69" s="1553"/>
      <c r="PEC69" s="1553"/>
      <c r="PEE69" s="1553"/>
      <c r="PEG69" s="1553"/>
      <c r="PEI69" s="1553"/>
      <c r="PEK69" s="1553"/>
      <c r="PEM69" s="1553"/>
      <c r="PEO69" s="1553"/>
      <c r="PEQ69" s="1553"/>
      <c r="PES69" s="1553"/>
      <c r="PEU69" s="1553"/>
      <c r="PEW69" s="1553"/>
      <c r="PEY69" s="1553"/>
      <c r="PFA69" s="1553"/>
      <c r="PFC69" s="1553"/>
      <c r="PFE69" s="1553"/>
      <c r="PFG69" s="1553"/>
      <c r="PFI69" s="1553"/>
      <c r="PFK69" s="1553"/>
      <c r="PFM69" s="1553"/>
      <c r="PFO69" s="1553"/>
      <c r="PFQ69" s="1553"/>
      <c r="PFS69" s="1553"/>
      <c r="PFU69" s="1553"/>
      <c r="PFW69" s="1553"/>
      <c r="PFY69" s="1553"/>
      <c r="PGA69" s="1553"/>
      <c r="PGC69" s="1553"/>
      <c r="PGE69" s="1553"/>
      <c r="PGG69" s="1553"/>
      <c r="PGI69" s="1553"/>
      <c r="PGK69" s="1553"/>
      <c r="PGM69" s="1553"/>
      <c r="PGO69" s="1553"/>
      <c r="PGQ69" s="1553"/>
      <c r="PGS69" s="1553"/>
      <c r="PGU69" s="1553"/>
      <c r="PGW69" s="1553"/>
      <c r="PGY69" s="1553"/>
      <c r="PHA69" s="1553"/>
      <c r="PHC69" s="1553"/>
      <c r="PHE69" s="1553"/>
      <c r="PHG69" s="1553"/>
      <c r="PHI69" s="1553"/>
      <c r="PHK69" s="1553"/>
      <c r="PHM69" s="1553"/>
      <c r="PHO69" s="1553"/>
      <c r="PHQ69" s="1553"/>
      <c r="PHS69" s="1553"/>
      <c r="PHU69" s="1553"/>
      <c r="PHW69" s="1553"/>
      <c r="PHY69" s="1553"/>
      <c r="PIA69" s="1553"/>
      <c r="PIC69" s="1553"/>
      <c r="PIE69" s="1553"/>
      <c r="PIG69" s="1553"/>
      <c r="PII69" s="1553"/>
      <c r="PIK69" s="1553"/>
      <c r="PIM69" s="1553"/>
      <c r="PIO69" s="1553"/>
      <c r="PIQ69" s="1553"/>
      <c r="PIS69" s="1553"/>
      <c r="PIU69" s="1553"/>
      <c r="PIW69" s="1553"/>
      <c r="PIY69" s="1553"/>
      <c r="PJA69" s="1553"/>
      <c r="PJC69" s="1553"/>
      <c r="PJE69" s="1553"/>
      <c r="PJG69" s="1553"/>
      <c r="PJI69" s="1553"/>
      <c r="PJK69" s="1553"/>
      <c r="PJM69" s="1553"/>
      <c r="PJO69" s="1553"/>
      <c r="PJQ69" s="1553"/>
      <c r="PJS69" s="1553"/>
      <c r="PJU69" s="1553"/>
      <c r="PJW69" s="1553"/>
      <c r="PJY69" s="1553"/>
      <c r="PKA69" s="1553"/>
      <c r="PKC69" s="1553"/>
      <c r="PKE69" s="1553"/>
      <c r="PKG69" s="1553"/>
      <c r="PKI69" s="1553"/>
      <c r="PKK69" s="1553"/>
      <c r="PKM69" s="1553"/>
      <c r="PKO69" s="1553"/>
      <c r="PKQ69" s="1553"/>
      <c r="PKS69" s="1553"/>
      <c r="PKU69" s="1553"/>
      <c r="PKW69" s="1553"/>
      <c r="PKY69" s="1553"/>
      <c r="PLA69" s="1553"/>
      <c r="PLC69" s="1553"/>
      <c r="PLE69" s="1553"/>
      <c r="PLG69" s="1553"/>
      <c r="PLI69" s="1553"/>
      <c r="PLK69" s="1553"/>
      <c r="PLM69" s="1553"/>
      <c r="PLO69" s="1553"/>
      <c r="PLQ69" s="1553"/>
      <c r="PLS69" s="1553"/>
      <c r="PLU69" s="1553"/>
      <c r="PLW69" s="1553"/>
      <c r="PLY69" s="1553"/>
      <c r="PMA69" s="1553"/>
      <c r="PMC69" s="1553"/>
      <c r="PME69" s="1553"/>
      <c r="PMG69" s="1553"/>
      <c r="PMI69" s="1553"/>
      <c r="PMK69" s="1553"/>
      <c r="PMM69" s="1553"/>
      <c r="PMO69" s="1553"/>
      <c r="PMQ69" s="1553"/>
      <c r="PMS69" s="1553"/>
      <c r="PMU69" s="1553"/>
      <c r="PMW69" s="1553"/>
      <c r="PMY69" s="1553"/>
      <c r="PNA69" s="1553"/>
      <c r="PNC69" s="1553"/>
      <c r="PNE69" s="1553"/>
      <c r="PNG69" s="1553"/>
      <c r="PNI69" s="1553"/>
      <c r="PNK69" s="1553"/>
      <c r="PNM69" s="1553"/>
      <c r="PNO69" s="1553"/>
      <c r="PNQ69" s="1553"/>
      <c r="PNS69" s="1553"/>
      <c r="PNU69" s="1553"/>
      <c r="PNW69" s="1553"/>
      <c r="PNY69" s="1553"/>
      <c r="POA69" s="1553"/>
      <c r="POC69" s="1553"/>
      <c r="POE69" s="1553"/>
      <c r="POG69" s="1553"/>
      <c r="POI69" s="1553"/>
      <c r="POK69" s="1553"/>
      <c r="POM69" s="1553"/>
      <c r="POO69" s="1553"/>
      <c r="POQ69" s="1553"/>
      <c r="POS69" s="1553"/>
      <c r="POU69" s="1553"/>
      <c r="POW69" s="1553"/>
      <c r="POY69" s="1553"/>
      <c r="PPA69" s="1553"/>
      <c r="PPC69" s="1553"/>
      <c r="PPE69" s="1553"/>
      <c r="PPG69" s="1553"/>
      <c r="PPI69" s="1553"/>
      <c r="PPK69" s="1553"/>
      <c r="PPM69" s="1553"/>
      <c r="PPO69" s="1553"/>
      <c r="PPQ69" s="1553"/>
      <c r="PPS69" s="1553"/>
      <c r="PPU69" s="1553"/>
      <c r="PPW69" s="1553"/>
      <c r="PPY69" s="1553"/>
      <c r="PQA69" s="1553"/>
      <c r="PQC69" s="1553"/>
      <c r="PQE69" s="1553"/>
      <c r="PQG69" s="1553"/>
      <c r="PQI69" s="1553"/>
      <c r="PQK69" s="1553"/>
      <c r="PQM69" s="1553"/>
      <c r="PQO69" s="1553"/>
      <c r="PQQ69" s="1553"/>
      <c r="PQS69" s="1553"/>
      <c r="PQU69" s="1553"/>
      <c r="PQW69" s="1553"/>
      <c r="PQY69" s="1553"/>
      <c r="PRA69" s="1553"/>
      <c r="PRC69" s="1553"/>
      <c r="PRE69" s="1553"/>
      <c r="PRG69" s="1553"/>
      <c r="PRI69" s="1553"/>
      <c r="PRK69" s="1553"/>
      <c r="PRM69" s="1553"/>
      <c r="PRO69" s="1553"/>
      <c r="PRQ69" s="1553"/>
      <c r="PRS69" s="1553"/>
      <c r="PRU69" s="1553"/>
      <c r="PRW69" s="1553"/>
      <c r="PRY69" s="1553"/>
      <c r="PSA69" s="1553"/>
      <c r="PSC69" s="1553"/>
      <c r="PSE69" s="1553"/>
      <c r="PSG69" s="1553"/>
      <c r="PSI69" s="1553"/>
      <c r="PSK69" s="1553"/>
      <c r="PSM69" s="1553"/>
      <c r="PSO69" s="1553"/>
      <c r="PSQ69" s="1553"/>
      <c r="PSS69" s="1553"/>
      <c r="PSU69" s="1553"/>
      <c r="PSW69" s="1553"/>
      <c r="PSY69" s="1553"/>
      <c r="PTA69" s="1553"/>
      <c r="PTC69" s="1553"/>
      <c r="PTE69" s="1553"/>
      <c r="PTG69" s="1553"/>
      <c r="PTI69" s="1553"/>
      <c r="PTK69" s="1553"/>
      <c r="PTM69" s="1553"/>
      <c r="PTO69" s="1553"/>
      <c r="PTQ69" s="1553"/>
      <c r="PTS69" s="1553"/>
      <c r="PTU69" s="1553"/>
      <c r="PTW69" s="1553"/>
      <c r="PTY69" s="1553"/>
      <c r="PUA69" s="1553"/>
      <c r="PUC69" s="1553"/>
      <c r="PUE69" s="1553"/>
      <c r="PUG69" s="1553"/>
      <c r="PUI69" s="1553"/>
      <c r="PUK69" s="1553"/>
      <c r="PUM69" s="1553"/>
      <c r="PUO69" s="1553"/>
      <c r="PUQ69" s="1553"/>
      <c r="PUS69" s="1553"/>
      <c r="PUU69" s="1553"/>
      <c r="PUW69" s="1553"/>
      <c r="PUY69" s="1553"/>
      <c r="PVA69" s="1553"/>
      <c r="PVC69" s="1553"/>
      <c r="PVE69" s="1553"/>
      <c r="PVG69" s="1553"/>
      <c r="PVI69" s="1553"/>
      <c r="PVK69" s="1553"/>
      <c r="PVM69" s="1553"/>
      <c r="PVO69" s="1553"/>
      <c r="PVQ69" s="1553"/>
      <c r="PVS69" s="1553"/>
      <c r="PVU69" s="1553"/>
      <c r="PVW69" s="1553"/>
      <c r="PVY69" s="1553"/>
      <c r="PWA69" s="1553"/>
      <c r="PWC69" s="1553"/>
      <c r="PWE69" s="1553"/>
      <c r="PWG69" s="1553"/>
      <c r="PWI69" s="1553"/>
      <c r="PWK69" s="1553"/>
      <c r="PWM69" s="1553"/>
      <c r="PWO69" s="1553"/>
      <c r="PWQ69" s="1553"/>
      <c r="PWS69" s="1553"/>
      <c r="PWU69" s="1553"/>
      <c r="PWW69" s="1553"/>
      <c r="PWY69" s="1553"/>
      <c r="PXA69" s="1553"/>
      <c r="PXC69" s="1553"/>
      <c r="PXE69" s="1553"/>
      <c r="PXG69" s="1553"/>
      <c r="PXI69" s="1553"/>
      <c r="PXK69" s="1553"/>
      <c r="PXM69" s="1553"/>
      <c r="PXO69" s="1553"/>
      <c r="PXQ69" s="1553"/>
      <c r="PXS69" s="1553"/>
      <c r="PXU69" s="1553"/>
      <c r="PXW69" s="1553"/>
      <c r="PXY69" s="1553"/>
      <c r="PYA69" s="1553"/>
      <c r="PYC69" s="1553"/>
      <c r="PYE69" s="1553"/>
      <c r="PYG69" s="1553"/>
      <c r="PYI69" s="1553"/>
      <c r="PYK69" s="1553"/>
      <c r="PYM69" s="1553"/>
      <c r="PYO69" s="1553"/>
      <c r="PYQ69" s="1553"/>
      <c r="PYS69" s="1553"/>
      <c r="PYU69" s="1553"/>
      <c r="PYW69" s="1553"/>
      <c r="PYY69" s="1553"/>
      <c r="PZA69" s="1553"/>
      <c r="PZC69" s="1553"/>
      <c r="PZE69" s="1553"/>
      <c r="PZG69" s="1553"/>
      <c r="PZI69" s="1553"/>
      <c r="PZK69" s="1553"/>
      <c r="PZM69" s="1553"/>
      <c r="PZO69" s="1553"/>
      <c r="PZQ69" s="1553"/>
      <c r="PZS69" s="1553"/>
      <c r="PZU69" s="1553"/>
      <c r="PZW69" s="1553"/>
      <c r="PZY69" s="1553"/>
      <c r="QAA69" s="1553"/>
      <c r="QAC69" s="1553"/>
      <c r="QAE69" s="1553"/>
      <c r="QAG69" s="1553"/>
      <c r="QAI69" s="1553"/>
      <c r="QAK69" s="1553"/>
      <c r="QAM69" s="1553"/>
      <c r="QAO69" s="1553"/>
      <c r="QAQ69" s="1553"/>
      <c r="QAS69" s="1553"/>
      <c r="QAU69" s="1553"/>
      <c r="QAW69" s="1553"/>
      <c r="QAY69" s="1553"/>
      <c r="QBA69" s="1553"/>
      <c r="QBC69" s="1553"/>
      <c r="QBE69" s="1553"/>
      <c r="QBG69" s="1553"/>
      <c r="QBI69" s="1553"/>
      <c r="QBK69" s="1553"/>
      <c r="QBM69" s="1553"/>
      <c r="QBO69" s="1553"/>
      <c r="QBQ69" s="1553"/>
      <c r="QBS69" s="1553"/>
      <c r="QBU69" s="1553"/>
      <c r="QBW69" s="1553"/>
      <c r="QBY69" s="1553"/>
      <c r="QCA69" s="1553"/>
      <c r="QCC69" s="1553"/>
      <c r="QCE69" s="1553"/>
      <c r="QCG69" s="1553"/>
      <c r="QCI69" s="1553"/>
      <c r="QCK69" s="1553"/>
      <c r="QCM69" s="1553"/>
      <c r="QCO69" s="1553"/>
      <c r="QCQ69" s="1553"/>
      <c r="QCS69" s="1553"/>
      <c r="QCU69" s="1553"/>
      <c r="QCW69" s="1553"/>
      <c r="QCY69" s="1553"/>
      <c r="QDA69" s="1553"/>
      <c r="QDC69" s="1553"/>
      <c r="QDE69" s="1553"/>
      <c r="QDG69" s="1553"/>
      <c r="QDI69" s="1553"/>
      <c r="QDK69" s="1553"/>
      <c r="QDM69" s="1553"/>
      <c r="QDO69" s="1553"/>
      <c r="QDQ69" s="1553"/>
      <c r="QDS69" s="1553"/>
      <c r="QDU69" s="1553"/>
      <c r="QDW69" s="1553"/>
      <c r="QDY69" s="1553"/>
      <c r="QEA69" s="1553"/>
      <c r="QEC69" s="1553"/>
      <c r="QEE69" s="1553"/>
      <c r="QEG69" s="1553"/>
      <c r="QEI69" s="1553"/>
      <c r="QEK69" s="1553"/>
      <c r="QEM69" s="1553"/>
      <c r="QEO69" s="1553"/>
      <c r="QEQ69" s="1553"/>
      <c r="QES69" s="1553"/>
      <c r="QEU69" s="1553"/>
      <c r="QEW69" s="1553"/>
      <c r="QEY69" s="1553"/>
      <c r="QFA69" s="1553"/>
      <c r="QFC69" s="1553"/>
      <c r="QFE69" s="1553"/>
      <c r="QFG69" s="1553"/>
      <c r="QFI69" s="1553"/>
      <c r="QFK69" s="1553"/>
      <c r="QFM69" s="1553"/>
      <c r="QFO69" s="1553"/>
      <c r="QFQ69" s="1553"/>
      <c r="QFS69" s="1553"/>
      <c r="QFU69" s="1553"/>
      <c r="QFW69" s="1553"/>
      <c r="QFY69" s="1553"/>
      <c r="QGA69" s="1553"/>
      <c r="QGC69" s="1553"/>
      <c r="QGE69" s="1553"/>
      <c r="QGG69" s="1553"/>
      <c r="QGI69" s="1553"/>
      <c r="QGK69" s="1553"/>
      <c r="QGM69" s="1553"/>
      <c r="QGO69" s="1553"/>
      <c r="QGQ69" s="1553"/>
      <c r="QGS69" s="1553"/>
      <c r="QGU69" s="1553"/>
      <c r="QGW69" s="1553"/>
      <c r="QGY69" s="1553"/>
      <c r="QHA69" s="1553"/>
      <c r="QHC69" s="1553"/>
      <c r="QHE69" s="1553"/>
      <c r="QHG69" s="1553"/>
      <c r="QHI69" s="1553"/>
      <c r="QHK69" s="1553"/>
      <c r="QHM69" s="1553"/>
      <c r="QHO69" s="1553"/>
      <c r="QHQ69" s="1553"/>
      <c r="QHS69" s="1553"/>
      <c r="QHU69" s="1553"/>
      <c r="QHW69" s="1553"/>
      <c r="QHY69" s="1553"/>
      <c r="QIA69" s="1553"/>
      <c r="QIC69" s="1553"/>
      <c r="QIE69" s="1553"/>
      <c r="QIG69" s="1553"/>
      <c r="QII69" s="1553"/>
      <c r="QIK69" s="1553"/>
      <c r="QIM69" s="1553"/>
      <c r="QIO69" s="1553"/>
      <c r="QIQ69" s="1553"/>
      <c r="QIS69" s="1553"/>
      <c r="QIU69" s="1553"/>
      <c r="QIW69" s="1553"/>
      <c r="QIY69" s="1553"/>
      <c r="QJA69" s="1553"/>
      <c r="QJC69" s="1553"/>
      <c r="QJE69" s="1553"/>
      <c r="QJG69" s="1553"/>
      <c r="QJI69" s="1553"/>
      <c r="QJK69" s="1553"/>
      <c r="QJM69" s="1553"/>
      <c r="QJO69" s="1553"/>
      <c r="QJQ69" s="1553"/>
      <c r="QJS69" s="1553"/>
      <c r="QJU69" s="1553"/>
      <c r="QJW69" s="1553"/>
      <c r="QJY69" s="1553"/>
      <c r="QKA69" s="1553"/>
      <c r="QKC69" s="1553"/>
      <c r="QKE69" s="1553"/>
      <c r="QKG69" s="1553"/>
      <c r="QKI69" s="1553"/>
      <c r="QKK69" s="1553"/>
      <c r="QKM69" s="1553"/>
      <c r="QKO69" s="1553"/>
      <c r="QKQ69" s="1553"/>
      <c r="QKS69" s="1553"/>
      <c r="QKU69" s="1553"/>
      <c r="QKW69" s="1553"/>
      <c r="QKY69" s="1553"/>
      <c r="QLA69" s="1553"/>
      <c r="QLC69" s="1553"/>
      <c r="QLE69" s="1553"/>
      <c r="QLG69" s="1553"/>
      <c r="QLI69" s="1553"/>
      <c r="QLK69" s="1553"/>
      <c r="QLM69" s="1553"/>
      <c r="QLO69" s="1553"/>
      <c r="QLQ69" s="1553"/>
      <c r="QLS69" s="1553"/>
      <c r="QLU69" s="1553"/>
      <c r="QLW69" s="1553"/>
      <c r="QLY69" s="1553"/>
      <c r="QMA69" s="1553"/>
      <c r="QMC69" s="1553"/>
      <c r="QME69" s="1553"/>
      <c r="QMG69" s="1553"/>
      <c r="QMI69" s="1553"/>
      <c r="QMK69" s="1553"/>
      <c r="QMM69" s="1553"/>
      <c r="QMO69" s="1553"/>
      <c r="QMQ69" s="1553"/>
      <c r="QMS69" s="1553"/>
      <c r="QMU69" s="1553"/>
      <c r="QMW69" s="1553"/>
      <c r="QMY69" s="1553"/>
      <c r="QNA69" s="1553"/>
      <c r="QNC69" s="1553"/>
      <c r="QNE69" s="1553"/>
      <c r="QNG69" s="1553"/>
      <c r="QNI69" s="1553"/>
      <c r="QNK69" s="1553"/>
      <c r="QNM69" s="1553"/>
      <c r="QNO69" s="1553"/>
      <c r="QNQ69" s="1553"/>
      <c r="QNS69" s="1553"/>
      <c r="QNU69" s="1553"/>
      <c r="QNW69" s="1553"/>
      <c r="QNY69" s="1553"/>
      <c r="QOA69" s="1553"/>
      <c r="QOC69" s="1553"/>
      <c r="QOE69" s="1553"/>
      <c r="QOG69" s="1553"/>
      <c r="QOI69" s="1553"/>
      <c r="QOK69" s="1553"/>
      <c r="QOM69" s="1553"/>
      <c r="QOO69" s="1553"/>
      <c r="QOQ69" s="1553"/>
      <c r="QOS69" s="1553"/>
      <c r="QOU69" s="1553"/>
      <c r="QOW69" s="1553"/>
      <c r="QOY69" s="1553"/>
      <c r="QPA69" s="1553"/>
      <c r="QPC69" s="1553"/>
      <c r="QPE69" s="1553"/>
      <c r="QPG69" s="1553"/>
      <c r="QPI69" s="1553"/>
      <c r="QPK69" s="1553"/>
      <c r="QPM69" s="1553"/>
      <c r="QPO69" s="1553"/>
      <c r="QPQ69" s="1553"/>
      <c r="QPS69" s="1553"/>
      <c r="QPU69" s="1553"/>
      <c r="QPW69" s="1553"/>
      <c r="QPY69" s="1553"/>
      <c r="QQA69" s="1553"/>
      <c r="QQC69" s="1553"/>
      <c r="QQE69" s="1553"/>
      <c r="QQG69" s="1553"/>
      <c r="QQI69" s="1553"/>
      <c r="QQK69" s="1553"/>
      <c r="QQM69" s="1553"/>
      <c r="QQO69" s="1553"/>
      <c r="QQQ69" s="1553"/>
      <c r="QQS69" s="1553"/>
      <c r="QQU69" s="1553"/>
      <c r="QQW69" s="1553"/>
      <c r="QQY69" s="1553"/>
      <c r="QRA69" s="1553"/>
      <c r="QRC69" s="1553"/>
      <c r="QRE69" s="1553"/>
      <c r="QRG69" s="1553"/>
      <c r="QRI69" s="1553"/>
      <c r="QRK69" s="1553"/>
      <c r="QRM69" s="1553"/>
      <c r="QRO69" s="1553"/>
      <c r="QRQ69" s="1553"/>
      <c r="QRS69" s="1553"/>
      <c r="QRU69" s="1553"/>
      <c r="QRW69" s="1553"/>
      <c r="QRY69" s="1553"/>
      <c r="QSA69" s="1553"/>
      <c r="QSC69" s="1553"/>
      <c r="QSE69" s="1553"/>
      <c r="QSG69" s="1553"/>
      <c r="QSI69" s="1553"/>
      <c r="QSK69" s="1553"/>
      <c r="QSM69" s="1553"/>
      <c r="QSO69" s="1553"/>
      <c r="QSQ69" s="1553"/>
      <c r="QSS69" s="1553"/>
      <c r="QSU69" s="1553"/>
      <c r="QSW69" s="1553"/>
      <c r="QSY69" s="1553"/>
      <c r="QTA69" s="1553"/>
      <c r="QTC69" s="1553"/>
      <c r="QTE69" s="1553"/>
      <c r="QTG69" s="1553"/>
      <c r="QTI69" s="1553"/>
      <c r="QTK69" s="1553"/>
      <c r="QTM69" s="1553"/>
      <c r="QTO69" s="1553"/>
      <c r="QTQ69" s="1553"/>
      <c r="QTS69" s="1553"/>
      <c r="QTU69" s="1553"/>
      <c r="QTW69" s="1553"/>
      <c r="QTY69" s="1553"/>
      <c r="QUA69" s="1553"/>
      <c r="QUC69" s="1553"/>
      <c r="QUE69" s="1553"/>
      <c r="QUG69" s="1553"/>
      <c r="QUI69" s="1553"/>
      <c r="QUK69" s="1553"/>
      <c r="QUM69" s="1553"/>
      <c r="QUO69" s="1553"/>
      <c r="QUQ69" s="1553"/>
      <c r="QUS69" s="1553"/>
      <c r="QUU69" s="1553"/>
      <c r="QUW69" s="1553"/>
      <c r="QUY69" s="1553"/>
      <c r="QVA69" s="1553"/>
      <c r="QVC69" s="1553"/>
      <c r="QVE69" s="1553"/>
      <c r="QVG69" s="1553"/>
      <c r="QVI69" s="1553"/>
      <c r="QVK69" s="1553"/>
      <c r="QVM69" s="1553"/>
      <c r="QVO69" s="1553"/>
      <c r="QVQ69" s="1553"/>
      <c r="QVS69" s="1553"/>
      <c r="QVU69" s="1553"/>
      <c r="QVW69" s="1553"/>
      <c r="QVY69" s="1553"/>
      <c r="QWA69" s="1553"/>
      <c r="QWC69" s="1553"/>
      <c r="QWE69" s="1553"/>
      <c r="QWG69" s="1553"/>
      <c r="QWI69" s="1553"/>
      <c r="QWK69" s="1553"/>
      <c r="QWM69" s="1553"/>
      <c r="QWO69" s="1553"/>
      <c r="QWQ69" s="1553"/>
      <c r="QWS69" s="1553"/>
      <c r="QWU69" s="1553"/>
      <c r="QWW69" s="1553"/>
      <c r="QWY69" s="1553"/>
      <c r="QXA69" s="1553"/>
      <c r="QXC69" s="1553"/>
      <c r="QXE69" s="1553"/>
      <c r="QXG69" s="1553"/>
      <c r="QXI69" s="1553"/>
      <c r="QXK69" s="1553"/>
      <c r="QXM69" s="1553"/>
      <c r="QXO69" s="1553"/>
      <c r="QXQ69" s="1553"/>
      <c r="QXS69" s="1553"/>
      <c r="QXU69" s="1553"/>
      <c r="QXW69" s="1553"/>
      <c r="QXY69" s="1553"/>
      <c r="QYA69" s="1553"/>
      <c r="QYC69" s="1553"/>
      <c r="QYE69" s="1553"/>
      <c r="QYG69" s="1553"/>
      <c r="QYI69" s="1553"/>
      <c r="QYK69" s="1553"/>
      <c r="QYM69" s="1553"/>
      <c r="QYO69" s="1553"/>
      <c r="QYQ69" s="1553"/>
      <c r="QYS69" s="1553"/>
      <c r="QYU69" s="1553"/>
      <c r="QYW69" s="1553"/>
      <c r="QYY69" s="1553"/>
      <c r="QZA69" s="1553"/>
      <c r="QZC69" s="1553"/>
      <c r="QZE69" s="1553"/>
      <c r="QZG69" s="1553"/>
      <c r="QZI69" s="1553"/>
      <c r="QZK69" s="1553"/>
      <c r="QZM69" s="1553"/>
      <c r="QZO69" s="1553"/>
      <c r="QZQ69" s="1553"/>
      <c r="QZS69" s="1553"/>
      <c r="QZU69" s="1553"/>
      <c r="QZW69" s="1553"/>
      <c r="QZY69" s="1553"/>
      <c r="RAA69" s="1553"/>
      <c r="RAC69" s="1553"/>
      <c r="RAE69" s="1553"/>
      <c r="RAG69" s="1553"/>
      <c r="RAI69" s="1553"/>
      <c r="RAK69" s="1553"/>
      <c r="RAM69" s="1553"/>
      <c r="RAO69" s="1553"/>
      <c r="RAQ69" s="1553"/>
      <c r="RAS69" s="1553"/>
      <c r="RAU69" s="1553"/>
      <c r="RAW69" s="1553"/>
      <c r="RAY69" s="1553"/>
      <c r="RBA69" s="1553"/>
      <c r="RBC69" s="1553"/>
      <c r="RBE69" s="1553"/>
      <c r="RBG69" s="1553"/>
      <c r="RBI69" s="1553"/>
      <c r="RBK69" s="1553"/>
      <c r="RBM69" s="1553"/>
      <c r="RBO69" s="1553"/>
      <c r="RBQ69" s="1553"/>
      <c r="RBS69" s="1553"/>
      <c r="RBU69" s="1553"/>
      <c r="RBW69" s="1553"/>
      <c r="RBY69" s="1553"/>
      <c r="RCA69" s="1553"/>
      <c r="RCC69" s="1553"/>
      <c r="RCE69" s="1553"/>
      <c r="RCG69" s="1553"/>
      <c r="RCI69" s="1553"/>
      <c r="RCK69" s="1553"/>
      <c r="RCM69" s="1553"/>
      <c r="RCO69" s="1553"/>
      <c r="RCQ69" s="1553"/>
      <c r="RCS69" s="1553"/>
      <c r="RCU69" s="1553"/>
      <c r="RCW69" s="1553"/>
      <c r="RCY69" s="1553"/>
      <c r="RDA69" s="1553"/>
      <c r="RDC69" s="1553"/>
      <c r="RDE69" s="1553"/>
      <c r="RDG69" s="1553"/>
      <c r="RDI69" s="1553"/>
      <c r="RDK69" s="1553"/>
      <c r="RDM69" s="1553"/>
      <c r="RDO69" s="1553"/>
      <c r="RDQ69" s="1553"/>
      <c r="RDS69" s="1553"/>
      <c r="RDU69" s="1553"/>
      <c r="RDW69" s="1553"/>
      <c r="RDY69" s="1553"/>
      <c r="REA69" s="1553"/>
      <c r="REC69" s="1553"/>
      <c r="REE69" s="1553"/>
      <c r="REG69" s="1553"/>
      <c r="REI69" s="1553"/>
      <c r="REK69" s="1553"/>
      <c r="REM69" s="1553"/>
      <c r="REO69" s="1553"/>
      <c r="REQ69" s="1553"/>
      <c r="RES69" s="1553"/>
      <c r="REU69" s="1553"/>
      <c r="REW69" s="1553"/>
      <c r="REY69" s="1553"/>
      <c r="RFA69" s="1553"/>
      <c r="RFC69" s="1553"/>
      <c r="RFE69" s="1553"/>
      <c r="RFG69" s="1553"/>
      <c r="RFI69" s="1553"/>
      <c r="RFK69" s="1553"/>
      <c r="RFM69" s="1553"/>
      <c r="RFO69" s="1553"/>
      <c r="RFQ69" s="1553"/>
      <c r="RFS69" s="1553"/>
      <c r="RFU69" s="1553"/>
      <c r="RFW69" s="1553"/>
      <c r="RFY69" s="1553"/>
      <c r="RGA69" s="1553"/>
      <c r="RGC69" s="1553"/>
      <c r="RGE69" s="1553"/>
      <c r="RGG69" s="1553"/>
      <c r="RGI69" s="1553"/>
      <c r="RGK69" s="1553"/>
      <c r="RGM69" s="1553"/>
      <c r="RGO69" s="1553"/>
      <c r="RGQ69" s="1553"/>
      <c r="RGS69" s="1553"/>
      <c r="RGU69" s="1553"/>
      <c r="RGW69" s="1553"/>
      <c r="RGY69" s="1553"/>
      <c r="RHA69" s="1553"/>
      <c r="RHC69" s="1553"/>
      <c r="RHE69" s="1553"/>
      <c r="RHG69" s="1553"/>
      <c r="RHI69" s="1553"/>
      <c r="RHK69" s="1553"/>
      <c r="RHM69" s="1553"/>
      <c r="RHO69" s="1553"/>
      <c r="RHQ69" s="1553"/>
      <c r="RHS69" s="1553"/>
      <c r="RHU69" s="1553"/>
      <c r="RHW69" s="1553"/>
      <c r="RHY69" s="1553"/>
      <c r="RIA69" s="1553"/>
      <c r="RIC69" s="1553"/>
      <c r="RIE69" s="1553"/>
      <c r="RIG69" s="1553"/>
      <c r="RII69" s="1553"/>
      <c r="RIK69" s="1553"/>
      <c r="RIM69" s="1553"/>
      <c r="RIO69" s="1553"/>
      <c r="RIQ69" s="1553"/>
      <c r="RIS69" s="1553"/>
      <c r="RIU69" s="1553"/>
      <c r="RIW69" s="1553"/>
      <c r="RIY69" s="1553"/>
      <c r="RJA69" s="1553"/>
      <c r="RJC69" s="1553"/>
      <c r="RJE69" s="1553"/>
      <c r="RJG69" s="1553"/>
      <c r="RJI69" s="1553"/>
      <c r="RJK69" s="1553"/>
      <c r="RJM69" s="1553"/>
      <c r="RJO69" s="1553"/>
      <c r="RJQ69" s="1553"/>
      <c r="RJS69" s="1553"/>
      <c r="RJU69" s="1553"/>
      <c r="RJW69" s="1553"/>
      <c r="RJY69" s="1553"/>
      <c r="RKA69" s="1553"/>
      <c r="RKC69" s="1553"/>
      <c r="RKE69" s="1553"/>
      <c r="RKG69" s="1553"/>
      <c r="RKI69" s="1553"/>
      <c r="RKK69" s="1553"/>
      <c r="RKM69" s="1553"/>
      <c r="RKO69" s="1553"/>
      <c r="RKQ69" s="1553"/>
      <c r="RKS69" s="1553"/>
      <c r="RKU69" s="1553"/>
      <c r="RKW69" s="1553"/>
      <c r="RKY69" s="1553"/>
      <c r="RLA69" s="1553"/>
      <c r="RLC69" s="1553"/>
      <c r="RLE69" s="1553"/>
      <c r="RLG69" s="1553"/>
      <c r="RLI69" s="1553"/>
      <c r="RLK69" s="1553"/>
      <c r="RLM69" s="1553"/>
      <c r="RLO69" s="1553"/>
      <c r="RLQ69" s="1553"/>
      <c r="RLS69" s="1553"/>
      <c r="RLU69" s="1553"/>
      <c r="RLW69" s="1553"/>
      <c r="RLY69" s="1553"/>
      <c r="RMA69" s="1553"/>
      <c r="RMC69" s="1553"/>
      <c r="RME69" s="1553"/>
      <c r="RMG69" s="1553"/>
      <c r="RMI69" s="1553"/>
      <c r="RMK69" s="1553"/>
      <c r="RMM69" s="1553"/>
      <c r="RMO69" s="1553"/>
      <c r="RMQ69" s="1553"/>
      <c r="RMS69" s="1553"/>
      <c r="RMU69" s="1553"/>
      <c r="RMW69" s="1553"/>
      <c r="RMY69" s="1553"/>
      <c r="RNA69" s="1553"/>
      <c r="RNC69" s="1553"/>
      <c r="RNE69" s="1553"/>
      <c r="RNG69" s="1553"/>
      <c r="RNI69" s="1553"/>
      <c r="RNK69" s="1553"/>
      <c r="RNM69" s="1553"/>
      <c r="RNO69" s="1553"/>
      <c r="RNQ69" s="1553"/>
      <c r="RNS69" s="1553"/>
      <c r="RNU69" s="1553"/>
      <c r="RNW69" s="1553"/>
      <c r="RNY69" s="1553"/>
      <c r="ROA69" s="1553"/>
      <c r="ROC69" s="1553"/>
      <c r="ROE69" s="1553"/>
      <c r="ROG69" s="1553"/>
      <c r="ROI69" s="1553"/>
      <c r="ROK69" s="1553"/>
      <c r="ROM69" s="1553"/>
      <c r="ROO69" s="1553"/>
      <c r="ROQ69" s="1553"/>
      <c r="ROS69" s="1553"/>
      <c r="ROU69" s="1553"/>
      <c r="ROW69" s="1553"/>
      <c r="ROY69" s="1553"/>
      <c r="RPA69" s="1553"/>
      <c r="RPC69" s="1553"/>
      <c r="RPE69" s="1553"/>
      <c r="RPG69" s="1553"/>
      <c r="RPI69" s="1553"/>
      <c r="RPK69" s="1553"/>
      <c r="RPM69" s="1553"/>
      <c r="RPO69" s="1553"/>
      <c r="RPQ69" s="1553"/>
      <c r="RPS69" s="1553"/>
      <c r="RPU69" s="1553"/>
      <c r="RPW69" s="1553"/>
      <c r="RPY69" s="1553"/>
      <c r="RQA69" s="1553"/>
      <c r="RQC69" s="1553"/>
      <c r="RQE69" s="1553"/>
      <c r="RQG69" s="1553"/>
      <c r="RQI69" s="1553"/>
      <c r="RQK69" s="1553"/>
      <c r="RQM69" s="1553"/>
      <c r="RQO69" s="1553"/>
      <c r="RQQ69" s="1553"/>
      <c r="RQS69" s="1553"/>
      <c r="RQU69" s="1553"/>
      <c r="RQW69" s="1553"/>
      <c r="RQY69" s="1553"/>
      <c r="RRA69" s="1553"/>
      <c r="RRC69" s="1553"/>
      <c r="RRE69" s="1553"/>
      <c r="RRG69" s="1553"/>
      <c r="RRI69" s="1553"/>
      <c r="RRK69" s="1553"/>
      <c r="RRM69" s="1553"/>
      <c r="RRO69" s="1553"/>
      <c r="RRQ69" s="1553"/>
      <c r="RRS69" s="1553"/>
      <c r="RRU69" s="1553"/>
      <c r="RRW69" s="1553"/>
      <c r="RRY69" s="1553"/>
      <c r="RSA69" s="1553"/>
      <c r="RSC69" s="1553"/>
      <c r="RSE69" s="1553"/>
      <c r="RSG69" s="1553"/>
      <c r="RSI69" s="1553"/>
      <c r="RSK69" s="1553"/>
      <c r="RSM69" s="1553"/>
      <c r="RSO69" s="1553"/>
      <c r="RSQ69" s="1553"/>
      <c r="RSS69" s="1553"/>
      <c r="RSU69" s="1553"/>
      <c r="RSW69" s="1553"/>
      <c r="RSY69" s="1553"/>
      <c r="RTA69" s="1553"/>
      <c r="RTC69" s="1553"/>
      <c r="RTE69" s="1553"/>
      <c r="RTG69" s="1553"/>
      <c r="RTI69" s="1553"/>
      <c r="RTK69" s="1553"/>
      <c r="RTM69" s="1553"/>
      <c r="RTO69" s="1553"/>
      <c r="RTQ69" s="1553"/>
      <c r="RTS69" s="1553"/>
      <c r="RTU69" s="1553"/>
      <c r="RTW69" s="1553"/>
      <c r="RTY69" s="1553"/>
      <c r="RUA69" s="1553"/>
      <c r="RUC69" s="1553"/>
      <c r="RUE69" s="1553"/>
      <c r="RUG69" s="1553"/>
      <c r="RUI69" s="1553"/>
      <c r="RUK69" s="1553"/>
      <c r="RUM69" s="1553"/>
      <c r="RUO69" s="1553"/>
      <c r="RUQ69" s="1553"/>
      <c r="RUS69" s="1553"/>
      <c r="RUU69" s="1553"/>
      <c r="RUW69" s="1553"/>
      <c r="RUY69" s="1553"/>
      <c r="RVA69" s="1553"/>
      <c r="RVC69" s="1553"/>
      <c r="RVE69" s="1553"/>
      <c r="RVG69" s="1553"/>
      <c r="RVI69" s="1553"/>
      <c r="RVK69" s="1553"/>
      <c r="RVM69" s="1553"/>
      <c r="RVO69" s="1553"/>
      <c r="RVQ69" s="1553"/>
      <c r="RVS69" s="1553"/>
      <c r="RVU69" s="1553"/>
      <c r="RVW69" s="1553"/>
      <c r="RVY69" s="1553"/>
      <c r="RWA69" s="1553"/>
      <c r="RWC69" s="1553"/>
      <c r="RWE69" s="1553"/>
      <c r="RWG69" s="1553"/>
      <c r="RWI69" s="1553"/>
      <c r="RWK69" s="1553"/>
      <c r="RWM69" s="1553"/>
      <c r="RWO69" s="1553"/>
      <c r="RWQ69" s="1553"/>
      <c r="RWS69" s="1553"/>
      <c r="RWU69" s="1553"/>
      <c r="RWW69" s="1553"/>
      <c r="RWY69" s="1553"/>
      <c r="RXA69" s="1553"/>
      <c r="RXC69" s="1553"/>
      <c r="RXE69" s="1553"/>
      <c r="RXG69" s="1553"/>
      <c r="RXI69" s="1553"/>
      <c r="RXK69" s="1553"/>
      <c r="RXM69" s="1553"/>
      <c r="RXO69" s="1553"/>
      <c r="RXQ69" s="1553"/>
      <c r="RXS69" s="1553"/>
      <c r="RXU69" s="1553"/>
      <c r="RXW69" s="1553"/>
      <c r="RXY69" s="1553"/>
      <c r="RYA69" s="1553"/>
      <c r="RYC69" s="1553"/>
      <c r="RYE69" s="1553"/>
      <c r="RYG69" s="1553"/>
      <c r="RYI69" s="1553"/>
      <c r="RYK69" s="1553"/>
      <c r="RYM69" s="1553"/>
      <c r="RYO69" s="1553"/>
      <c r="RYQ69" s="1553"/>
      <c r="RYS69" s="1553"/>
      <c r="RYU69" s="1553"/>
      <c r="RYW69" s="1553"/>
      <c r="RYY69" s="1553"/>
      <c r="RZA69" s="1553"/>
      <c r="RZC69" s="1553"/>
      <c r="RZE69" s="1553"/>
      <c r="RZG69" s="1553"/>
      <c r="RZI69" s="1553"/>
      <c r="RZK69" s="1553"/>
      <c r="RZM69" s="1553"/>
      <c r="RZO69" s="1553"/>
      <c r="RZQ69" s="1553"/>
      <c r="RZS69" s="1553"/>
      <c r="RZU69" s="1553"/>
      <c r="RZW69" s="1553"/>
      <c r="RZY69" s="1553"/>
      <c r="SAA69" s="1553"/>
      <c r="SAC69" s="1553"/>
      <c r="SAE69" s="1553"/>
      <c r="SAG69" s="1553"/>
      <c r="SAI69" s="1553"/>
      <c r="SAK69" s="1553"/>
      <c r="SAM69" s="1553"/>
      <c r="SAO69" s="1553"/>
      <c r="SAQ69" s="1553"/>
      <c r="SAS69" s="1553"/>
      <c r="SAU69" s="1553"/>
      <c r="SAW69" s="1553"/>
      <c r="SAY69" s="1553"/>
      <c r="SBA69" s="1553"/>
      <c r="SBC69" s="1553"/>
      <c r="SBE69" s="1553"/>
      <c r="SBG69" s="1553"/>
      <c r="SBI69" s="1553"/>
      <c r="SBK69" s="1553"/>
      <c r="SBM69" s="1553"/>
      <c r="SBO69" s="1553"/>
      <c r="SBQ69" s="1553"/>
      <c r="SBS69" s="1553"/>
      <c r="SBU69" s="1553"/>
      <c r="SBW69" s="1553"/>
      <c r="SBY69" s="1553"/>
      <c r="SCA69" s="1553"/>
      <c r="SCC69" s="1553"/>
      <c r="SCE69" s="1553"/>
      <c r="SCG69" s="1553"/>
      <c r="SCI69" s="1553"/>
      <c r="SCK69" s="1553"/>
      <c r="SCM69" s="1553"/>
      <c r="SCO69" s="1553"/>
      <c r="SCQ69" s="1553"/>
      <c r="SCS69" s="1553"/>
      <c r="SCU69" s="1553"/>
      <c r="SCW69" s="1553"/>
      <c r="SCY69" s="1553"/>
      <c r="SDA69" s="1553"/>
      <c r="SDC69" s="1553"/>
      <c r="SDE69" s="1553"/>
      <c r="SDG69" s="1553"/>
      <c r="SDI69" s="1553"/>
      <c r="SDK69" s="1553"/>
      <c r="SDM69" s="1553"/>
      <c r="SDO69" s="1553"/>
      <c r="SDQ69" s="1553"/>
      <c r="SDS69" s="1553"/>
      <c r="SDU69" s="1553"/>
      <c r="SDW69" s="1553"/>
      <c r="SDY69" s="1553"/>
      <c r="SEA69" s="1553"/>
      <c r="SEC69" s="1553"/>
      <c r="SEE69" s="1553"/>
      <c r="SEG69" s="1553"/>
      <c r="SEI69" s="1553"/>
      <c r="SEK69" s="1553"/>
      <c r="SEM69" s="1553"/>
      <c r="SEO69" s="1553"/>
      <c r="SEQ69" s="1553"/>
      <c r="SES69" s="1553"/>
      <c r="SEU69" s="1553"/>
      <c r="SEW69" s="1553"/>
      <c r="SEY69" s="1553"/>
      <c r="SFA69" s="1553"/>
      <c r="SFC69" s="1553"/>
      <c r="SFE69" s="1553"/>
      <c r="SFG69" s="1553"/>
      <c r="SFI69" s="1553"/>
      <c r="SFK69" s="1553"/>
      <c r="SFM69" s="1553"/>
      <c r="SFO69" s="1553"/>
      <c r="SFQ69" s="1553"/>
      <c r="SFS69" s="1553"/>
      <c r="SFU69" s="1553"/>
      <c r="SFW69" s="1553"/>
      <c r="SFY69" s="1553"/>
      <c r="SGA69" s="1553"/>
      <c r="SGC69" s="1553"/>
      <c r="SGE69" s="1553"/>
      <c r="SGG69" s="1553"/>
      <c r="SGI69" s="1553"/>
      <c r="SGK69" s="1553"/>
      <c r="SGM69" s="1553"/>
      <c r="SGO69" s="1553"/>
      <c r="SGQ69" s="1553"/>
      <c r="SGS69" s="1553"/>
      <c r="SGU69" s="1553"/>
      <c r="SGW69" s="1553"/>
      <c r="SGY69" s="1553"/>
      <c r="SHA69" s="1553"/>
      <c r="SHC69" s="1553"/>
      <c r="SHE69" s="1553"/>
      <c r="SHG69" s="1553"/>
      <c r="SHI69" s="1553"/>
      <c r="SHK69" s="1553"/>
      <c r="SHM69" s="1553"/>
      <c r="SHO69" s="1553"/>
      <c r="SHQ69" s="1553"/>
      <c r="SHS69" s="1553"/>
      <c r="SHU69" s="1553"/>
      <c r="SHW69" s="1553"/>
      <c r="SHY69" s="1553"/>
      <c r="SIA69" s="1553"/>
      <c r="SIC69" s="1553"/>
      <c r="SIE69" s="1553"/>
      <c r="SIG69" s="1553"/>
      <c r="SII69" s="1553"/>
      <c r="SIK69" s="1553"/>
      <c r="SIM69" s="1553"/>
      <c r="SIO69" s="1553"/>
      <c r="SIQ69" s="1553"/>
      <c r="SIS69" s="1553"/>
      <c r="SIU69" s="1553"/>
      <c r="SIW69" s="1553"/>
      <c r="SIY69" s="1553"/>
      <c r="SJA69" s="1553"/>
      <c r="SJC69" s="1553"/>
      <c r="SJE69" s="1553"/>
      <c r="SJG69" s="1553"/>
      <c r="SJI69" s="1553"/>
      <c r="SJK69" s="1553"/>
      <c r="SJM69" s="1553"/>
      <c r="SJO69" s="1553"/>
      <c r="SJQ69" s="1553"/>
      <c r="SJS69" s="1553"/>
      <c r="SJU69" s="1553"/>
      <c r="SJW69" s="1553"/>
      <c r="SJY69" s="1553"/>
      <c r="SKA69" s="1553"/>
      <c r="SKC69" s="1553"/>
      <c r="SKE69" s="1553"/>
      <c r="SKG69" s="1553"/>
      <c r="SKI69" s="1553"/>
      <c r="SKK69" s="1553"/>
      <c r="SKM69" s="1553"/>
      <c r="SKO69" s="1553"/>
      <c r="SKQ69" s="1553"/>
      <c r="SKS69" s="1553"/>
      <c r="SKU69" s="1553"/>
      <c r="SKW69" s="1553"/>
      <c r="SKY69" s="1553"/>
      <c r="SLA69" s="1553"/>
      <c r="SLC69" s="1553"/>
      <c r="SLE69" s="1553"/>
      <c r="SLG69" s="1553"/>
      <c r="SLI69" s="1553"/>
      <c r="SLK69" s="1553"/>
      <c r="SLM69" s="1553"/>
      <c r="SLO69" s="1553"/>
      <c r="SLQ69" s="1553"/>
      <c r="SLS69" s="1553"/>
      <c r="SLU69" s="1553"/>
      <c r="SLW69" s="1553"/>
      <c r="SLY69" s="1553"/>
      <c r="SMA69" s="1553"/>
      <c r="SMC69" s="1553"/>
      <c r="SME69" s="1553"/>
      <c r="SMG69" s="1553"/>
      <c r="SMI69" s="1553"/>
      <c r="SMK69" s="1553"/>
      <c r="SMM69" s="1553"/>
      <c r="SMO69" s="1553"/>
      <c r="SMQ69" s="1553"/>
      <c r="SMS69" s="1553"/>
      <c r="SMU69" s="1553"/>
      <c r="SMW69" s="1553"/>
      <c r="SMY69" s="1553"/>
      <c r="SNA69" s="1553"/>
      <c r="SNC69" s="1553"/>
      <c r="SNE69" s="1553"/>
      <c r="SNG69" s="1553"/>
      <c r="SNI69" s="1553"/>
      <c r="SNK69" s="1553"/>
      <c r="SNM69" s="1553"/>
      <c r="SNO69" s="1553"/>
      <c r="SNQ69" s="1553"/>
      <c r="SNS69" s="1553"/>
      <c r="SNU69" s="1553"/>
      <c r="SNW69" s="1553"/>
      <c r="SNY69" s="1553"/>
      <c r="SOA69" s="1553"/>
      <c r="SOC69" s="1553"/>
      <c r="SOE69" s="1553"/>
      <c r="SOG69" s="1553"/>
      <c r="SOI69" s="1553"/>
      <c r="SOK69" s="1553"/>
      <c r="SOM69" s="1553"/>
      <c r="SOO69" s="1553"/>
      <c r="SOQ69" s="1553"/>
      <c r="SOS69" s="1553"/>
      <c r="SOU69" s="1553"/>
      <c r="SOW69" s="1553"/>
      <c r="SOY69" s="1553"/>
      <c r="SPA69" s="1553"/>
      <c r="SPC69" s="1553"/>
      <c r="SPE69" s="1553"/>
      <c r="SPG69" s="1553"/>
      <c r="SPI69" s="1553"/>
      <c r="SPK69" s="1553"/>
      <c r="SPM69" s="1553"/>
      <c r="SPO69" s="1553"/>
      <c r="SPQ69" s="1553"/>
      <c r="SPS69" s="1553"/>
      <c r="SPU69" s="1553"/>
      <c r="SPW69" s="1553"/>
      <c r="SPY69" s="1553"/>
      <c r="SQA69" s="1553"/>
      <c r="SQC69" s="1553"/>
      <c r="SQE69" s="1553"/>
      <c r="SQG69" s="1553"/>
      <c r="SQI69" s="1553"/>
      <c r="SQK69" s="1553"/>
      <c r="SQM69" s="1553"/>
      <c r="SQO69" s="1553"/>
      <c r="SQQ69" s="1553"/>
      <c r="SQS69" s="1553"/>
      <c r="SQU69" s="1553"/>
      <c r="SQW69" s="1553"/>
      <c r="SQY69" s="1553"/>
      <c r="SRA69" s="1553"/>
      <c r="SRC69" s="1553"/>
      <c r="SRE69" s="1553"/>
      <c r="SRG69" s="1553"/>
      <c r="SRI69" s="1553"/>
      <c r="SRK69" s="1553"/>
      <c r="SRM69" s="1553"/>
      <c r="SRO69" s="1553"/>
      <c r="SRQ69" s="1553"/>
      <c r="SRS69" s="1553"/>
      <c r="SRU69" s="1553"/>
      <c r="SRW69" s="1553"/>
      <c r="SRY69" s="1553"/>
      <c r="SSA69" s="1553"/>
      <c r="SSC69" s="1553"/>
      <c r="SSE69" s="1553"/>
      <c r="SSG69" s="1553"/>
      <c r="SSI69" s="1553"/>
      <c r="SSK69" s="1553"/>
      <c r="SSM69" s="1553"/>
      <c r="SSO69" s="1553"/>
      <c r="SSQ69" s="1553"/>
      <c r="SSS69" s="1553"/>
      <c r="SSU69" s="1553"/>
      <c r="SSW69" s="1553"/>
      <c r="SSY69" s="1553"/>
      <c r="STA69" s="1553"/>
      <c r="STC69" s="1553"/>
      <c r="STE69" s="1553"/>
      <c r="STG69" s="1553"/>
      <c r="STI69" s="1553"/>
      <c r="STK69" s="1553"/>
      <c r="STM69" s="1553"/>
      <c r="STO69" s="1553"/>
      <c r="STQ69" s="1553"/>
      <c r="STS69" s="1553"/>
      <c r="STU69" s="1553"/>
      <c r="STW69" s="1553"/>
      <c r="STY69" s="1553"/>
      <c r="SUA69" s="1553"/>
      <c r="SUC69" s="1553"/>
      <c r="SUE69" s="1553"/>
      <c r="SUG69" s="1553"/>
      <c r="SUI69" s="1553"/>
      <c r="SUK69" s="1553"/>
      <c r="SUM69" s="1553"/>
      <c r="SUO69" s="1553"/>
      <c r="SUQ69" s="1553"/>
      <c r="SUS69" s="1553"/>
      <c r="SUU69" s="1553"/>
      <c r="SUW69" s="1553"/>
      <c r="SUY69" s="1553"/>
      <c r="SVA69" s="1553"/>
      <c r="SVC69" s="1553"/>
      <c r="SVE69" s="1553"/>
      <c r="SVG69" s="1553"/>
      <c r="SVI69" s="1553"/>
      <c r="SVK69" s="1553"/>
      <c r="SVM69" s="1553"/>
      <c r="SVO69" s="1553"/>
      <c r="SVQ69" s="1553"/>
      <c r="SVS69" s="1553"/>
      <c r="SVU69" s="1553"/>
      <c r="SVW69" s="1553"/>
      <c r="SVY69" s="1553"/>
      <c r="SWA69" s="1553"/>
      <c r="SWC69" s="1553"/>
      <c r="SWE69" s="1553"/>
      <c r="SWG69" s="1553"/>
      <c r="SWI69" s="1553"/>
      <c r="SWK69" s="1553"/>
      <c r="SWM69" s="1553"/>
      <c r="SWO69" s="1553"/>
      <c r="SWQ69" s="1553"/>
      <c r="SWS69" s="1553"/>
      <c r="SWU69" s="1553"/>
      <c r="SWW69" s="1553"/>
      <c r="SWY69" s="1553"/>
      <c r="SXA69" s="1553"/>
      <c r="SXC69" s="1553"/>
      <c r="SXE69" s="1553"/>
      <c r="SXG69" s="1553"/>
      <c r="SXI69" s="1553"/>
      <c r="SXK69" s="1553"/>
      <c r="SXM69" s="1553"/>
      <c r="SXO69" s="1553"/>
      <c r="SXQ69" s="1553"/>
      <c r="SXS69" s="1553"/>
      <c r="SXU69" s="1553"/>
      <c r="SXW69" s="1553"/>
      <c r="SXY69" s="1553"/>
      <c r="SYA69" s="1553"/>
      <c r="SYC69" s="1553"/>
      <c r="SYE69" s="1553"/>
      <c r="SYG69" s="1553"/>
      <c r="SYI69" s="1553"/>
      <c r="SYK69" s="1553"/>
      <c r="SYM69" s="1553"/>
      <c r="SYO69" s="1553"/>
      <c r="SYQ69" s="1553"/>
      <c r="SYS69" s="1553"/>
      <c r="SYU69" s="1553"/>
      <c r="SYW69" s="1553"/>
      <c r="SYY69" s="1553"/>
      <c r="SZA69" s="1553"/>
      <c r="SZC69" s="1553"/>
      <c r="SZE69" s="1553"/>
      <c r="SZG69" s="1553"/>
      <c r="SZI69" s="1553"/>
      <c r="SZK69" s="1553"/>
      <c r="SZM69" s="1553"/>
      <c r="SZO69" s="1553"/>
      <c r="SZQ69" s="1553"/>
      <c r="SZS69" s="1553"/>
      <c r="SZU69" s="1553"/>
      <c r="SZW69" s="1553"/>
      <c r="SZY69" s="1553"/>
      <c r="TAA69" s="1553"/>
      <c r="TAC69" s="1553"/>
      <c r="TAE69" s="1553"/>
      <c r="TAG69" s="1553"/>
      <c r="TAI69" s="1553"/>
      <c r="TAK69" s="1553"/>
      <c r="TAM69" s="1553"/>
      <c r="TAO69" s="1553"/>
      <c r="TAQ69" s="1553"/>
      <c r="TAS69" s="1553"/>
      <c r="TAU69" s="1553"/>
      <c r="TAW69" s="1553"/>
      <c r="TAY69" s="1553"/>
      <c r="TBA69" s="1553"/>
      <c r="TBC69" s="1553"/>
      <c r="TBE69" s="1553"/>
      <c r="TBG69" s="1553"/>
      <c r="TBI69" s="1553"/>
      <c r="TBK69" s="1553"/>
      <c r="TBM69" s="1553"/>
      <c r="TBO69" s="1553"/>
      <c r="TBQ69" s="1553"/>
      <c r="TBS69" s="1553"/>
      <c r="TBU69" s="1553"/>
      <c r="TBW69" s="1553"/>
      <c r="TBY69" s="1553"/>
      <c r="TCA69" s="1553"/>
      <c r="TCC69" s="1553"/>
      <c r="TCE69" s="1553"/>
      <c r="TCG69" s="1553"/>
      <c r="TCI69" s="1553"/>
      <c r="TCK69" s="1553"/>
      <c r="TCM69" s="1553"/>
      <c r="TCO69" s="1553"/>
      <c r="TCQ69" s="1553"/>
      <c r="TCS69" s="1553"/>
      <c r="TCU69" s="1553"/>
      <c r="TCW69" s="1553"/>
      <c r="TCY69" s="1553"/>
      <c r="TDA69" s="1553"/>
      <c r="TDC69" s="1553"/>
      <c r="TDE69" s="1553"/>
      <c r="TDG69" s="1553"/>
      <c r="TDI69" s="1553"/>
      <c r="TDK69" s="1553"/>
      <c r="TDM69" s="1553"/>
      <c r="TDO69" s="1553"/>
      <c r="TDQ69" s="1553"/>
      <c r="TDS69" s="1553"/>
      <c r="TDU69" s="1553"/>
      <c r="TDW69" s="1553"/>
      <c r="TDY69" s="1553"/>
      <c r="TEA69" s="1553"/>
      <c r="TEC69" s="1553"/>
      <c r="TEE69" s="1553"/>
      <c r="TEG69" s="1553"/>
      <c r="TEI69" s="1553"/>
      <c r="TEK69" s="1553"/>
      <c r="TEM69" s="1553"/>
      <c r="TEO69" s="1553"/>
      <c r="TEQ69" s="1553"/>
      <c r="TES69" s="1553"/>
      <c r="TEU69" s="1553"/>
      <c r="TEW69" s="1553"/>
      <c r="TEY69" s="1553"/>
      <c r="TFA69" s="1553"/>
      <c r="TFC69" s="1553"/>
      <c r="TFE69" s="1553"/>
      <c r="TFG69" s="1553"/>
      <c r="TFI69" s="1553"/>
      <c r="TFK69" s="1553"/>
      <c r="TFM69" s="1553"/>
      <c r="TFO69" s="1553"/>
      <c r="TFQ69" s="1553"/>
      <c r="TFS69" s="1553"/>
      <c r="TFU69" s="1553"/>
      <c r="TFW69" s="1553"/>
      <c r="TFY69" s="1553"/>
      <c r="TGA69" s="1553"/>
      <c r="TGC69" s="1553"/>
      <c r="TGE69" s="1553"/>
      <c r="TGG69" s="1553"/>
      <c r="TGI69" s="1553"/>
      <c r="TGK69" s="1553"/>
      <c r="TGM69" s="1553"/>
      <c r="TGO69" s="1553"/>
      <c r="TGQ69" s="1553"/>
      <c r="TGS69" s="1553"/>
      <c r="TGU69" s="1553"/>
      <c r="TGW69" s="1553"/>
      <c r="TGY69" s="1553"/>
      <c r="THA69" s="1553"/>
      <c r="THC69" s="1553"/>
      <c r="THE69" s="1553"/>
      <c r="THG69" s="1553"/>
      <c r="THI69" s="1553"/>
      <c r="THK69" s="1553"/>
      <c r="THM69" s="1553"/>
      <c r="THO69" s="1553"/>
      <c r="THQ69" s="1553"/>
      <c r="THS69" s="1553"/>
      <c r="THU69" s="1553"/>
      <c r="THW69" s="1553"/>
      <c r="THY69" s="1553"/>
      <c r="TIA69" s="1553"/>
      <c r="TIC69" s="1553"/>
      <c r="TIE69" s="1553"/>
      <c r="TIG69" s="1553"/>
      <c r="TII69" s="1553"/>
      <c r="TIK69" s="1553"/>
      <c r="TIM69" s="1553"/>
      <c r="TIO69" s="1553"/>
      <c r="TIQ69" s="1553"/>
      <c r="TIS69" s="1553"/>
      <c r="TIU69" s="1553"/>
      <c r="TIW69" s="1553"/>
      <c r="TIY69" s="1553"/>
      <c r="TJA69" s="1553"/>
      <c r="TJC69" s="1553"/>
      <c r="TJE69" s="1553"/>
      <c r="TJG69" s="1553"/>
      <c r="TJI69" s="1553"/>
      <c r="TJK69" s="1553"/>
      <c r="TJM69" s="1553"/>
      <c r="TJO69" s="1553"/>
      <c r="TJQ69" s="1553"/>
      <c r="TJS69" s="1553"/>
      <c r="TJU69" s="1553"/>
      <c r="TJW69" s="1553"/>
      <c r="TJY69" s="1553"/>
      <c r="TKA69" s="1553"/>
      <c r="TKC69" s="1553"/>
      <c r="TKE69" s="1553"/>
      <c r="TKG69" s="1553"/>
      <c r="TKI69" s="1553"/>
      <c r="TKK69" s="1553"/>
      <c r="TKM69" s="1553"/>
      <c r="TKO69" s="1553"/>
      <c r="TKQ69" s="1553"/>
      <c r="TKS69" s="1553"/>
      <c r="TKU69" s="1553"/>
      <c r="TKW69" s="1553"/>
      <c r="TKY69" s="1553"/>
      <c r="TLA69" s="1553"/>
      <c r="TLC69" s="1553"/>
      <c r="TLE69" s="1553"/>
      <c r="TLG69" s="1553"/>
      <c r="TLI69" s="1553"/>
      <c r="TLK69" s="1553"/>
      <c r="TLM69" s="1553"/>
      <c r="TLO69" s="1553"/>
      <c r="TLQ69" s="1553"/>
      <c r="TLS69" s="1553"/>
      <c r="TLU69" s="1553"/>
      <c r="TLW69" s="1553"/>
      <c r="TLY69" s="1553"/>
      <c r="TMA69" s="1553"/>
      <c r="TMC69" s="1553"/>
      <c r="TME69" s="1553"/>
      <c r="TMG69" s="1553"/>
      <c r="TMI69" s="1553"/>
      <c r="TMK69" s="1553"/>
      <c r="TMM69" s="1553"/>
      <c r="TMO69" s="1553"/>
      <c r="TMQ69" s="1553"/>
      <c r="TMS69" s="1553"/>
      <c r="TMU69" s="1553"/>
      <c r="TMW69" s="1553"/>
      <c r="TMY69" s="1553"/>
      <c r="TNA69" s="1553"/>
      <c r="TNC69" s="1553"/>
      <c r="TNE69" s="1553"/>
      <c r="TNG69" s="1553"/>
      <c r="TNI69" s="1553"/>
      <c r="TNK69" s="1553"/>
      <c r="TNM69" s="1553"/>
      <c r="TNO69" s="1553"/>
      <c r="TNQ69" s="1553"/>
      <c r="TNS69" s="1553"/>
      <c r="TNU69" s="1553"/>
      <c r="TNW69" s="1553"/>
      <c r="TNY69" s="1553"/>
      <c r="TOA69" s="1553"/>
      <c r="TOC69" s="1553"/>
      <c r="TOE69" s="1553"/>
      <c r="TOG69" s="1553"/>
      <c r="TOI69" s="1553"/>
      <c r="TOK69" s="1553"/>
      <c r="TOM69" s="1553"/>
      <c r="TOO69" s="1553"/>
      <c r="TOQ69" s="1553"/>
      <c r="TOS69" s="1553"/>
      <c r="TOU69" s="1553"/>
      <c r="TOW69" s="1553"/>
      <c r="TOY69" s="1553"/>
      <c r="TPA69" s="1553"/>
      <c r="TPC69" s="1553"/>
      <c r="TPE69" s="1553"/>
      <c r="TPG69" s="1553"/>
      <c r="TPI69" s="1553"/>
      <c r="TPK69" s="1553"/>
      <c r="TPM69" s="1553"/>
      <c r="TPO69" s="1553"/>
      <c r="TPQ69" s="1553"/>
      <c r="TPS69" s="1553"/>
      <c r="TPU69" s="1553"/>
      <c r="TPW69" s="1553"/>
      <c r="TPY69" s="1553"/>
      <c r="TQA69" s="1553"/>
      <c r="TQC69" s="1553"/>
      <c r="TQE69" s="1553"/>
      <c r="TQG69" s="1553"/>
      <c r="TQI69" s="1553"/>
      <c r="TQK69" s="1553"/>
      <c r="TQM69" s="1553"/>
      <c r="TQO69" s="1553"/>
      <c r="TQQ69" s="1553"/>
      <c r="TQS69" s="1553"/>
      <c r="TQU69" s="1553"/>
      <c r="TQW69" s="1553"/>
      <c r="TQY69" s="1553"/>
      <c r="TRA69" s="1553"/>
      <c r="TRC69" s="1553"/>
      <c r="TRE69" s="1553"/>
      <c r="TRG69" s="1553"/>
      <c r="TRI69" s="1553"/>
      <c r="TRK69" s="1553"/>
      <c r="TRM69" s="1553"/>
      <c r="TRO69" s="1553"/>
      <c r="TRQ69" s="1553"/>
      <c r="TRS69" s="1553"/>
      <c r="TRU69" s="1553"/>
      <c r="TRW69" s="1553"/>
      <c r="TRY69" s="1553"/>
      <c r="TSA69" s="1553"/>
      <c r="TSC69" s="1553"/>
      <c r="TSE69" s="1553"/>
      <c r="TSG69" s="1553"/>
      <c r="TSI69" s="1553"/>
      <c r="TSK69" s="1553"/>
      <c r="TSM69" s="1553"/>
      <c r="TSO69" s="1553"/>
      <c r="TSQ69" s="1553"/>
      <c r="TSS69" s="1553"/>
      <c r="TSU69" s="1553"/>
      <c r="TSW69" s="1553"/>
      <c r="TSY69" s="1553"/>
      <c r="TTA69" s="1553"/>
      <c r="TTC69" s="1553"/>
      <c r="TTE69" s="1553"/>
      <c r="TTG69" s="1553"/>
      <c r="TTI69" s="1553"/>
      <c r="TTK69" s="1553"/>
      <c r="TTM69" s="1553"/>
      <c r="TTO69" s="1553"/>
      <c r="TTQ69" s="1553"/>
      <c r="TTS69" s="1553"/>
      <c r="TTU69" s="1553"/>
      <c r="TTW69" s="1553"/>
      <c r="TTY69" s="1553"/>
      <c r="TUA69" s="1553"/>
      <c r="TUC69" s="1553"/>
      <c r="TUE69" s="1553"/>
      <c r="TUG69" s="1553"/>
      <c r="TUI69" s="1553"/>
      <c r="TUK69" s="1553"/>
      <c r="TUM69" s="1553"/>
      <c r="TUO69" s="1553"/>
      <c r="TUQ69" s="1553"/>
      <c r="TUS69" s="1553"/>
      <c r="TUU69" s="1553"/>
      <c r="TUW69" s="1553"/>
      <c r="TUY69" s="1553"/>
      <c r="TVA69" s="1553"/>
      <c r="TVC69" s="1553"/>
      <c r="TVE69" s="1553"/>
      <c r="TVG69" s="1553"/>
      <c r="TVI69" s="1553"/>
      <c r="TVK69" s="1553"/>
      <c r="TVM69" s="1553"/>
      <c r="TVO69" s="1553"/>
      <c r="TVQ69" s="1553"/>
      <c r="TVS69" s="1553"/>
      <c r="TVU69" s="1553"/>
      <c r="TVW69" s="1553"/>
      <c r="TVY69" s="1553"/>
      <c r="TWA69" s="1553"/>
      <c r="TWC69" s="1553"/>
      <c r="TWE69" s="1553"/>
      <c r="TWG69" s="1553"/>
      <c r="TWI69" s="1553"/>
      <c r="TWK69" s="1553"/>
      <c r="TWM69" s="1553"/>
      <c r="TWO69" s="1553"/>
      <c r="TWQ69" s="1553"/>
      <c r="TWS69" s="1553"/>
      <c r="TWU69" s="1553"/>
      <c r="TWW69" s="1553"/>
      <c r="TWY69" s="1553"/>
      <c r="TXA69" s="1553"/>
      <c r="TXC69" s="1553"/>
      <c r="TXE69" s="1553"/>
      <c r="TXG69" s="1553"/>
      <c r="TXI69" s="1553"/>
      <c r="TXK69" s="1553"/>
      <c r="TXM69" s="1553"/>
      <c r="TXO69" s="1553"/>
      <c r="TXQ69" s="1553"/>
      <c r="TXS69" s="1553"/>
      <c r="TXU69" s="1553"/>
      <c r="TXW69" s="1553"/>
      <c r="TXY69" s="1553"/>
      <c r="TYA69" s="1553"/>
      <c r="TYC69" s="1553"/>
      <c r="TYE69" s="1553"/>
      <c r="TYG69" s="1553"/>
      <c r="TYI69" s="1553"/>
      <c r="TYK69" s="1553"/>
      <c r="TYM69" s="1553"/>
      <c r="TYO69" s="1553"/>
      <c r="TYQ69" s="1553"/>
      <c r="TYS69" s="1553"/>
      <c r="TYU69" s="1553"/>
      <c r="TYW69" s="1553"/>
      <c r="TYY69" s="1553"/>
      <c r="TZA69" s="1553"/>
      <c r="TZC69" s="1553"/>
      <c r="TZE69" s="1553"/>
      <c r="TZG69" s="1553"/>
      <c r="TZI69" s="1553"/>
      <c r="TZK69" s="1553"/>
      <c r="TZM69" s="1553"/>
      <c r="TZO69" s="1553"/>
      <c r="TZQ69" s="1553"/>
      <c r="TZS69" s="1553"/>
      <c r="TZU69" s="1553"/>
      <c r="TZW69" s="1553"/>
      <c r="TZY69" s="1553"/>
      <c r="UAA69" s="1553"/>
      <c r="UAC69" s="1553"/>
      <c r="UAE69" s="1553"/>
      <c r="UAG69" s="1553"/>
      <c r="UAI69" s="1553"/>
      <c r="UAK69" s="1553"/>
      <c r="UAM69" s="1553"/>
      <c r="UAO69" s="1553"/>
      <c r="UAQ69" s="1553"/>
      <c r="UAS69" s="1553"/>
      <c r="UAU69" s="1553"/>
      <c r="UAW69" s="1553"/>
      <c r="UAY69" s="1553"/>
      <c r="UBA69" s="1553"/>
      <c r="UBC69" s="1553"/>
      <c r="UBE69" s="1553"/>
      <c r="UBG69" s="1553"/>
      <c r="UBI69" s="1553"/>
      <c r="UBK69" s="1553"/>
      <c r="UBM69" s="1553"/>
      <c r="UBO69" s="1553"/>
      <c r="UBQ69" s="1553"/>
      <c r="UBS69" s="1553"/>
      <c r="UBU69" s="1553"/>
      <c r="UBW69" s="1553"/>
      <c r="UBY69" s="1553"/>
      <c r="UCA69" s="1553"/>
      <c r="UCC69" s="1553"/>
      <c r="UCE69" s="1553"/>
      <c r="UCG69" s="1553"/>
      <c r="UCI69" s="1553"/>
      <c r="UCK69" s="1553"/>
      <c r="UCM69" s="1553"/>
      <c r="UCO69" s="1553"/>
      <c r="UCQ69" s="1553"/>
      <c r="UCS69" s="1553"/>
      <c r="UCU69" s="1553"/>
      <c r="UCW69" s="1553"/>
      <c r="UCY69" s="1553"/>
      <c r="UDA69" s="1553"/>
      <c r="UDC69" s="1553"/>
      <c r="UDE69" s="1553"/>
      <c r="UDG69" s="1553"/>
      <c r="UDI69" s="1553"/>
      <c r="UDK69" s="1553"/>
      <c r="UDM69" s="1553"/>
      <c r="UDO69" s="1553"/>
      <c r="UDQ69" s="1553"/>
      <c r="UDS69" s="1553"/>
      <c r="UDU69" s="1553"/>
      <c r="UDW69" s="1553"/>
      <c r="UDY69" s="1553"/>
      <c r="UEA69" s="1553"/>
      <c r="UEC69" s="1553"/>
      <c r="UEE69" s="1553"/>
      <c r="UEG69" s="1553"/>
      <c r="UEI69" s="1553"/>
      <c r="UEK69" s="1553"/>
      <c r="UEM69" s="1553"/>
      <c r="UEO69" s="1553"/>
      <c r="UEQ69" s="1553"/>
      <c r="UES69" s="1553"/>
      <c r="UEU69" s="1553"/>
      <c r="UEW69" s="1553"/>
      <c r="UEY69" s="1553"/>
      <c r="UFA69" s="1553"/>
      <c r="UFC69" s="1553"/>
      <c r="UFE69" s="1553"/>
      <c r="UFG69" s="1553"/>
      <c r="UFI69" s="1553"/>
      <c r="UFK69" s="1553"/>
      <c r="UFM69" s="1553"/>
      <c r="UFO69" s="1553"/>
      <c r="UFQ69" s="1553"/>
      <c r="UFS69" s="1553"/>
      <c r="UFU69" s="1553"/>
      <c r="UFW69" s="1553"/>
      <c r="UFY69" s="1553"/>
      <c r="UGA69" s="1553"/>
      <c r="UGC69" s="1553"/>
      <c r="UGE69" s="1553"/>
      <c r="UGG69" s="1553"/>
      <c r="UGI69" s="1553"/>
      <c r="UGK69" s="1553"/>
      <c r="UGM69" s="1553"/>
      <c r="UGO69" s="1553"/>
      <c r="UGQ69" s="1553"/>
      <c r="UGS69" s="1553"/>
      <c r="UGU69" s="1553"/>
      <c r="UGW69" s="1553"/>
      <c r="UGY69" s="1553"/>
      <c r="UHA69" s="1553"/>
      <c r="UHC69" s="1553"/>
      <c r="UHE69" s="1553"/>
      <c r="UHG69" s="1553"/>
      <c r="UHI69" s="1553"/>
      <c r="UHK69" s="1553"/>
      <c r="UHM69" s="1553"/>
      <c r="UHO69" s="1553"/>
      <c r="UHQ69" s="1553"/>
      <c r="UHS69" s="1553"/>
      <c r="UHU69" s="1553"/>
      <c r="UHW69" s="1553"/>
      <c r="UHY69" s="1553"/>
      <c r="UIA69" s="1553"/>
      <c r="UIC69" s="1553"/>
      <c r="UIE69" s="1553"/>
      <c r="UIG69" s="1553"/>
      <c r="UII69" s="1553"/>
      <c r="UIK69" s="1553"/>
      <c r="UIM69" s="1553"/>
      <c r="UIO69" s="1553"/>
      <c r="UIQ69" s="1553"/>
      <c r="UIS69" s="1553"/>
      <c r="UIU69" s="1553"/>
      <c r="UIW69" s="1553"/>
      <c r="UIY69" s="1553"/>
      <c r="UJA69" s="1553"/>
      <c r="UJC69" s="1553"/>
      <c r="UJE69" s="1553"/>
      <c r="UJG69" s="1553"/>
      <c r="UJI69" s="1553"/>
      <c r="UJK69" s="1553"/>
      <c r="UJM69" s="1553"/>
      <c r="UJO69" s="1553"/>
      <c r="UJQ69" s="1553"/>
      <c r="UJS69" s="1553"/>
      <c r="UJU69" s="1553"/>
      <c r="UJW69" s="1553"/>
      <c r="UJY69" s="1553"/>
      <c r="UKA69" s="1553"/>
      <c r="UKC69" s="1553"/>
      <c r="UKE69" s="1553"/>
      <c r="UKG69" s="1553"/>
      <c r="UKI69" s="1553"/>
      <c r="UKK69" s="1553"/>
      <c r="UKM69" s="1553"/>
      <c r="UKO69" s="1553"/>
      <c r="UKQ69" s="1553"/>
      <c r="UKS69" s="1553"/>
      <c r="UKU69" s="1553"/>
      <c r="UKW69" s="1553"/>
      <c r="UKY69" s="1553"/>
      <c r="ULA69" s="1553"/>
      <c r="ULC69" s="1553"/>
      <c r="ULE69" s="1553"/>
      <c r="ULG69" s="1553"/>
      <c r="ULI69" s="1553"/>
      <c r="ULK69" s="1553"/>
      <c r="ULM69" s="1553"/>
      <c r="ULO69" s="1553"/>
      <c r="ULQ69" s="1553"/>
      <c r="ULS69" s="1553"/>
      <c r="ULU69" s="1553"/>
      <c r="ULW69" s="1553"/>
      <c r="ULY69" s="1553"/>
      <c r="UMA69" s="1553"/>
      <c r="UMC69" s="1553"/>
      <c r="UME69" s="1553"/>
      <c r="UMG69" s="1553"/>
      <c r="UMI69" s="1553"/>
      <c r="UMK69" s="1553"/>
      <c r="UMM69" s="1553"/>
      <c r="UMO69" s="1553"/>
      <c r="UMQ69" s="1553"/>
      <c r="UMS69" s="1553"/>
      <c r="UMU69" s="1553"/>
      <c r="UMW69" s="1553"/>
      <c r="UMY69" s="1553"/>
      <c r="UNA69" s="1553"/>
      <c r="UNC69" s="1553"/>
      <c r="UNE69" s="1553"/>
      <c r="UNG69" s="1553"/>
      <c r="UNI69" s="1553"/>
      <c r="UNK69" s="1553"/>
      <c r="UNM69" s="1553"/>
      <c r="UNO69" s="1553"/>
      <c r="UNQ69" s="1553"/>
      <c r="UNS69" s="1553"/>
      <c r="UNU69" s="1553"/>
      <c r="UNW69" s="1553"/>
      <c r="UNY69" s="1553"/>
      <c r="UOA69" s="1553"/>
      <c r="UOC69" s="1553"/>
      <c r="UOE69" s="1553"/>
      <c r="UOG69" s="1553"/>
      <c r="UOI69" s="1553"/>
      <c r="UOK69" s="1553"/>
      <c r="UOM69" s="1553"/>
      <c r="UOO69" s="1553"/>
      <c r="UOQ69" s="1553"/>
      <c r="UOS69" s="1553"/>
      <c r="UOU69" s="1553"/>
      <c r="UOW69" s="1553"/>
      <c r="UOY69" s="1553"/>
      <c r="UPA69" s="1553"/>
      <c r="UPC69" s="1553"/>
      <c r="UPE69" s="1553"/>
      <c r="UPG69" s="1553"/>
      <c r="UPI69" s="1553"/>
      <c r="UPK69" s="1553"/>
      <c r="UPM69" s="1553"/>
      <c r="UPO69" s="1553"/>
      <c r="UPQ69" s="1553"/>
      <c r="UPS69" s="1553"/>
      <c r="UPU69" s="1553"/>
      <c r="UPW69" s="1553"/>
      <c r="UPY69" s="1553"/>
      <c r="UQA69" s="1553"/>
      <c r="UQC69" s="1553"/>
      <c r="UQE69" s="1553"/>
      <c r="UQG69" s="1553"/>
      <c r="UQI69" s="1553"/>
      <c r="UQK69" s="1553"/>
      <c r="UQM69" s="1553"/>
      <c r="UQO69" s="1553"/>
      <c r="UQQ69" s="1553"/>
      <c r="UQS69" s="1553"/>
      <c r="UQU69" s="1553"/>
      <c r="UQW69" s="1553"/>
      <c r="UQY69" s="1553"/>
      <c r="URA69" s="1553"/>
      <c r="URC69" s="1553"/>
      <c r="URE69" s="1553"/>
      <c r="URG69" s="1553"/>
      <c r="URI69" s="1553"/>
      <c r="URK69" s="1553"/>
      <c r="URM69" s="1553"/>
      <c r="URO69" s="1553"/>
      <c r="URQ69" s="1553"/>
      <c r="URS69" s="1553"/>
      <c r="URU69" s="1553"/>
      <c r="URW69" s="1553"/>
      <c r="URY69" s="1553"/>
      <c r="USA69" s="1553"/>
      <c r="USC69" s="1553"/>
      <c r="USE69" s="1553"/>
      <c r="USG69" s="1553"/>
      <c r="USI69" s="1553"/>
      <c r="USK69" s="1553"/>
      <c r="USM69" s="1553"/>
      <c r="USO69" s="1553"/>
      <c r="USQ69" s="1553"/>
      <c r="USS69" s="1553"/>
      <c r="USU69" s="1553"/>
      <c r="USW69" s="1553"/>
      <c r="USY69" s="1553"/>
      <c r="UTA69" s="1553"/>
      <c r="UTC69" s="1553"/>
      <c r="UTE69" s="1553"/>
      <c r="UTG69" s="1553"/>
      <c r="UTI69" s="1553"/>
      <c r="UTK69" s="1553"/>
      <c r="UTM69" s="1553"/>
      <c r="UTO69" s="1553"/>
      <c r="UTQ69" s="1553"/>
      <c r="UTS69" s="1553"/>
      <c r="UTU69" s="1553"/>
      <c r="UTW69" s="1553"/>
      <c r="UTY69" s="1553"/>
      <c r="UUA69" s="1553"/>
      <c r="UUC69" s="1553"/>
      <c r="UUE69" s="1553"/>
      <c r="UUG69" s="1553"/>
      <c r="UUI69" s="1553"/>
      <c r="UUK69" s="1553"/>
      <c r="UUM69" s="1553"/>
      <c r="UUO69" s="1553"/>
      <c r="UUQ69" s="1553"/>
      <c r="UUS69" s="1553"/>
      <c r="UUU69" s="1553"/>
      <c r="UUW69" s="1553"/>
      <c r="UUY69" s="1553"/>
      <c r="UVA69" s="1553"/>
      <c r="UVC69" s="1553"/>
      <c r="UVE69" s="1553"/>
      <c r="UVG69" s="1553"/>
      <c r="UVI69" s="1553"/>
      <c r="UVK69" s="1553"/>
      <c r="UVM69" s="1553"/>
      <c r="UVO69" s="1553"/>
      <c r="UVQ69" s="1553"/>
      <c r="UVS69" s="1553"/>
      <c r="UVU69" s="1553"/>
      <c r="UVW69" s="1553"/>
      <c r="UVY69" s="1553"/>
      <c r="UWA69" s="1553"/>
      <c r="UWC69" s="1553"/>
      <c r="UWE69" s="1553"/>
      <c r="UWG69" s="1553"/>
      <c r="UWI69" s="1553"/>
      <c r="UWK69" s="1553"/>
      <c r="UWM69" s="1553"/>
      <c r="UWO69" s="1553"/>
      <c r="UWQ69" s="1553"/>
      <c r="UWS69" s="1553"/>
      <c r="UWU69" s="1553"/>
      <c r="UWW69" s="1553"/>
      <c r="UWY69" s="1553"/>
      <c r="UXA69" s="1553"/>
      <c r="UXC69" s="1553"/>
      <c r="UXE69" s="1553"/>
      <c r="UXG69" s="1553"/>
      <c r="UXI69" s="1553"/>
      <c r="UXK69" s="1553"/>
      <c r="UXM69" s="1553"/>
      <c r="UXO69" s="1553"/>
      <c r="UXQ69" s="1553"/>
      <c r="UXS69" s="1553"/>
      <c r="UXU69" s="1553"/>
      <c r="UXW69" s="1553"/>
      <c r="UXY69" s="1553"/>
      <c r="UYA69" s="1553"/>
      <c r="UYC69" s="1553"/>
      <c r="UYE69" s="1553"/>
      <c r="UYG69" s="1553"/>
      <c r="UYI69" s="1553"/>
      <c r="UYK69" s="1553"/>
      <c r="UYM69" s="1553"/>
      <c r="UYO69" s="1553"/>
      <c r="UYQ69" s="1553"/>
      <c r="UYS69" s="1553"/>
      <c r="UYU69" s="1553"/>
      <c r="UYW69" s="1553"/>
      <c r="UYY69" s="1553"/>
      <c r="UZA69" s="1553"/>
      <c r="UZC69" s="1553"/>
      <c r="UZE69" s="1553"/>
      <c r="UZG69" s="1553"/>
      <c r="UZI69" s="1553"/>
      <c r="UZK69" s="1553"/>
      <c r="UZM69" s="1553"/>
      <c r="UZO69" s="1553"/>
      <c r="UZQ69" s="1553"/>
      <c r="UZS69" s="1553"/>
      <c r="UZU69" s="1553"/>
      <c r="UZW69" s="1553"/>
      <c r="UZY69" s="1553"/>
      <c r="VAA69" s="1553"/>
      <c r="VAC69" s="1553"/>
      <c r="VAE69" s="1553"/>
      <c r="VAG69" s="1553"/>
      <c r="VAI69" s="1553"/>
      <c r="VAK69" s="1553"/>
      <c r="VAM69" s="1553"/>
      <c r="VAO69" s="1553"/>
      <c r="VAQ69" s="1553"/>
      <c r="VAS69" s="1553"/>
      <c r="VAU69" s="1553"/>
      <c r="VAW69" s="1553"/>
      <c r="VAY69" s="1553"/>
      <c r="VBA69" s="1553"/>
      <c r="VBC69" s="1553"/>
      <c r="VBE69" s="1553"/>
      <c r="VBG69" s="1553"/>
      <c r="VBI69" s="1553"/>
      <c r="VBK69" s="1553"/>
      <c r="VBM69" s="1553"/>
      <c r="VBO69" s="1553"/>
      <c r="VBQ69" s="1553"/>
      <c r="VBS69" s="1553"/>
      <c r="VBU69" s="1553"/>
      <c r="VBW69" s="1553"/>
      <c r="VBY69" s="1553"/>
      <c r="VCA69" s="1553"/>
      <c r="VCC69" s="1553"/>
      <c r="VCE69" s="1553"/>
      <c r="VCG69" s="1553"/>
      <c r="VCI69" s="1553"/>
      <c r="VCK69" s="1553"/>
      <c r="VCM69" s="1553"/>
      <c r="VCO69" s="1553"/>
      <c r="VCQ69" s="1553"/>
      <c r="VCS69" s="1553"/>
      <c r="VCU69" s="1553"/>
      <c r="VCW69" s="1553"/>
      <c r="VCY69" s="1553"/>
      <c r="VDA69" s="1553"/>
      <c r="VDC69" s="1553"/>
      <c r="VDE69" s="1553"/>
      <c r="VDG69" s="1553"/>
      <c r="VDI69" s="1553"/>
      <c r="VDK69" s="1553"/>
      <c r="VDM69" s="1553"/>
      <c r="VDO69" s="1553"/>
      <c r="VDQ69" s="1553"/>
      <c r="VDS69" s="1553"/>
      <c r="VDU69" s="1553"/>
      <c r="VDW69" s="1553"/>
      <c r="VDY69" s="1553"/>
      <c r="VEA69" s="1553"/>
      <c r="VEC69" s="1553"/>
      <c r="VEE69" s="1553"/>
      <c r="VEG69" s="1553"/>
      <c r="VEI69" s="1553"/>
      <c r="VEK69" s="1553"/>
      <c r="VEM69" s="1553"/>
      <c r="VEO69" s="1553"/>
      <c r="VEQ69" s="1553"/>
      <c r="VES69" s="1553"/>
      <c r="VEU69" s="1553"/>
      <c r="VEW69" s="1553"/>
      <c r="VEY69" s="1553"/>
      <c r="VFA69" s="1553"/>
      <c r="VFC69" s="1553"/>
      <c r="VFE69" s="1553"/>
      <c r="VFG69" s="1553"/>
      <c r="VFI69" s="1553"/>
      <c r="VFK69" s="1553"/>
      <c r="VFM69" s="1553"/>
      <c r="VFO69" s="1553"/>
      <c r="VFQ69" s="1553"/>
      <c r="VFS69" s="1553"/>
      <c r="VFU69" s="1553"/>
      <c r="VFW69" s="1553"/>
      <c r="VFY69" s="1553"/>
      <c r="VGA69" s="1553"/>
      <c r="VGC69" s="1553"/>
      <c r="VGE69" s="1553"/>
      <c r="VGG69" s="1553"/>
      <c r="VGI69" s="1553"/>
      <c r="VGK69" s="1553"/>
      <c r="VGM69" s="1553"/>
      <c r="VGO69" s="1553"/>
      <c r="VGQ69" s="1553"/>
      <c r="VGS69" s="1553"/>
      <c r="VGU69" s="1553"/>
      <c r="VGW69" s="1553"/>
      <c r="VGY69" s="1553"/>
      <c r="VHA69" s="1553"/>
      <c r="VHC69" s="1553"/>
      <c r="VHE69" s="1553"/>
      <c r="VHG69" s="1553"/>
      <c r="VHI69" s="1553"/>
      <c r="VHK69" s="1553"/>
      <c r="VHM69" s="1553"/>
      <c r="VHO69" s="1553"/>
      <c r="VHQ69" s="1553"/>
      <c r="VHS69" s="1553"/>
      <c r="VHU69" s="1553"/>
      <c r="VHW69" s="1553"/>
      <c r="VHY69" s="1553"/>
      <c r="VIA69" s="1553"/>
      <c r="VIC69" s="1553"/>
      <c r="VIE69" s="1553"/>
      <c r="VIG69" s="1553"/>
      <c r="VII69" s="1553"/>
      <c r="VIK69" s="1553"/>
      <c r="VIM69" s="1553"/>
      <c r="VIO69" s="1553"/>
      <c r="VIQ69" s="1553"/>
      <c r="VIS69" s="1553"/>
      <c r="VIU69" s="1553"/>
      <c r="VIW69" s="1553"/>
      <c r="VIY69" s="1553"/>
      <c r="VJA69" s="1553"/>
      <c r="VJC69" s="1553"/>
      <c r="VJE69" s="1553"/>
      <c r="VJG69" s="1553"/>
      <c r="VJI69" s="1553"/>
      <c r="VJK69" s="1553"/>
      <c r="VJM69" s="1553"/>
      <c r="VJO69" s="1553"/>
      <c r="VJQ69" s="1553"/>
      <c r="VJS69" s="1553"/>
      <c r="VJU69" s="1553"/>
      <c r="VJW69" s="1553"/>
      <c r="VJY69" s="1553"/>
      <c r="VKA69" s="1553"/>
      <c r="VKC69" s="1553"/>
      <c r="VKE69" s="1553"/>
      <c r="VKG69" s="1553"/>
      <c r="VKI69" s="1553"/>
      <c r="VKK69" s="1553"/>
      <c r="VKM69" s="1553"/>
      <c r="VKO69" s="1553"/>
      <c r="VKQ69" s="1553"/>
      <c r="VKS69" s="1553"/>
      <c r="VKU69" s="1553"/>
      <c r="VKW69" s="1553"/>
      <c r="VKY69" s="1553"/>
      <c r="VLA69" s="1553"/>
      <c r="VLC69" s="1553"/>
      <c r="VLE69" s="1553"/>
      <c r="VLG69" s="1553"/>
      <c r="VLI69" s="1553"/>
      <c r="VLK69" s="1553"/>
      <c r="VLM69" s="1553"/>
      <c r="VLO69" s="1553"/>
      <c r="VLQ69" s="1553"/>
      <c r="VLS69" s="1553"/>
      <c r="VLU69" s="1553"/>
      <c r="VLW69" s="1553"/>
      <c r="VLY69" s="1553"/>
      <c r="VMA69" s="1553"/>
      <c r="VMC69" s="1553"/>
      <c r="VME69" s="1553"/>
      <c r="VMG69" s="1553"/>
      <c r="VMI69" s="1553"/>
      <c r="VMK69" s="1553"/>
      <c r="VMM69" s="1553"/>
      <c r="VMO69" s="1553"/>
      <c r="VMQ69" s="1553"/>
      <c r="VMS69" s="1553"/>
      <c r="VMU69" s="1553"/>
      <c r="VMW69" s="1553"/>
      <c r="VMY69" s="1553"/>
      <c r="VNA69" s="1553"/>
      <c r="VNC69" s="1553"/>
      <c r="VNE69" s="1553"/>
      <c r="VNG69" s="1553"/>
      <c r="VNI69" s="1553"/>
      <c r="VNK69" s="1553"/>
      <c r="VNM69" s="1553"/>
      <c r="VNO69" s="1553"/>
      <c r="VNQ69" s="1553"/>
      <c r="VNS69" s="1553"/>
      <c r="VNU69" s="1553"/>
      <c r="VNW69" s="1553"/>
      <c r="VNY69" s="1553"/>
      <c r="VOA69" s="1553"/>
      <c r="VOC69" s="1553"/>
      <c r="VOE69" s="1553"/>
      <c r="VOG69" s="1553"/>
      <c r="VOI69" s="1553"/>
      <c r="VOK69" s="1553"/>
      <c r="VOM69" s="1553"/>
      <c r="VOO69" s="1553"/>
      <c r="VOQ69" s="1553"/>
      <c r="VOS69" s="1553"/>
      <c r="VOU69" s="1553"/>
      <c r="VOW69" s="1553"/>
      <c r="VOY69" s="1553"/>
      <c r="VPA69" s="1553"/>
      <c r="VPC69" s="1553"/>
      <c r="VPE69" s="1553"/>
      <c r="VPG69" s="1553"/>
      <c r="VPI69" s="1553"/>
      <c r="VPK69" s="1553"/>
      <c r="VPM69" s="1553"/>
      <c r="VPO69" s="1553"/>
      <c r="VPQ69" s="1553"/>
      <c r="VPS69" s="1553"/>
      <c r="VPU69" s="1553"/>
      <c r="VPW69" s="1553"/>
      <c r="VPY69" s="1553"/>
      <c r="VQA69" s="1553"/>
      <c r="VQC69" s="1553"/>
      <c r="VQE69" s="1553"/>
      <c r="VQG69" s="1553"/>
      <c r="VQI69" s="1553"/>
      <c r="VQK69" s="1553"/>
      <c r="VQM69" s="1553"/>
      <c r="VQO69" s="1553"/>
      <c r="VQQ69" s="1553"/>
      <c r="VQS69" s="1553"/>
      <c r="VQU69" s="1553"/>
      <c r="VQW69" s="1553"/>
      <c r="VQY69" s="1553"/>
      <c r="VRA69" s="1553"/>
      <c r="VRC69" s="1553"/>
      <c r="VRE69" s="1553"/>
      <c r="VRG69" s="1553"/>
      <c r="VRI69" s="1553"/>
      <c r="VRK69" s="1553"/>
      <c r="VRM69" s="1553"/>
      <c r="VRO69" s="1553"/>
      <c r="VRQ69" s="1553"/>
      <c r="VRS69" s="1553"/>
      <c r="VRU69" s="1553"/>
      <c r="VRW69" s="1553"/>
      <c r="VRY69" s="1553"/>
      <c r="VSA69" s="1553"/>
      <c r="VSC69" s="1553"/>
      <c r="VSE69" s="1553"/>
      <c r="VSG69" s="1553"/>
      <c r="VSI69" s="1553"/>
      <c r="VSK69" s="1553"/>
      <c r="VSM69" s="1553"/>
      <c r="VSO69" s="1553"/>
      <c r="VSQ69" s="1553"/>
      <c r="VSS69" s="1553"/>
      <c r="VSU69" s="1553"/>
      <c r="VSW69" s="1553"/>
      <c r="VSY69" s="1553"/>
      <c r="VTA69" s="1553"/>
      <c r="VTC69" s="1553"/>
      <c r="VTE69" s="1553"/>
      <c r="VTG69" s="1553"/>
      <c r="VTI69" s="1553"/>
      <c r="VTK69" s="1553"/>
      <c r="VTM69" s="1553"/>
      <c r="VTO69" s="1553"/>
      <c r="VTQ69" s="1553"/>
      <c r="VTS69" s="1553"/>
      <c r="VTU69" s="1553"/>
      <c r="VTW69" s="1553"/>
      <c r="VTY69" s="1553"/>
      <c r="VUA69" s="1553"/>
      <c r="VUC69" s="1553"/>
      <c r="VUE69" s="1553"/>
      <c r="VUG69" s="1553"/>
      <c r="VUI69" s="1553"/>
      <c r="VUK69" s="1553"/>
      <c r="VUM69" s="1553"/>
      <c r="VUO69" s="1553"/>
      <c r="VUQ69" s="1553"/>
      <c r="VUS69" s="1553"/>
      <c r="VUU69" s="1553"/>
      <c r="VUW69" s="1553"/>
      <c r="VUY69" s="1553"/>
      <c r="VVA69" s="1553"/>
      <c r="VVC69" s="1553"/>
      <c r="VVE69" s="1553"/>
      <c r="VVG69" s="1553"/>
      <c r="VVI69" s="1553"/>
      <c r="VVK69" s="1553"/>
      <c r="VVM69" s="1553"/>
      <c r="VVO69" s="1553"/>
      <c r="VVQ69" s="1553"/>
      <c r="VVS69" s="1553"/>
      <c r="VVU69" s="1553"/>
      <c r="VVW69" s="1553"/>
      <c r="VVY69" s="1553"/>
      <c r="VWA69" s="1553"/>
      <c r="VWC69" s="1553"/>
      <c r="VWE69" s="1553"/>
      <c r="VWG69" s="1553"/>
      <c r="VWI69" s="1553"/>
      <c r="VWK69" s="1553"/>
      <c r="VWM69" s="1553"/>
      <c r="VWO69" s="1553"/>
      <c r="VWQ69" s="1553"/>
      <c r="VWS69" s="1553"/>
      <c r="VWU69" s="1553"/>
      <c r="VWW69" s="1553"/>
      <c r="VWY69" s="1553"/>
      <c r="VXA69" s="1553"/>
      <c r="VXC69" s="1553"/>
      <c r="VXE69" s="1553"/>
      <c r="VXG69" s="1553"/>
      <c r="VXI69" s="1553"/>
      <c r="VXK69" s="1553"/>
      <c r="VXM69" s="1553"/>
      <c r="VXO69" s="1553"/>
      <c r="VXQ69" s="1553"/>
      <c r="VXS69" s="1553"/>
      <c r="VXU69" s="1553"/>
      <c r="VXW69" s="1553"/>
      <c r="VXY69" s="1553"/>
      <c r="VYA69" s="1553"/>
      <c r="VYC69" s="1553"/>
      <c r="VYE69" s="1553"/>
      <c r="VYG69" s="1553"/>
      <c r="VYI69" s="1553"/>
      <c r="VYK69" s="1553"/>
      <c r="VYM69" s="1553"/>
      <c r="VYO69" s="1553"/>
      <c r="VYQ69" s="1553"/>
      <c r="VYS69" s="1553"/>
      <c r="VYU69" s="1553"/>
      <c r="VYW69" s="1553"/>
      <c r="VYY69" s="1553"/>
      <c r="VZA69" s="1553"/>
      <c r="VZC69" s="1553"/>
      <c r="VZE69" s="1553"/>
      <c r="VZG69" s="1553"/>
      <c r="VZI69" s="1553"/>
      <c r="VZK69" s="1553"/>
      <c r="VZM69" s="1553"/>
      <c r="VZO69" s="1553"/>
      <c r="VZQ69" s="1553"/>
      <c r="VZS69" s="1553"/>
      <c r="VZU69" s="1553"/>
      <c r="VZW69" s="1553"/>
      <c r="VZY69" s="1553"/>
      <c r="WAA69" s="1553"/>
      <c r="WAC69" s="1553"/>
      <c r="WAE69" s="1553"/>
      <c r="WAG69" s="1553"/>
      <c r="WAI69" s="1553"/>
      <c r="WAK69" s="1553"/>
      <c r="WAM69" s="1553"/>
      <c r="WAO69" s="1553"/>
      <c r="WAQ69" s="1553"/>
      <c r="WAS69" s="1553"/>
      <c r="WAU69" s="1553"/>
      <c r="WAW69" s="1553"/>
      <c r="WAY69" s="1553"/>
      <c r="WBA69" s="1553"/>
      <c r="WBC69" s="1553"/>
      <c r="WBE69" s="1553"/>
      <c r="WBG69" s="1553"/>
      <c r="WBI69" s="1553"/>
      <c r="WBK69" s="1553"/>
      <c r="WBM69" s="1553"/>
      <c r="WBO69" s="1553"/>
      <c r="WBQ69" s="1553"/>
      <c r="WBS69" s="1553"/>
      <c r="WBU69" s="1553"/>
      <c r="WBW69" s="1553"/>
      <c r="WBY69" s="1553"/>
      <c r="WCA69" s="1553"/>
      <c r="WCC69" s="1553"/>
      <c r="WCE69" s="1553"/>
      <c r="WCG69" s="1553"/>
      <c r="WCI69" s="1553"/>
      <c r="WCK69" s="1553"/>
      <c r="WCM69" s="1553"/>
      <c r="WCO69" s="1553"/>
      <c r="WCQ69" s="1553"/>
      <c r="WCS69" s="1553"/>
      <c r="WCU69" s="1553"/>
      <c r="WCW69" s="1553"/>
      <c r="WCY69" s="1553"/>
      <c r="WDA69" s="1553"/>
      <c r="WDC69" s="1553"/>
      <c r="WDE69" s="1553"/>
      <c r="WDG69" s="1553"/>
      <c r="WDI69" s="1553"/>
      <c r="WDK69" s="1553"/>
      <c r="WDM69" s="1553"/>
      <c r="WDO69" s="1553"/>
      <c r="WDQ69" s="1553"/>
      <c r="WDS69" s="1553"/>
      <c r="WDU69" s="1553"/>
      <c r="WDW69" s="1553"/>
      <c r="WDY69" s="1553"/>
      <c r="WEA69" s="1553"/>
      <c r="WEC69" s="1553"/>
      <c r="WEE69" s="1553"/>
      <c r="WEG69" s="1553"/>
      <c r="WEI69" s="1553"/>
      <c r="WEK69" s="1553"/>
      <c r="WEM69" s="1553"/>
      <c r="WEO69" s="1553"/>
      <c r="WEQ69" s="1553"/>
      <c r="WES69" s="1553"/>
      <c r="WEU69" s="1553"/>
      <c r="WEW69" s="1553"/>
      <c r="WEY69" s="1553"/>
      <c r="WFA69" s="1553"/>
      <c r="WFC69" s="1553"/>
      <c r="WFE69" s="1553"/>
      <c r="WFG69" s="1553"/>
      <c r="WFI69" s="1553"/>
      <c r="WFK69" s="1553"/>
      <c r="WFM69" s="1553"/>
      <c r="WFO69" s="1553"/>
      <c r="WFQ69" s="1553"/>
      <c r="WFS69" s="1553"/>
      <c r="WFU69" s="1553"/>
      <c r="WFW69" s="1553"/>
      <c r="WFY69" s="1553"/>
      <c r="WGA69" s="1553"/>
      <c r="WGC69" s="1553"/>
      <c r="WGE69" s="1553"/>
      <c r="WGG69" s="1553"/>
      <c r="WGI69" s="1553"/>
      <c r="WGK69" s="1553"/>
      <c r="WGM69" s="1553"/>
      <c r="WGO69" s="1553"/>
      <c r="WGQ69" s="1553"/>
      <c r="WGS69" s="1553"/>
      <c r="WGU69" s="1553"/>
      <c r="WGW69" s="1553"/>
      <c r="WGY69" s="1553"/>
      <c r="WHA69" s="1553"/>
      <c r="WHC69" s="1553"/>
      <c r="WHE69" s="1553"/>
      <c r="WHG69" s="1553"/>
      <c r="WHI69" s="1553"/>
      <c r="WHK69" s="1553"/>
      <c r="WHM69" s="1553"/>
      <c r="WHO69" s="1553"/>
      <c r="WHQ69" s="1553"/>
      <c r="WHS69" s="1553"/>
      <c r="WHU69" s="1553"/>
      <c r="WHW69" s="1553"/>
      <c r="WHY69" s="1553"/>
      <c r="WIA69" s="1553"/>
      <c r="WIC69" s="1553"/>
      <c r="WIE69" s="1553"/>
      <c r="WIG69" s="1553"/>
      <c r="WII69" s="1553"/>
      <c r="WIK69" s="1553"/>
      <c r="WIM69" s="1553"/>
      <c r="WIO69" s="1553"/>
      <c r="WIQ69" s="1553"/>
      <c r="WIS69" s="1553"/>
      <c r="WIU69" s="1553"/>
      <c r="WIW69" s="1553"/>
      <c r="WIY69" s="1553"/>
      <c r="WJA69" s="1553"/>
      <c r="WJC69" s="1553"/>
      <c r="WJE69" s="1553"/>
      <c r="WJG69" s="1553"/>
      <c r="WJI69" s="1553"/>
      <c r="WJK69" s="1553"/>
      <c r="WJM69" s="1553"/>
      <c r="WJO69" s="1553"/>
      <c r="WJQ69" s="1553"/>
      <c r="WJS69" s="1553"/>
      <c r="WJU69" s="1553"/>
      <c r="WJW69" s="1553"/>
      <c r="WJY69" s="1553"/>
      <c r="WKA69" s="1553"/>
      <c r="WKC69" s="1553"/>
      <c r="WKE69" s="1553"/>
      <c r="WKG69" s="1553"/>
      <c r="WKI69" s="1553"/>
      <c r="WKK69" s="1553"/>
      <c r="WKM69" s="1553"/>
      <c r="WKO69" s="1553"/>
      <c r="WKQ69" s="1553"/>
      <c r="WKS69" s="1553"/>
      <c r="WKU69" s="1553"/>
      <c r="WKW69" s="1553"/>
      <c r="WKY69" s="1553"/>
      <c r="WLA69" s="1553"/>
      <c r="WLC69" s="1553"/>
      <c r="WLE69" s="1553"/>
      <c r="WLG69" s="1553"/>
      <c r="WLI69" s="1553"/>
      <c r="WLK69" s="1553"/>
      <c r="WLM69" s="1553"/>
      <c r="WLO69" s="1553"/>
      <c r="WLQ69" s="1553"/>
      <c r="WLS69" s="1553"/>
      <c r="WLU69" s="1553"/>
      <c r="WLW69" s="1553"/>
      <c r="WLY69" s="1553"/>
      <c r="WMA69" s="1553"/>
      <c r="WMC69" s="1553"/>
      <c r="WME69" s="1553"/>
      <c r="WMG69" s="1553"/>
      <c r="WMI69" s="1553"/>
      <c r="WMK69" s="1553"/>
      <c r="WMM69" s="1553"/>
      <c r="WMO69" s="1553"/>
      <c r="WMQ69" s="1553"/>
      <c r="WMS69" s="1553"/>
      <c r="WMU69" s="1553"/>
      <c r="WMW69" s="1553"/>
      <c r="WMY69" s="1553"/>
      <c r="WNA69" s="1553"/>
      <c r="WNC69" s="1553"/>
      <c r="WNE69" s="1553"/>
      <c r="WNG69" s="1553"/>
      <c r="WNI69" s="1553"/>
      <c r="WNK69" s="1553"/>
      <c r="WNM69" s="1553"/>
      <c r="WNO69" s="1553"/>
      <c r="WNQ69" s="1553"/>
      <c r="WNS69" s="1553"/>
      <c r="WNU69" s="1553"/>
      <c r="WNW69" s="1553"/>
      <c r="WNY69" s="1553"/>
      <c r="WOA69" s="1553"/>
      <c r="WOC69" s="1553"/>
      <c r="WOE69" s="1553"/>
      <c r="WOG69" s="1553"/>
      <c r="WOI69" s="1553"/>
      <c r="WOK69" s="1553"/>
      <c r="WOM69" s="1553"/>
      <c r="WOO69" s="1553"/>
      <c r="WOQ69" s="1553"/>
      <c r="WOS69" s="1553"/>
      <c r="WOU69" s="1553"/>
      <c r="WOW69" s="1553"/>
      <c r="WOY69" s="1553"/>
      <c r="WPA69" s="1553"/>
      <c r="WPC69" s="1553"/>
      <c r="WPE69" s="1553"/>
      <c r="WPG69" s="1553"/>
      <c r="WPI69" s="1553"/>
      <c r="WPK69" s="1553"/>
      <c r="WPM69" s="1553"/>
      <c r="WPO69" s="1553"/>
      <c r="WPQ69" s="1553"/>
      <c r="WPS69" s="1553"/>
      <c r="WPU69" s="1553"/>
      <c r="WPW69" s="1553"/>
      <c r="WPY69" s="1553"/>
      <c r="WQA69" s="1553"/>
      <c r="WQC69" s="1553"/>
      <c r="WQE69" s="1553"/>
      <c r="WQG69" s="1553"/>
      <c r="WQI69" s="1553"/>
      <c r="WQK69" s="1553"/>
      <c r="WQM69" s="1553"/>
      <c r="WQO69" s="1553"/>
      <c r="WQQ69" s="1553"/>
      <c r="WQS69" s="1553"/>
      <c r="WQU69" s="1553"/>
      <c r="WQW69" s="1553"/>
      <c r="WQY69" s="1553"/>
      <c r="WRA69" s="1553"/>
      <c r="WRC69" s="1553"/>
      <c r="WRE69" s="1553"/>
      <c r="WRG69" s="1553"/>
      <c r="WRI69" s="1553"/>
      <c r="WRK69" s="1553"/>
      <c r="WRM69" s="1553"/>
      <c r="WRO69" s="1553"/>
      <c r="WRQ69" s="1553"/>
      <c r="WRS69" s="1553"/>
      <c r="WRU69" s="1553"/>
      <c r="WRW69" s="1553"/>
      <c r="WRY69" s="1553"/>
      <c r="WSA69" s="1553"/>
      <c r="WSC69" s="1553"/>
      <c r="WSE69" s="1553"/>
      <c r="WSG69" s="1553"/>
      <c r="WSI69" s="1553"/>
      <c r="WSK69" s="1553"/>
      <c r="WSM69" s="1553"/>
      <c r="WSO69" s="1553"/>
      <c r="WSQ69" s="1553"/>
      <c r="WSS69" s="1553"/>
      <c r="WSU69" s="1553"/>
      <c r="WSW69" s="1553"/>
      <c r="WSY69" s="1553"/>
      <c r="WTA69" s="1553"/>
      <c r="WTC69" s="1553"/>
      <c r="WTE69" s="1553"/>
      <c r="WTG69" s="1553"/>
      <c r="WTI69" s="1553"/>
      <c r="WTK69" s="1553"/>
      <c r="WTM69" s="1553"/>
      <c r="WTO69" s="1553"/>
      <c r="WTQ69" s="1553"/>
      <c r="WTS69" s="1553"/>
      <c r="WTU69" s="1553"/>
      <c r="WTW69" s="1553"/>
      <c r="WTY69" s="1553"/>
      <c r="WUA69" s="1553"/>
      <c r="WUC69" s="1553"/>
      <c r="WUE69" s="1553"/>
      <c r="WUG69" s="1553"/>
      <c r="WUI69" s="1553"/>
      <c r="WUK69" s="1553"/>
      <c r="WUM69" s="1553"/>
      <c r="WUO69" s="1553"/>
      <c r="WUQ69" s="1553"/>
      <c r="WUS69" s="1553"/>
      <c r="WUU69" s="1553"/>
      <c r="WUW69" s="1553"/>
      <c r="WUY69" s="1553"/>
      <c r="WVA69" s="1553"/>
      <c r="WVC69" s="1553"/>
      <c r="WVE69" s="1553"/>
      <c r="WVG69" s="1553"/>
      <c r="WVI69" s="1553"/>
      <c r="WVK69" s="1553"/>
      <c r="WVM69" s="1553"/>
      <c r="WVO69" s="1553"/>
      <c r="WVQ69" s="1553"/>
      <c r="WVS69" s="1553"/>
      <c r="WVU69" s="1553"/>
      <c r="WVW69" s="1553"/>
      <c r="WVY69" s="1553"/>
      <c r="WWA69" s="1553"/>
      <c r="WWC69" s="1553"/>
      <c r="WWE69" s="1553"/>
      <c r="WWG69" s="1553"/>
      <c r="WWI69" s="1553"/>
      <c r="WWK69" s="1553"/>
      <c r="WWM69" s="1553"/>
      <c r="WWO69" s="1553"/>
      <c r="WWQ69" s="1553"/>
      <c r="WWS69" s="1553"/>
      <c r="WWU69" s="1553"/>
      <c r="WWW69" s="1553"/>
      <c r="WWY69" s="1553"/>
      <c r="WXA69" s="1553"/>
      <c r="WXC69" s="1553"/>
      <c r="WXE69" s="1553"/>
      <c r="WXG69" s="1553"/>
      <c r="WXI69" s="1553"/>
      <c r="WXK69" s="1553"/>
      <c r="WXM69" s="1553"/>
      <c r="WXO69" s="1553"/>
      <c r="WXQ69" s="1553"/>
      <c r="WXS69" s="1553"/>
      <c r="WXU69" s="1553"/>
      <c r="WXW69" s="1553"/>
      <c r="WXY69" s="1553"/>
      <c r="WYA69" s="1553"/>
      <c r="WYC69" s="1553"/>
      <c r="WYE69" s="1553"/>
      <c r="WYG69" s="1553"/>
      <c r="WYI69" s="1553"/>
      <c r="WYK69" s="1553"/>
      <c r="WYM69" s="1553"/>
      <c r="WYO69" s="1553"/>
      <c r="WYQ69" s="1553"/>
      <c r="WYS69" s="1553"/>
      <c r="WYU69" s="1553"/>
      <c r="WYW69" s="1553"/>
      <c r="WYY69" s="1553"/>
      <c r="WZA69" s="1553"/>
      <c r="WZC69" s="1553"/>
      <c r="WZE69" s="1553"/>
      <c r="WZG69" s="1553"/>
      <c r="WZI69" s="1553"/>
      <c r="WZK69" s="1553"/>
      <c r="WZM69" s="1553"/>
      <c r="WZO69" s="1553"/>
      <c r="WZQ69" s="1553"/>
      <c r="WZS69" s="1553"/>
      <c r="WZU69" s="1553"/>
      <c r="WZW69" s="1553"/>
      <c r="WZY69" s="1553"/>
      <c r="XAA69" s="1553"/>
      <c r="XAC69" s="1553"/>
      <c r="XAE69" s="1553"/>
      <c r="XAG69" s="1553"/>
      <c r="XAI69" s="1553"/>
      <c r="XAK69" s="1553"/>
      <c r="XAM69" s="1553"/>
      <c r="XAO69" s="1553"/>
      <c r="XAQ69" s="1553"/>
      <c r="XAS69" s="1553"/>
      <c r="XAU69" s="1553"/>
      <c r="XAW69" s="1553"/>
      <c r="XAY69" s="1553"/>
      <c r="XBA69" s="1553"/>
      <c r="XBC69" s="1553"/>
      <c r="XBE69" s="1553"/>
      <c r="XBG69" s="1553"/>
      <c r="XBI69" s="1553"/>
      <c r="XBK69" s="1553"/>
      <c r="XBM69" s="1553"/>
      <c r="XBO69" s="1553"/>
      <c r="XBQ69" s="1553"/>
      <c r="XBS69" s="1553"/>
      <c r="XBU69" s="1553"/>
      <c r="XBW69" s="1553"/>
      <c r="XBY69" s="1553"/>
      <c r="XCA69" s="1553"/>
      <c r="XCC69" s="1553"/>
      <c r="XCE69" s="1553"/>
      <c r="XCG69" s="1553"/>
      <c r="XCI69" s="1553"/>
      <c r="XCK69" s="1553"/>
      <c r="XCM69" s="1553"/>
      <c r="XCO69" s="1553"/>
      <c r="XCQ69" s="1553"/>
      <c r="XCS69" s="1553"/>
      <c r="XCU69" s="1553"/>
      <c r="XCW69" s="1553"/>
      <c r="XCY69" s="1553"/>
      <c r="XDA69" s="1553"/>
      <c r="XDC69" s="1553"/>
      <c r="XDE69" s="1553"/>
      <c r="XDG69" s="1553"/>
      <c r="XDI69" s="1553"/>
      <c r="XDK69" s="1553"/>
      <c r="XDM69" s="1553"/>
      <c r="XDO69" s="1553"/>
      <c r="XDQ69" s="1553"/>
      <c r="XDS69" s="1553"/>
      <c r="XDU69" s="1553"/>
      <c r="XDW69" s="1553"/>
      <c r="XDY69" s="1553"/>
      <c r="XEA69" s="1553"/>
      <c r="XEC69" s="1553"/>
      <c r="XEE69" s="1553"/>
      <c r="XEG69" s="1553"/>
      <c r="XEI69" s="1553"/>
      <c r="XEK69" s="1553"/>
      <c r="XEM69" s="1553"/>
      <c r="XEO69" s="1553"/>
      <c r="XEQ69" s="1553"/>
      <c r="XES69" s="1553"/>
      <c r="XEU69" s="1553"/>
      <c r="XEW69" s="1553"/>
      <c r="XEY69" s="1553"/>
      <c r="XFA69" s="1553"/>
      <c r="XFC69" s="1553"/>
    </row>
    <row r="70" spans="1:1023 1025:2047 2049:3071 3073:4095 4097:5119 5121:6143 6145:7167 7169:8191 8193:9215 9217:10239 10241:11263 11265:12287 12289:13311 13313:14335 14337:15359 15361:16383" s="1409" customFormat="1">
      <c r="A70" s="1415" t="s">
        <v>1211</v>
      </c>
      <c r="B70" s="1411"/>
      <c r="C70" s="1412"/>
      <c r="D70" s="1411"/>
      <c r="E70" s="1409">
        <f>SUM(E65:E69)</f>
        <v>47.599999999976717</v>
      </c>
      <c r="G70" s="1409">
        <f>SUM(G65:G69)</f>
        <v>1466.3350000000028</v>
      </c>
      <c r="I70" s="1409">
        <f>SUM(I65:I69)</f>
        <v>2854.772574999959</v>
      </c>
      <c r="K70" s="1409">
        <f>SUM(K65:K69)</f>
        <v>4209.851986374968</v>
      </c>
      <c r="M70" s="1409">
        <f>SUM(M65:M69)</f>
        <v>5528.3553314293604</v>
      </c>
      <c r="O70" s="1409">
        <f>SUM(O65:O69)</f>
        <v>6806.9007910988294</v>
      </c>
      <c r="Q70" s="1409">
        <f>SUM(Q65:Q69)</f>
        <v>8041.9356100215882</v>
      </c>
      <c r="S70" s="1409">
        <f>SUM(S65:S69)</f>
        <v>9229.7287988272219</v>
      </c>
      <c r="U70" s="1409">
        <f>SUM(U65:U69)</f>
        <v>10366.363548121015</v>
      </c>
      <c r="W70" s="1409">
        <f>SUM(W65:W69)</f>
        <v>11447.729343248429</v>
      </c>
      <c r="Y70" s="1409">
        <f>SUM(Y65:Y69)</f>
        <v>12469.513768525132</v>
      </c>
      <c r="AA70" s="1409">
        <f>SUM(AA65:AA69)</f>
        <v>13427.193989200536</v>
      </c>
      <c r="AC70" s="1409">
        <f>SUM(AC65:AC69)</f>
        <v>14316.027898987548</v>
      </c>
      <c r="AE70" s="1409">
        <f>SUM(AE65:AE69)</f>
        <v>15131.044920548105</v>
      </c>
      <c r="AG70" s="1409">
        <f>SUM(AG65:AG69)</f>
        <v>15867.036445856056</v>
      </c>
    </row>
    <row r="71" spans="1:1023 1025:2047 2049:3071 3073:4095 4097:5119 5121:6143 6145:7167 7169:8191 8193:9215 9217:10239 10241:11263 11265:12287 12289:13311 13313:14335 14337:15359 15361:16383" s="2" customFormat="1">
      <c r="A71" s="1415"/>
      <c r="B71" s="1411"/>
      <c r="C71" s="1412"/>
      <c r="D71" s="1411"/>
      <c r="E71" s="1409"/>
      <c r="F71" s="1409"/>
      <c r="G71" s="1409"/>
      <c r="H71" s="1409"/>
      <c r="I71" s="1409"/>
      <c r="J71" s="1409"/>
      <c r="K71" s="1409"/>
      <c r="L71" s="1409"/>
      <c r="M71" s="1409"/>
      <c r="N71" s="1409"/>
      <c r="O71" s="1409"/>
      <c r="P71" s="1409"/>
      <c r="Q71" s="1409"/>
      <c r="R71" s="1409"/>
      <c r="S71" s="1409"/>
      <c r="T71" s="1409"/>
      <c r="U71" s="1409"/>
      <c r="V71" s="1409"/>
      <c r="W71" s="1409"/>
      <c r="X71" s="1409"/>
      <c r="Y71" s="1409"/>
      <c r="Z71" s="1409"/>
      <c r="AA71" s="1409"/>
      <c r="AB71" s="1409"/>
      <c r="AC71" s="1409"/>
      <c r="AD71" s="1409"/>
      <c r="AE71" s="1409"/>
      <c r="AF71" s="1409"/>
      <c r="AG71" s="1409"/>
      <c r="AH71" s="1411"/>
      <c r="AI71" s="1411"/>
    </row>
    <row r="72" spans="1:1023 1025:2047 2049:3071 3073:4095 4097:5119 5121:6143 6145:7167 7169:8191 8193:9215 9217:10239 10241:11263 11265:12287 12289:13311 13313:14335 14337:15359 15361:16383" s="2" customFormat="1" ht="13">
      <c r="A72" s="1415" t="s">
        <v>2538</v>
      </c>
      <c r="B72" s="1411"/>
      <c r="C72" s="1547">
        <v>0.5</v>
      </c>
      <c r="D72" s="1411"/>
      <c r="E72" s="1409">
        <f>E59*$C$72</f>
        <v>47.599999999976717</v>
      </c>
      <c r="F72" s="1409"/>
      <c r="G72" s="1409">
        <f>G59*$C$72</f>
        <v>1466.3350000000028</v>
      </c>
      <c r="H72" s="1409"/>
      <c r="I72" s="1409">
        <f>I59*$C$72</f>
        <v>2854.772574999959</v>
      </c>
      <c r="J72" s="1409"/>
      <c r="K72" s="1409">
        <f t="shared" ref="K72:AE72" si="21">K59*$C$72</f>
        <v>4209.851986374968</v>
      </c>
      <c r="L72" s="1409"/>
      <c r="M72" s="1409">
        <f t="shared" si="21"/>
        <v>5528.3553314293604</v>
      </c>
      <c r="N72" s="1409"/>
      <c r="O72" s="1409">
        <f t="shared" si="21"/>
        <v>6806.9007910988294</v>
      </c>
      <c r="P72" s="1409"/>
      <c r="Q72" s="1409">
        <f t="shared" si="21"/>
        <v>8041.9356100215882</v>
      </c>
      <c r="R72" s="1409"/>
      <c r="S72" s="1409">
        <f t="shared" si="21"/>
        <v>9229.7287988272219</v>
      </c>
      <c r="T72" s="1409"/>
      <c r="U72" s="1409">
        <f t="shared" si="21"/>
        <v>10366.363548121015</v>
      </c>
      <c r="V72" s="1409"/>
      <c r="W72" s="1409">
        <f t="shared" si="21"/>
        <v>11447.729343248429</v>
      </c>
      <c r="X72" s="1409"/>
      <c r="Y72" s="1409">
        <f t="shared" si="21"/>
        <v>12469.513768525132</v>
      </c>
      <c r="Z72" s="1409"/>
      <c r="AA72" s="1409">
        <f t="shared" si="21"/>
        <v>13427.193989200536</v>
      </c>
      <c r="AB72" s="1409"/>
      <c r="AC72" s="1409">
        <f t="shared" si="21"/>
        <v>14316.027898987548</v>
      </c>
      <c r="AD72" s="1409"/>
      <c r="AE72" s="1409">
        <f t="shared" si="21"/>
        <v>15131.044920548105</v>
      </c>
      <c r="AF72" s="1409"/>
      <c r="AG72" s="1409">
        <f>AG59*$C$72</f>
        <v>15867.036445856058</v>
      </c>
      <c r="AH72" s="1411"/>
      <c r="AI72" s="1411"/>
    </row>
    <row r="73" spans="1:1023 1025:2047 2049:3071 3073:4095 4097:5119 5121:6143 6145:7167 7169:8191 8193:9215 9217:10239 10241:11263 11265:12287 12289:13311 13313:14335 14337:15359 15361:16383" s="2" customFormat="1">
      <c r="A73" s="1415"/>
      <c r="B73" s="1411"/>
      <c r="C73" s="1546"/>
      <c r="D73" s="1411"/>
      <c r="E73" s="1551"/>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11"/>
      <c r="AI73" s="1411"/>
    </row>
    <row r="74" spans="1:1023 1025:2047 2049:3071 3073:4095 4097:5119 5121:6143 6145:7167 7169:8191 8193:9215 9217:10239 10241:11263 11265:12287 12289:13311 13313:14335 14337:15359 15361:16383" s="2" customFormat="1">
      <c r="A74" s="1415" t="s">
        <v>2539</v>
      </c>
      <c r="B74" s="1411"/>
      <c r="C74" s="1546">
        <v>0.9</v>
      </c>
      <c r="D74" s="1411"/>
      <c r="E74" s="1551"/>
      <c r="F74" s="1409"/>
      <c r="G74" s="1409"/>
      <c r="H74" s="1409"/>
      <c r="I74" s="1409"/>
      <c r="J74" s="1409"/>
      <c r="K74" s="1409"/>
      <c r="L74" s="1409"/>
      <c r="M74" s="1409"/>
      <c r="N74" s="1409"/>
      <c r="O74" s="1409"/>
      <c r="P74" s="1409"/>
      <c r="Q74" s="1409"/>
      <c r="R74" s="1409"/>
      <c r="S74" s="1409"/>
      <c r="T74" s="1409"/>
      <c r="U74" s="1409"/>
      <c r="V74" s="1409"/>
      <c r="W74" s="1409"/>
      <c r="X74" s="1409"/>
      <c r="Y74" s="1409"/>
      <c r="Z74" s="1409"/>
      <c r="AA74" s="1409"/>
      <c r="AB74" s="1409"/>
      <c r="AC74" s="1409"/>
      <c r="AD74" s="1409"/>
      <c r="AE74" s="1409"/>
      <c r="AF74" s="1409"/>
      <c r="AG74" s="1409"/>
      <c r="AH74" s="1411"/>
      <c r="AI74" s="1411"/>
    </row>
    <row r="75" spans="1:1023 1025:2047 2049:3071 3073:4095 4097:5119 5121:6143 6145:7167 7169:8191 8193:9215 9217:10239 10241:11263 11265:12287 12289:13311 13313:14335 14337:15359 15361:16383" s="2" customFormat="1">
      <c r="A75" s="1550" t="s">
        <v>2540</v>
      </c>
      <c r="B75" s="1411"/>
      <c r="C75" s="1546">
        <v>0.1</v>
      </c>
      <c r="D75" s="1411"/>
      <c r="E75" s="1551"/>
      <c r="F75" s="1411"/>
      <c r="G75" s="1411"/>
      <c r="H75" s="1411"/>
      <c r="I75" s="1411"/>
      <c r="J75" s="1411"/>
      <c r="K75" s="1411"/>
      <c r="L75" s="1411"/>
      <c r="M75" s="1411"/>
      <c r="N75" s="1411"/>
      <c r="O75" s="1411"/>
      <c r="P75" s="1411"/>
      <c r="Q75" s="1411"/>
      <c r="R75" s="1411"/>
      <c r="S75" s="1411"/>
      <c r="T75" s="1411"/>
      <c r="U75" s="1411"/>
      <c r="V75" s="1411"/>
      <c r="W75" s="1411"/>
      <c r="X75" s="1411"/>
      <c r="Y75" s="1411"/>
      <c r="Z75" s="1411"/>
      <c r="AA75" s="1411"/>
      <c r="AB75" s="1411"/>
      <c r="AC75" s="1411"/>
      <c r="AD75" s="1411"/>
      <c r="AE75" s="1411"/>
      <c r="AF75" s="1411"/>
      <c r="AG75" s="1411"/>
      <c r="AH75" s="1411"/>
      <c r="AI75" s="1411"/>
    </row>
    <row r="76" spans="1:1023 1025:2047 2049:3071 3073:4095 4097:5119 5121:6143 6145:7167 7169:8191 8193:9215 9217:10239 10241:11263 11265:12287 12289:13311 13313:14335 14337:15359 15361:16383" s="2" customFormat="1">
      <c r="A76" s="1550"/>
      <c r="B76" s="1411"/>
      <c r="C76" s="1412"/>
      <c r="D76" s="1411"/>
      <c r="E76" s="1551"/>
      <c r="F76" s="1411"/>
      <c r="G76" s="1411"/>
      <c r="H76" s="1411"/>
      <c r="I76" s="1411"/>
      <c r="J76" s="1411"/>
      <c r="K76" s="1411"/>
      <c r="L76" s="1411"/>
      <c r="M76" s="1411"/>
      <c r="N76" s="1411"/>
      <c r="O76" s="1411"/>
      <c r="P76" s="1411"/>
      <c r="Q76" s="1411"/>
      <c r="R76" s="1411"/>
      <c r="S76" s="1411"/>
      <c r="T76" s="1411"/>
      <c r="U76" s="1411"/>
      <c r="V76" s="1411"/>
      <c r="W76" s="1411"/>
      <c r="X76" s="1411"/>
      <c r="Y76" s="1411"/>
      <c r="Z76" s="1411"/>
      <c r="AA76" s="1411"/>
      <c r="AB76" s="1411"/>
      <c r="AC76" s="1411"/>
      <c r="AD76" s="1411"/>
      <c r="AE76" s="1411"/>
      <c r="AF76" s="1411"/>
      <c r="AG76" s="1411"/>
      <c r="AH76" s="1411"/>
      <c r="AI76" s="1411"/>
    </row>
    <row r="77" spans="1:1023 1025:2047 2049:3071 3073:4095 4097:5119 5121:6143 6145:7167 7169:8191 8193:9215 9217:10239 10241:11263 11265:12287 12289:13311 13313:14335 14337:15359 15361:16383">
      <c r="A77" s="1415" t="s">
        <v>2219</v>
      </c>
      <c r="B77" s="607"/>
      <c r="C77" s="608"/>
      <c r="D77" s="607"/>
      <c r="E77" s="1552">
        <v>0</v>
      </c>
      <c r="F77" s="1552"/>
      <c r="G77" s="1552">
        <f>G59-G61-G70-G72</f>
        <v>0</v>
      </c>
      <c r="H77" s="1552"/>
      <c r="I77" s="1552">
        <f t="shared" ref="I77:AG77" si="22">I59-I61-I70-I72-I74-I75</f>
        <v>0</v>
      </c>
      <c r="J77" s="1552"/>
      <c r="K77" s="1552">
        <f t="shared" si="22"/>
        <v>0</v>
      </c>
      <c r="L77" s="1552"/>
      <c r="M77" s="1552">
        <f t="shared" si="22"/>
        <v>0</v>
      </c>
      <c r="N77" s="1552"/>
      <c r="O77" s="1552">
        <f t="shared" si="22"/>
        <v>0</v>
      </c>
      <c r="P77" s="1552"/>
      <c r="Q77" s="1552">
        <f t="shared" si="22"/>
        <v>0</v>
      </c>
      <c r="R77" s="1552"/>
      <c r="S77" s="1552">
        <f t="shared" si="22"/>
        <v>0</v>
      </c>
      <c r="T77" s="1552"/>
      <c r="U77" s="1552">
        <f t="shared" si="22"/>
        <v>0</v>
      </c>
      <c r="V77" s="1552"/>
      <c r="W77" s="1552">
        <f t="shared" si="22"/>
        <v>0</v>
      </c>
      <c r="X77" s="1552"/>
      <c r="Y77" s="1552">
        <f t="shared" si="22"/>
        <v>0</v>
      </c>
      <c r="Z77" s="1552"/>
      <c r="AA77" s="1552">
        <f t="shared" si="22"/>
        <v>0</v>
      </c>
      <c r="AB77" s="1552"/>
      <c r="AC77" s="1552">
        <f t="shared" si="22"/>
        <v>0</v>
      </c>
      <c r="AD77" s="1552"/>
      <c r="AE77" s="1552">
        <f t="shared" si="22"/>
        <v>0</v>
      </c>
      <c r="AF77" s="1552"/>
      <c r="AG77" s="1552">
        <f t="shared" si="22"/>
        <v>1.8189894035458565E-12</v>
      </c>
      <c r="AH77" s="607"/>
      <c r="AI77" s="607"/>
    </row>
    <row r="78" spans="1:1023 1025:2047 2049:3071 3073:4095 4097:5119 5121:6143 6145:7167 7169:8191 8193:9215 9217:10239 10241:11263 11265:12287 12289:13311 13313:14335 14337:15359 15361:16383" s="1384" customFormat="1">
      <c r="A78" s="607"/>
      <c r="B78" s="607"/>
      <c r="C78" s="608"/>
      <c r="D78" s="607"/>
      <c r="E78" s="598"/>
      <c r="F78" s="607"/>
      <c r="G78" s="607"/>
      <c r="H78" s="607"/>
      <c r="I78" s="607"/>
      <c r="J78" s="607"/>
      <c r="K78" s="607"/>
      <c r="L78" s="607"/>
      <c r="M78" s="607"/>
      <c r="N78" s="607"/>
      <c r="O78" s="607"/>
      <c r="P78" s="607"/>
      <c r="Q78" s="607"/>
      <c r="R78" s="607"/>
      <c r="S78" s="607"/>
      <c r="T78" s="607"/>
      <c r="U78" s="607"/>
      <c r="V78" s="607"/>
      <c r="W78" s="607"/>
      <c r="X78" s="607"/>
      <c r="Y78" s="607"/>
      <c r="Z78" s="607"/>
      <c r="AA78" s="607"/>
      <c r="AB78" s="607"/>
      <c r="AC78" s="607"/>
      <c r="AD78" s="607"/>
      <c r="AE78" s="607"/>
      <c r="AF78" s="607"/>
      <c r="AG78" s="607"/>
      <c r="AH78" s="607"/>
      <c r="AI78" s="607"/>
    </row>
    <row r="79" spans="1:1023 1025:2047 2049:3071 3073:4095 4097:5119 5121:6143 6145:7167 7169:8191 8193:9215 9217:10239 10241:11263 11265:12287 12289:13311 13313:14335 14337:15359 15361:16383" s="1384" customFormat="1">
      <c r="A79" s="607"/>
      <c r="B79" s="607"/>
      <c r="C79" s="608"/>
      <c r="D79" s="607"/>
      <c r="E79" s="598"/>
      <c r="F79" s="607"/>
      <c r="G79" s="607"/>
      <c r="H79" s="607"/>
      <c r="I79" s="607"/>
      <c r="J79" s="607"/>
      <c r="K79" s="607"/>
      <c r="L79" s="607"/>
      <c r="M79" s="607"/>
      <c r="N79" s="607"/>
      <c r="O79" s="607"/>
      <c r="P79" s="607"/>
      <c r="Q79" s="607"/>
      <c r="R79" s="607"/>
      <c r="S79" s="607"/>
      <c r="T79" s="607"/>
      <c r="U79" s="607"/>
      <c r="V79" s="607"/>
      <c r="W79" s="607"/>
      <c r="X79" s="607"/>
      <c r="Y79" s="607"/>
      <c r="Z79" s="607"/>
      <c r="AA79" s="607"/>
      <c r="AB79" s="607"/>
      <c r="AC79" s="607"/>
      <c r="AD79" s="607"/>
      <c r="AE79" s="607"/>
      <c r="AF79" s="607"/>
      <c r="AG79" s="607"/>
      <c r="AH79" s="607"/>
      <c r="AI79" s="607"/>
    </row>
    <row r="80" spans="1:1023 1025:2047 2049:3071 3073:4095 4097:5119 5121:6143 6145:7167 7169:8191 8193:9215 9217:10239 10241:11263 11265:12287 12289:13311 13313:14335 14337:15359 15361:16383">
      <c r="A80" s="607" t="s">
        <v>1513</v>
      </c>
      <c r="B80" s="607"/>
      <c r="C80" s="608"/>
      <c r="D80" s="607"/>
      <c r="E80" s="607"/>
      <c r="F80" s="607"/>
      <c r="G80" s="607"/>
      <c r="H80" s="607"/>
      <c r="I80" s="607"/>
      <c r="J80" s="607"/>
      <c r="K80" s="607"/>
      <c r="L80" s="607"/>
      <c r="M80" s="607"/>
      <c r="N80" s="607"/>
      <c r="O80" s="607"/>
      <c r="P80" s="607"/>
      <c r="Q80" s="607"/>
      <c r="R80" s="607"/>
      <c r="S80" s="607"/>
      <c r="T80" s="607"/>
      <c r="U80" s="607"/>
      <c r="V80" s="607"/>
      <c r="W80" s="607"/>
      <c r="X80" s="607"/>
      <c r="Y80" s="607"/>
      <c r="Z80" s="607"/>
      <c r="AA80" s="607"/>
      <c r="AB80" s="607"/>
      <c r="AC80" s="607"/>
      <c r="AD80" s="607"/>
      <c r="AE80" s="607"/>
      <c r="AF80" s="607"/>
      <c r="AG80" s="607"/>
      <c r="AH80" s="607"/>
      <c r="AI80" s="607"/>
    </row>
    <row r="81" spans="1:35">
      <c r="A81" s="607"/>
      <c r="B81" s="607"/>
      <c r="C81" s="608"/>
      <c r="D81" s="607"/>
      <c r="E81" s="607"/>
      <c r="F81" s="607"/>
      <c r="G81" s="607"/>
      <c r="H81" s="607"/>
      <c r="I81" s="607"/>
      <c r="J81" s="607"/>
      <c r="K81" s="607"/>
      <c r="L81" s="607"/>
      <c r="M81" s="607"/>
      <c r="N81" s="607"/>
      <c r="O81" s="607"/>
      <c r="P81" s="607"/>
      <c r="Q81" s="607"/>
      <c r="R81" s="607"/>
      <c r="S81" s="607"/>
      <c r="T81" s="607"/>
      <c r="U81" s="607"/>
      <c r="V81" s="607"/>
      <c r="W81" s="607"/>
      <c r="X81" s="607"/>
      <c r="Y81" s="607"/>
      <c r="Z81" s="607"/>
      <c r="AA81" s="607"/>
      <c r="AB81" s="607"/>
      <c r="AC81" s="607"/>
      <c r="AD81" s="607"/>
      <c r="AE81" s="607"/>
      <c r="AF81" s="607"/>
      <c r="AG81" s="607"/>
      <c r="AH81" s="607"/>
      <c r="AI81" s="607"/>
    </row>
    <row r="82" spans="1:35" ht="30" customHeight="1">
      <c r="A82" s="2717" t="s">
        <v>1215</v>
      </c>
      <c r="B82" s="2717"/>
      <c r="C82" s="2717"/>
      <c r="D82" s="2717"/>
      <c r="E82" s="2717"/>
      <c r="F82" s="2717"/>
      <c r="G82" s="2717"/>
      <c r="H82" s="2717"/>
      <c r="I82" s="2717"/>
      <c r="J82" s="2717"/>
      <c r="K82" s="2717"/>
      <c r="L82" s="2717"/>
      <c r="M82" s="2717"/>
      <c r="N82" s="2717"/>
      <c r="O82" s="2717"/>
      <c r="P82" s="2717"/>
      <c r="Q82" s="2717"/>
      <c r="R82" s="2717"/>
      <c r="S82" s="2717"/>
      <c r="T82" s="2717"/>
      <c r="U82" s="2717"/>
      <c r="V82" s="2717"/>
      <c r="W82" s="2717"/>
      <c r="X82" s="2717"/>
      <c r="Y82" s="2717"/>
      <c r="Z82" s="2717"/>
      <c r="AA82" s="2717"/>
      <c r="AB82" s="2717"/>
      <c r="AC82" s="2717"/>
      <c r="AD82" s="2717"/>
      <c r="AE82" s="2717"/>
      <c r="AF82" s="2717"/>
      <c r="AG82" s="2717"/>
      <c r="AH82" s="629"/>
      <c r="AI82" s="629"/>
    </row>
    <row r="83" spans="1:35" hidden="1">
      <c r="A83" s="604"/>
      <c r="B83" s="604"/>
      <c r="C83" s="606"/>
      <c r="D83" s="604"/>
      <c r="E83" s="604"/>
      <c r="F83" s="604"/>
      <c r="G83" s="604"/>
      <c r="H83" s="604"/>
      <c r="I83" s="604"/>
      <c r="J83" s="604"/>
      <c r="K83" s="604"/>
      <c r="L83" s="604"/>
      <c r="M83" s="604"/>
      <c r="N83" s="604"/>
      <c r="O83" s="604"/>
      <c r="P83" s="604"/>
      <c r="Q83" s="604"/>
      <c r="R83" s="604"/>
      <c r="S83" s="604"/>
      <c r="T83" s="604"/>
      <c r="U83" s="604"/>
      <c r="V83" s="604"/>
      <c r="W83" s="604"/>
      <c r="X83" s="604"/>
      <c r="Y83" s="604"/>
      <c r="Z83" s="604"/>
      <c r="AA83" s="604"/>
      <c r="AB83" s="604"/>
      <c r="AC83" s="604"/>
      <c r="AD83" s="604"/>
      <c r="AE83" s="604"/>
      <c r="AF83" s="604"/>
      <c r="AG83" s="604"/>
      <c r="AH83" s="604"/>
      <c r="AI83" s="604"/>
    </row>
    <row r="84" spans="1:35" hidden="1">
      <c r="C84" s="606"/>
    </row>
    <row r="85" spans="1:35" hidden="1">
      <c r="C85" s="606"/>
    </row>
    <row r="86" spans="1:35" hidden="1">
      <c r="C86" s="606"/>
    </row>
    <row r="87" spans="1:35" hidden="1">
      <c r="C87" s="606"/>
    </row>
    <row r="88" spans="1:35" hidden="1">
      <c r="C88" s="606"/>
    </row>
    <row r="89" spans="1:35" hidden="1">
      <c r="C89" s="606"/>
    </row>
    <row r="90" spans="1:35" hidden="1">
      <c r="C90" s="606"/>
    </row>
    <row r="91" spans="1:35" hidden="1">
      <c r="C91" s="606"/>
    </row>
    <row r="92" spans="1:35" hidden="1">
      <c r="C92" s="606"/>
    </row>
    <row r="93" spans="1:35" hidden="1">
      <c r="C93" s="606"/>
    </row>
    <row r="94" spans="1:35" hidden="1">
      <c r="C94" s="606"/>
    </row>
    <row r="95" spans="1:35" hidden="1">
      <c r="C95" s="606"/>
    </row>
    <row r="96" spans="1:35"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row r="218" spans="3:3" hidden="1">
      <c r="C218" s="606"/>
    </row>
    <row r="219" spans="3:3" hidden="1">
      <c r="C219" s="606"/>
    </row>
    <row r="220" spans="3:3" hidden="1">
      <c r="C220" s="606"/>
    </row>
    <row r="221" spans="3:3" hidden="1">
      <c r="C221" s="606"/>
    </row>
    <row r="222" spans="3:3" hidden="1">
      <c r="C222"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2">
    <mergeCell ref="A82:AG82"/>
    <mergeCell ref="A20:B20"/>
  </mergeCells>
  <printOptions verticalCentered="1"/>
  <pageMargins left="0.7" right="0.7" top="0.75" bottom="0.75" header="0.3" footer="0.3"/>
  <pageSetup paperSize="5" scale="45"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13" sqref="E13"/>
    </sheetView>
  </sheetViews>
  <sheetFormatPr defaultColWidth="9.1796875" defaultRowHeight="14" zeroHeight="1"/>
  <cols>
    <col min="1" max="3" width="15.453125" style="509" customWidth="1"/>
    <col min="4" max="4" width="3.453125" style="509" customWidth="1"/>
    <col min="5" max="6" width="15.453125" style="509" customWidth="1"/>
    <col min="7" max="7" width="3.453125" style="461" customWidth="1"/>
    <col min="8" max="9" width="15.453125" style="509" customWidth="1"/>
    <col min="10" max="16383" width="9.1796875" style="509"/>
    <col min="16384" max="16384" width="0.453125" style="509" customWidth="1"/>
  </cols>
  <sheetData>
    <row r="1" spans="1:9">
      <c r="A1" s="2719" t="s">
        <v>1295</v>
      </c>
      <c r="B1" s="2719"/>
      <c r="C1" s="2719"/>
      <c r="D1" s="2719"/>
      <c r="E1" s="2719"/>
      <c r="F1" s="2719"/>
      <c r="G1" s="2719"/>
      <c r="H1" s="2719"/>
      <c r="I1" s="2719"/>
    </row>
    <row r="2" spans="1:9">
      <c r="A2" s="935"/>
      <c r="B2" s="934"/>
      <c r="C2" s="934"/>
      <c r="D2" s="934"/>
      <c r="E2" s="934"/>
      <c r="F2" s="934"/>
      <c r="G2" s="935"/>
      <c r="H2" s="934"/>
      <c r="I2" s="934"/>
    </row>
    <row r="3" spans="1:9" ht="105" customHeight="1">
      <c r="A3" s="936" t="s">
        <v>1288</v>
      </c>
      <c r="B3" s="936" t="s">
        <v>1514</v>
      </c>
      <c r="C3" s="739" t="s">
        <v>1290</v>
      </c>
      <c r="D3" s="934"/>
      <c r="E3" s="739" t="s">
        <v>1291</v>
      </c>
      <c r="F3" s="936" t="s">
        <v>1292</v>
      </c>
      <c r="G3" s="937"/>
      <c r="H3" s="936" t="s">
        <v>1289</v>
      </c>
      <c r="I3" s="936" t="s">
        <v>1293</v>
      </c>
    </row>
    <row r="4" spans="1:9">
      <c r="A4" s="938" t="str">
        <f>Application!$B706</f>
        <v>1 Bedroom</v>
      </c>
      <c r="B4" s="946">
        <f>Application!$G706</f>
        <v>5</v>
      </c>
      <c r="C4" s="938">
        <f>Application!$O706</f>
        <v>595</v>
      </c>
      <c r="D4" s="939"/>
      <c r="E4" s="740">
        <f>685-36</f>
        <v>649</v>
      </c>
      <c r="F4" s="940">
        <f>$E4*$B4</f>
        <v>3245</v>
      </c>
      <c r="G4" s="941"/>
      <c r="H4" s="938">
        <f>IF($E4=0,0,MAX($E4-$C4,0))</f>
        <v>54</v>
      </c>
      <c r="I4" s="940">
        <f>IF($H4=0,0,($H4*$B4))</f>
        <v>270</v>
      </c>
    </row>
    <row r="5" spans="1:9">
      <c r="A5" s="938" t="str">
        <f>Application!$B707</f>
        <v>1 Bedroom</v>
      </c>
      <c r="B5" s="946">
        <f>Application!$G707</f>
        <v>5</v>
      </c>
      <c r="C5" s="938">
        <f>Application!$O707</f>
        <v>649</v>
      </c>
      <c r="D5" s="939"/>
      <c r="E5" s="740">
        <f t="shared" ref="E5:E7" si="0">649-36</f>
        <v>613</v>
      </c>
      <c r="F5" s="940">
        <f t="shared" ref="F5:F28" si="1">$E5*$B5</f>
        <v>3065</v>
      </c>
      <c r="G5" s="941"/>
      <c r="H5" s="938">
        <f t="shared" ref="H5:H28" si="2">IF($E5=0,0,MAX($E5-$C5,0))</f>
        <v>0</v>
      </c>
      <c r="I5" s="940">
        <f t="shared" ref="I5:I28" si="3">IF($H5=0,0,($H5*$B5))</f>
        <v>0</v>
      </c>
    </row>
    <row r="6" spans="1:9">
      <c r="A6" s="938" t="str">
        <f>Application!$B708</f>
        <v>1 Bedroom</v>
      </c>
      <c r="B6" s="946">
        <f>Application!$G708</f>
        <v>11</v>
      </c>
      <c r="C6" s="938">
        <f>Application!$O708</f>
        <v>649</v>
      </c>
      <c r="D6" s="939"/>
      <c r="E6" s="740">
        <f t="shared" si="0"/>
        <v>613</v>
      </c>
      <c r="F6" s="940">
        <f t="shared" si="1"/>
        <v>6743</v>
      </c>
      <c r="G6" s="941"/>
      <c r="H6" s="938">
        <f t="shared" si="2"/>
        <v>0</v>
      </c>
      <c r="I6" s="940">
        <f t="shared" si="3"/>
        <v>0</v>
      </c>
    </row>
    <row r="7" spans="1:9">
      <c r="A7" s="938" t="str">
        <f>Application!$B709</f>
        <v>1 Bedroom</v>
      </c>
      <c r="B7" s="946">
        <f>Application!$G709</f>
        <v>6</v>
      </c>
      <c r="C7" s="938">
        <f>Application!$O709</f>
        <v>649</v>
      </c>
      <c r="D7" s="939"/>
      <c r="E7" s="740">
        <f t="shared" si="0"/>
        <v>613</v>
      </c>
      <c r="F7" s="940">
        <f t="shared" si="1"/>
        <v>3678</v>
      </c>
      <c r="G7" s="941"/>
      <c r="H7" s="938">
        <f t="shared" si="2"/>
        <v>0</v>
      </c>
      <c r="I7" s="940">
        <f t="shared" si="3"/>
        <v>0</v>
      </c>
    </row>
    <row r="8" spans="1:9">
      <c r="A8" s="938" t="str">
        <f>Application!$B710</f>
        <v>1 Bedroom</v>
      </c>
      <c r="B8" s="946">
        <f>Application!$G710</f>
        <v>4</v>
      </c>
      <c r="C8" s="938">
        <f>Application!$O710</f>
        <v>594</v>
      </c>
      <c r="D8" s="939"/>
      <c r="E8" s="740">
        <f>1671-36</f>
        <v>1635</v>
      </c>
      <c r="F8" s="940">
        <f t="shared" si="1"/>
        <v>6540</v>
      </c>
      <c r="G8" s="941"/>
      <c r="H8" s="938">
        <f t="shared" si="2"/>
        <v>1041</v>
      </c>
      <c r="I8" s="940">
        <f t="shared" si="3"/>
        <v>4164</v>
      </c>
    </row>
    <row r="9" spans="1:9">
      <c r="A9" s="938" t="str">
        <f>Application!$B711</f>
        <v>2 Bedrooms</v>
      </c>
      <c r="B9" s="946">
        <f>Application!$G711</f>
        <v>1</v>
      </c>
      <c r="C9" s="938">
        <f>Application!$O711</f>
        <v>711</v>
      </c>
      <c r="D9" s="939"/>
      <c r="E9" s="740">
        <f>2115-45</f>
        <v>2070</v>
      </c>
      <c r="F9" s="940">
        <f t="shared" si="1"/>
        <v>2070</v>
      </c>
      <c r="G9" s="941"/>
      <c r="H9" s="938">
        <f t="shared" si="2"/>
        <v>1359</v>
      </c>
      <c r="I9" s="940">
        <f t="shared" si="3"/>
        <v>1359</v>
      </c>
    </row>
    <row r="10" spans="1:9">
      <c r="A10" s="938" t="str">
        <f>Application!$B712</f>
        <v>1 Bedroom</v>
      </c>
      <c r="B10" s="946">
        <f>Application!$G712</f>
        <v>3</v>
      </c>
      <c r="C10" s="938">
        <f>Application!$O712</f>
        <v>909</v>
      </c>
      <c r="D10" s="939"/>
      <c r="E10" s="740">
        <f t="shared" ref="E10:E12" si="4">1671-36</f>
        <v>1635</v>
      </c>
      <c r="F10" s="940">
        <f t="shared" si="1"/>
        <v>4905</v>
      </c>
      <c r="G10" s="941"/>
      <c r="H10" s="938">
        <f t="shared" si="2"/>
        <v>726</v>
      </c>
      <c r="I10" s="940">
        <f t="shared" si="3"/>
        <v>2178</v>
      </c>
    </row>
    <row r="11" spans="1:9">
      <c r="A11" s="938" t="str">
        <f>Application!$B713</f>
        <v>1 Bedroom</v>
      </c>
      <c r="B11" s="946">
        <f>Application!$G713</f>
        <v>6</v>
      </c>
      <c r="C11" s="938">
        <f>Application!$O713</f>
        <v>1015</v>
      </c>
      <c r="D11" s="939"/>
      <c r="E11" s="740">
        <f t="shared" si="4"/>
        <v>1635</v>
      </c>
      <c r="F11" s="940">
        <f t="shared" si="1"/>
        <v>9810</v>
      </c>
      <c r="G11" s="941"/>
      <c r="H11" s="938">
        <f t="shared" si="2"/>
        <v>620</v>
      </c>
      <c r="I11" s="940">
        <f t="shared" si="3"/>
        <v>3720</v>
      </c>
    </row>
    <row r="12" spans="1:9">
      <c r="A12" s="938" t="str">
        <f>Application!$B714</f>
        <v>1 Bedroom</v>
      </c>
      <c r="B12" s="946">
        <f>Application!$G714</f>
        <v>4</v>
      </c>
      <c r="C12" s="938">
        <f>Application!$O714</f>
        <v>1225</v>
      </c>
      <c r="D12" s="939"/>
      <c r="E12" s="740">
        <f t="shared" si="4"/>
        <v>1635</v>
      </c>
      <c r="F12" s="940">
        <f t="shared" si="1"/>
        <v>6540</v>
      </c>
      <c r="G12" s="941"/>
      <c r="H12" s="938">
        <f t="shared" si="2"/>
        <v>410</v>
      </c>
      <c r="I12" s="940">
        <f t="shared" si="3"/>
        <v>1640</v>
      </c>
    </row>
    <row r="13" spans="1:9">
      <c r="A13" s="938" t="str">
        <f>Application!$B715</f>
        <v>2 Bedrooms</v>
      </c>
      <c r="B13" s="946">
        <f>Application!$G715</f>
        <v>4</v>
      </c>
      <c r="C13" s="938">
        <f>Application!$O715</f>
        <v>1468</v>
      </c>
      <c r="D13" s="939"/>
      <c r="E13" s="740">
        <f>2115-45</f>
        <v>2070</v>
      </c>
      <c r="F13" s="940">
        <f t="shared" si="1"/>
        <v>8280</v>
      </c>
      <c r="G13" s="941"/>
      <c r="H13" s="938">
        <f t="shared" si="2"/>
        <v>602</v>
      </c>
      <c r="I13" s="940">
        <f t="shared" si="3"/>
        <v>2408</v>
      </c>
    </row>
    <row r="14" spans="1:9">
      <c r="A14" s="938">
        <f>Application!$B716</f>
        <v>0</v>
      </c>
      <c r="B14" s="946">
        <f>Application!$G716</f>
        <v>0</v>
      </c>
      <c r="C14" s="938">
        <f>Application!$O716</f>
        <v>0</v>
      </c>
      <c r="D14" s="939"/>
      <c r="E14" s="740"/>
      <c r="F14" s="940">
        <f t="shared" si="1"/>
        <v>0</v>
      </c>
      <c r="G14" s="941"/>
      <c r="H14" s="938">
        <f t="shared" si="2"/>
        <v>0</v>
      </c>
      <c r="I14" s="940">
        <f t="shared" si="3"/>
        <v>0</v>
      </c>
    </row>
    <row r="15" spans="1:9">
      <c r="A15" s="938">
        <f>Application!$B717</f>
        <v>0</v>
      </c>
      <c r="B15" s="946">
        <f>Application!$G717</f>
        <v>0</v>
      </c>
      <c r="C15" s="938">
        <f>Application!$O717</f>
        <v>0</v>
      </c>
      <c r="D15" s="939"/>
      <c r="E15" s="740"/>
      <c r="F15" s="940">
        <f t="shared" si="1"/>
        <v>0</v>
      </c>
      <c r="G15" s="941"/>
      <c r="H15" s="938">
        <f t="shared" si="2"/>
        <v>0</v>
      </c>
      <c r="I15" s="940">
        <f t="shared" si="3"/>
        <v>0</v>
      </c>
    </row>
    <row r="16" spans="1:9">
      <c r="A16" s="938">
        <f>Application!$B718</f>
        <v>0</v>
      </c>
      <c r="B16" s="946">
        <f>Application!$G718</f>
        <v>0</v>
      </c>
      <c r="C16" s="938">
        <f>Application!$O718</f>
        <v>0</v>
      </c>
      <c r="D16" s="939"/>
      <c r="E16" s="740"/>
      <c r="F16" s="940">
        <f t="shared" si="1"/>
        <v>0</v>
      </c>
      <c r="G16" s="941"/>
      <c r="H16" s="938">
        <f t="shared" si="2"/>
        <v>0</v>
      </c>
      <c r="I16" s="940">
        <f t="shared" si="3"/>
        <v>0</v>
      </c>
    </row>
    <row r="17" spans="1:9">
      <c r="A17" s="938">
        <f>Application!$B719</f>
        <v>0</v>
      </c>
      <c r="B17" s="946">
        <f>Application!$G719</f>
        <v>0</v>
      </c>
      <c r="C17" s="938">
        <f>Application!$O719</f>
        <v>0</v>
      </c>
      <c r="D17" s="939"/>
      <c r="E17" s="740"/>
      <c r="F17" s="940">
        <f t="shared" si="1"/>
        <v>0</v>
      </c>
      <c r="G17" s="941"/>
      <c r="H17" s="938">
        <f t="shared" si="2"/>
        <v>0</v>
      </c>
      <c r="I17" s="940">
        <f t="shared" si="3"/>
        <v>0</v>
      </c>
    </row>
    <row r="18" spans="1:9">
      <c r="A18" s="938">
        <f>Application!$B720</f>
        <v>0</v>
      </c>
      <c r="B18" s="946">
        <f>Application!$G720</f>
        <v>0</v>
      </c>
      <c r="C18" s="938">
        <f>Application!$O720</f>
        <v>0</v>
      </c>
      <c r="D18" s="939"/>
      <c r="E18" s="740"/>
      <c r="F18" s="940">
        <f t="shared" si="1"/>
        <v>0</v>
      </c>
      <c r="G18" s="941"/>
      <c r="H18" s="938">
        <f t="shared" si="2"/>
        <v>0</v>
      </c>
      <c r="I18" s="940">
        <f t="shared" si="3"/>
        <v>0</v>
      </c>
    </row>
    <row r="19" spans="1:9">
      <c r="A19" s="938">
        <f>Application!$B721</f>
        <v>0</v>
      </c>
      <c r="B19" s="946">
        <f>Application!$G721</f>
        <v>0</v>
      </c>
      <c r="C19" s="938">
        <f>Application!$O721</f>
        <v>0</v>
      </c>
      <c r="D19" s="939"/>
      <c r="E19" s="740"/>
      <c r="F19" s="940">
        <f t="shared" si="1"/>
        <v>0</v>
      </c>
      <c r="G19" s="941"/>
      <c r="H19" s="938">
        <f t="shared" si="2"/>
        <v>0</v>
      </c>
      <c r="I19" s="940">
        <f t="shared" si="3"/>
        <v>0</v>
      </c>
    </row>
    <row r="20" spans="1:9">
      <c r="A20" s="938">
        <f>Application!$B722</f>
        <v>0</v>
      </c>
      <c r="B20" s="946">
        <f>Application!$G722</f>
        <v>0</v>
      </c>
      <c r="C20" s="938">
        <f>Application!$O722</f>
        <v>0</v>
      </c>
      <c r="D20" s="939"/>
      <c r="E20" s="740"/>
      <c r="F20" s="940">
        <f t="shared" si="1"/>
        <v>0</v>
      </c>
      <c r="G20" s="941"/>
      <c r="H20" s="938">
        <f t="shared" si="2"/>
        <v>0</v>
      </c>
      <c r="I20" s="940">
        <f t="shared" si="3"/>
        <v>0</v>
      </c>
    </row>
    <row r="21" spans="1:9">
      <c r="A21" s="938">
        <f>Application!$B723</f>
        <v>0</v>
      </c>
      <c r="B21" s="946">
        <f>Application!$G723</f>
        <v>0</v>
      </c>
      <c r="C21" s="938">
        <f>Application!$O723</f>
        <v>0</v>
      </c>
      <c r="D21" s="939"/>
      <c r="E21" s="740"/>
      <c r="F21" s="940">
        <f t="shared" si="1"/>
        <v>0</v>
      </c>
      <c r="G21" s="941"/>
      <c r="H21" s="938">
        <f t="shared" si="2"/>
        <v>0</v>
      </c>
      <c r="I21" s="940">
        <f t="shared" si="3"/>
        <v>0</v>
      </c>
    </row>
    <row r="22" spans="1:9">
      <c r="A22" s="938">
        <f>Application!$B724</f>
        <v>0</v>
      </c>
      <c r="B22" s="946">
        <f>Application!$G724</f>
        <v>0</v>
      </c>
      <c r="C22" s="938">
        <f>Application!$O724</f>
        <v>0</v>
      </c>
      <c r="D22" s="939"/>
      <c r="E22" s="740"/>
      <c r="F22" s="940">
        <f t="shared" si="1"/>
        <v>0</v>
      </c>
      <c r="G22" s="941"/>
      <c r="H22" s="938">
        <f t="shared" si="2"/>
        <v>0</v>
      </c>
      <c r="I22" s="940">
        <f t="shared" si="3"/>
        <v>0</v>
      </c>
    </row>
    <row r="23" spans="1:9">
      <c r="A23" s="938">
        <f>Application!$B725</f>
        <v>0</v>
      </c>
      <c r="B23" s="946">
        <f>Application!$G725</f>
        <v>0</v>
      </c>
      <c r="C23" s="938">
        <f>Application!$O725</f>
        <v>0</v>
      </c>
      <c r="D23" s="939"/>
      <c r="E23" s="740"/>
      <c r="F23" s="940">
        <f t="shared" si="1"/>
        <v>0</v>
      </c>
      <c r="G23" s="941"/>
      <c r="H23" s="938">
        <f t="shared" si="2"/>
        <v>0</v>
      </c>
      <c r="I23" s="940">
        <f t="shared" si="3"/>
        <v>0</v>
      </c>
    </row>
    <row r="24" spans="1:9">
      <c r="A24" s="938">
        <f>Application!$B726</f>
        <v>0</v>
      </c>
      <c r="B24" s="946">
        <f>Application!$G726</f>
        <v>0</v>
      </c>
      <c r="C24" s="938">
        <f>Application!$O726</f>
        <v>0</v>
      </c>
      <c r="D24" s="939"/>
      <c r="E24" s="740"/>
      <c r="F24" s="940">
        <f t="shared" si="1"/>
        <v>0</v>
      </c>
      <c r="G24" s="941"/>
      <c r="H24" s="938">
        <f t="shared" si="2"/>
        <v>0</v>
      </c>
      <c r="I24" s="940">
        <f t="shared" si="3"/>
        <v>0</v>
      </c>
    </row>
    <row r="25" spans="1:9">
      <c r="A25" s="938">
        <f>Application!$B727</f>
        <v>0</v>
      </c>
      <c r="B25" s="946">
        <f>Application!$G727</f>
        <v>0</v>
      </c>
      <c r="C25" s="938">
        <f>Application!$O727</f>
        <v>0</v>
      </c>
      <c r="D25" s="939"/>
      <c r="E25" s="740"/>
      <c r="F25" s="940">
        <f t="shared" si="1"/>
        <v>0</v>
      </c>
      <c r="G25" s="941"/>
      <c r="H25" s="938">
        <f t="shared" si="2"/>
        <v>0</v>
      </c>
      <c r="I25" s="940">
        <f t="shared" si="3"/>
        <v>0</v>
      </c>
    </row>
    <row r="26" spans="1:9">
      <c r="A26" s="938">
        <f>Application!$B728</f>
        <v>0</v>
      </c>
      <c r="B26" s="946">
        <f>Application!$G728</f>
        <v>0</v>
      </c>
      <c r="C26" s="938">
        <f>Application!$O728</f>
        <v>0</v>
      </c>
      <c r="D26" s="939"/>
      <c r="E26" s="740"/>
      <c r="F26" s="940">
        <f t="shared" si="1"/>
        <v>0</v>
      </c>
      <c r="G26" s="941"/>
      <c r="H26" s="938">
        <f t="shared" si="2"/>
        <v>0</v>
      </c>
      <c r="I26" s="940">
        <f t="shared" si="3"/>
        <v>0</v>
      </c>
    </row>
    <row r="27" spans="1:9">
      <c r="A27" s="938">
        <f>Application!$B729</f>
        <v>0</v>
      </c>
      <c r="B27" s="946">
        <f>Application!$G729</f>
        <v>0</v>
      </c>
      <c r="C27" s="938">
        <f>Application!$O729</f>
        <v>0</v>
      </c>
      <c r="D27" s="939"/>
      <c r="E27" s="740"/>
      <c r="F27" s="940">
        <f t="shared" si="1"/>
        <v>0</v>
      </c>
      <c r="G27" s="941"/>
      <c r="H27" s="938">
        <f t="shared" si="2"/>
        <v>0</v>
      </c>
      <c r="I27" s="940">
        <f t="shared" si="3"/>
        <v>0</v>
      </c>
    </row>
    <row r="28" spans="1:9">
      <c r="A28" s="938">
        <f>Application!$B730</f>
        <v>0</v>
      </c>
      <c r="B28" s="946">
        <f>Application!$G730</f>
        <v>0</v>
      </c>
      <c r="C28" s="938">
        <f>Application!$O730</f>
        <v>0</v>
      </c>
      <c r="D28" s="939"/>
      <c r="E28" s="740"/>
      <c r="F28" s="940">
        <f t="shared" si="1"/>
        <v>0</v>
      </c>
      <c r="G28" s="941"/>
      <c r="H28" s="938">
        <f t="shared" si="2"/>
        <v>0</v>
      </c>
      <c r="I28" s="940">
        <f t="shared" si="3"/>
        <v>0</v>
      </c>
    </row>
    <row r="29" spans="1:9">
      <c r="A29" s="934"/>
      <c r="B29" s="934"/>
      <c r="C29" s="939"/>
      <c r="D29" s="939"/>
      <c r="E29" s="939"/>
      <c r="F29" s="939"/>
      <c r="G29" s="941"/>
      <c r="H29" s="939"/>
      <c r="I29" s="934"/>
    </row>
    <row r="30" spans="1:9">
      <c r="A30" s="942" t="s">
        <v>1294</v>
      </c>
      <c r="B30" s="943"/>
      <c r="C30" s="944">
        <f>Application!$T$731*12</f>
        <v>479148</v>
      </c>
      <c r="D30" s="939"/>
      <c r="E30" s="939"/>
      <c r="F30" s="944">
        <f>SUM(F4:F28)*12</f>
        <v>658512</v>
      </c>
      <c r="G30" s="945"/>
      <c r="H30" s="943"/>
      <c r="I30" s="944">
        <f>SUM(I4:I28)*12</f>
        <v>188868</v>
      </c>
    </row>
    <row r="31" spans="1:9">
      <c r="A31" s="942"/>
      <c r="B31" s="943"/>
      <c r="C31" s="945"/>
      <c r="D31" s="939"/>
      <c r="E31" s="939"/>
      <c r="F31" s="945"/>
      <c r="G31" s="945"/>
      <c r="H31" s="943"/>
      <c r="I31" s="945"/>
    </row>
    <row r="32" spans="1:9">
      <c r="A32" s="934" t="s">
        <v>1296</v>
      </c>
      <c r="B32" s="934"/>
      <c r="C32" s="934"/>
      <c r="D32" s="934"/>
      <c r="E32" s="934"/>
      <c r="F32" s="934"/>
      <c r="G32" s="935"/>
      <c r="H32" s="934"/>
      <c r="I32" s="934"/>
    </row>
    <row r="33" spans="1:9">
      <c r="A33" s="934" t="s">
        <v>1298</v>
      </c>
      <c r="B33" s="934"/>
      <c r="C33" s="934"/>
      <c r="D33" s="934"/>
      <c r="E33" s="934"/>
      <c r="F33" s="934"/>
      <c r="G33" s="935"/>
      <c r="H33" s="934"/>
      <c r="I33" s="934"/>
    </row>
    <row r="34" spans="1:9">
      <c r="A34" s="934" t="s">
        <v>1515</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B1"/>
  <sheetViews>
    <sheetView zoomScaleNormal="100" workbookViewId="0"/>
  </sheetViews>
  <sheetFormatPr defaultColWidth="9.1796875" defaultRowHeight="12.5"/>
  <cols>
    <col min="1" max="1" width="25.6328125" style="533" bestFit="1" customWidth="1"/>
    <col min="2" max="2" width="106.81640625" style="533" customWidth="1"/>
    <col min="3" max="16384" width="9.1796875" style="533"/>
  </cols>
  <sheetData>
    <row r="1" spans="1:2" ht="25">
      <c r="A1" s="533" t="s">
        <v>2531</v>
      </c>
      <c r="B1" s="1543" t="s">
        <v>2529</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heetViews>
  <sheetFormatPr defaultColWidth="0" defaultRowHeight="12.5" zeroHeight="1"/>
  <cols>
    <col min="1" max="1" width="161.453125" customWidth="1"/>
    <col min="2" max="16384" width="8.81640625" hidden="1"/>
  </cols>
  <sheetData>
    <row r="1" spans="1:1" s="483" customFormat="1" ht="45" customHeight="1">
      <c r="A1" s="772" t="s">
        <v>1358</v>
      </c>
    </row>
    <row r="2" spans="1:1" ht="15.5">
      <c r="A2" s="770"/>
    </row>
    <row r="3" spans="1:1" ht="15.5">
      <c r="A3" s="771" t="s">
        <v>1353</v>
      </c>
    </row>
    <row r="4" spans="1:1" ht="15.5">
      <c r="A4" s="771" t="s">
        <v>1354</v>
      </c>
    </row>
    <row r="5" spans="1:1" ht="15.5">
      <c r="A5" s="771" t="s">
        <v>1355</v>
      </c>
    </row>
    <row r="6" spans="1:1" ht="15.5">
      <c r="A6" s="771" t="s">
        <v>1356</v>
      </c>
    </row>
    <row r="7" spans="1:1" ht="15.5">
      <c r="A7" s="771" t="s">
        <v>1357</v>
      </c>
    </row>
    <row r="8" spans="1:1" ht="15.5">
      <c r="A8" s="896" t="s">
        <v>1484</v>
      </c>
    </row>
    <row r="9" spans="1:1" ht="15.5">
      <c r="A9" s="771"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53125" style="1267" customWidth="1"/>
    <col min="2" max="2" width="0.81640625" style="1267" customWidth="1"/>
    <col min="3" max="18" width="2.453125" style="1267" customWidth="1"/>
    <col min="19" max="19" width="4" style="1267" customWidth="1"/>
    <col min="20" max="39" width="2.453125" style="1267" customWidth="1"/>
    <col min="40" max="40" width="1.453125" style="1267" customWidth="1"/>
    <col min="41" max="16384" width="2.453125" style="2" hidden="1"/>
  </cols>
  <sheetData>
    <row r="1" spans="1:40" ht="12.75" customHeight="1">
      <c r="A1" s="2300" t="s">
        <v>1216</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3"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229</v>
      </c>
      <c r="F5" s="6"/>
    </row>
    <row r="6" spans="1:40" ht="12.5">
      <c r="B6" s="1126"/>
      <c r="AA6" s="2"/>
    </row>
    <row r="7" spans="1:40" ht="13.75" customHeight="1">
      <c r="B7" s="9"/>
      <c r="C7" s="10"/>
      <c r="D7" s="10"/>
      <c r="E7" s="10"/>
      <c r="F7" s="10"/>
      <c r="G7" s="10"/>
      <c r="H7" s="10"/>
      <c r="I7" s="10"/>
      <c r="J7" s="10"/>
      <c r="K7" s="10"/>
      <c r="L7" s="10"/>
      <c r="M7" s="10"/>
      <c r="N7" s="10"/>
      <c r="O7" s="10"/>
      <c r="P7" s="10"/>
      <c r="Q7" s="10"/>
      <c r="R7" s="10"/>
      <c r="S7" s="10"/>
      <c r="T7" s="2280" t="s">
        <v>1810</v>
      </c>
      <c r="U7" s="2280"/>
      <c r="V7" s="2280"/>
      <c r="W7" s="2280"/>
      <c r="X7" s="2280"/>
      <c r="Y7" s="2280" t="s">
        <v>1973</v>
      </c>
      <c r="Z7" s="2280"/>
      <c r="AA7" s="2280"/>
      <c r="AB7" s="2280"/>
      <c r="AC7" s="2280"/>
      <c r="AD7" s="2280" t="s">
        <v>1511</v>
      </c>
      <c r="AE7" s="2280"/>
      <c r="AF7" s="2280"/>
      <c r="AG7" s="2280"/>
      <c r="AH7" s="2280"/>
      <c r="AI7" s="2280" t="s">
        <v>1974</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
      <c r="B11" s="2277" t="s">
        <v>566</v>
      </c>
      <c r="C11" s="2278"/>
      <c r="D11" s="2278"/>
      <c r="E11" s="2278"/>
      <c r="F11" s="2278"/>
      <c r="G11" s="2278"/>
      <c r="H11" s="2278"/>
      <c r="I11" s="2278"/>
      <c r="J11" s="2278"/>
      <c r="K11" s="2278"/>
      <c r="L11" s="2278"/>
      <c r="M11" s="2278"/>
      <c r="N11" s="2278"/>
      <c r="O11" s="2278"/>
      <c r="P11" s="2278"/>
      <c r="Q11" s="2278"/>
      <c r="R11" s="2278"/>
      <c r="S11" s="2279"/>
      <c r="T11" s="2317">
        <f>IF('Sources and Basis Breakdown'!F105=0,'Sources and Basis Breakdown'!E105,'Sources and Basis Breakdown'!F105)</f>
        <v>32110281</v>
      </c>
      <c r="U11" s="2305"/>
      <c r="V11" s="2305"/>
      <c r="W11" s="2305"/>
      <c r="X11" s="2305"/>
      <c r="Y11" s="2304">
        <f>IF('Sources and Basis Breakdown'!G105+'Sources and Basis Breakdown'!F105='Sources and Basis Breakdown'!E105,'Sources and Basis Breakdown'!G105,0)</f>
        <v>0</v>
      </c>
      <c r="Z11" s="2305"/>
      <c r="AA11" s="2305"/>
      <c r="AB11" s="2305"/>
      <c r="AC11" s="2305"/>
      <c r="AD11" s="2305">
        <f>IF('Sources and Basis Breakdown'!I105=0,'Sources and Basis Breakdown'!H105,'Sources and Basis Breakdown'!I105)</f>
        <v>0</v>
      </c>
      <c r="AE11" s="2305"/>
      <c r="AF11" s="2305"/>
      <c r="AG11" s="2305"/>
      <c r="AH11" s="2305"/>
      <c r="AI11" s="2305">
        <f>IF('Sources and Basis Breakdown'!I105+'Sources and Basis Breakdown'!J105='Sources and Basis Breakdown'!H105,'Sources and Basis Breakdown'!J105,0)</f>
        <v>0</v>
      </c>
      <c r="AJ11" s="2305"/>
      <c r="AK11" s="2305"/>
      <c r="AL11" s="2305"/>
      <c r="AM11" s="2305"/>
    </row>
    <row r="12" spans="1:40" ht="13">
      <c r="B12" s="2310" t="s">
        <v>496</v>
      </c>
      <c r="C12" s="2311"/>
      <c r="D12" s="2311"/>
      <c r="E12" s="2311"/>
      <c r="F12" s="2311"/>
      <c r="G12" s="2311"/>
      <c r="H12" s="2311"/>
      <c r="I12" s="2311"/>
      <c r="J12" s="2311"/>
      <c r="K12" s="2311"/>
      <c r="L12" s="2311"/>
      <c r="M12" s="2311"/>
      <c r="N12" s="2311"/>
      <c r="O12" s="2311"/>
      <c r="P12" s="2311"/>
      <c r="Q12" s="2311"/>
      <c r="R12" s="2311"/>
      <c r="S12" s="2312"/>
      <c r="T12" s="2307"/>
      <c r="U12" s="2308"/>
      <c r="V12" s="2308"/>
      <c r="W12" s="2308"/>
      <c r="X12" s="2309"/>
      <c r="Y12" s="2307"/>
      <c r="Z12" s="2308"/>
      <c r="AA12" s="2308"/>
      <c r="AB12" s="2308"/>
      <c r="AC12" s="2309"/>
      <c r="AD12" s="2307"/>
      <c r="AE12" s="2308"/>
      <c r="AF12" s="2308"/>
      <c r="AG12" s="2308"/>
      <c r="AH12" s="2309"/>
      <c r="AI12" s="2307"/>
      <c r="AJ12" s="2308"/>
      <c r="AK12" s="2308"/>
      <c r="AL12" s="2308"/>
      <c r="AM12" s="2309"/>
    </row>
    <row r="13" spans="1:40" ht="12.5">
      <c r="B13" s="11"/>
      <c r="C13" s="2313" t="s">
        <v>1928</v>
      </c>
      <c r="D13" s="2314"/>
      <c r="E13" s="2314"/>
      <c r="F13" s="2314"/>
      <c r="G13" s="2314"/>
      <c r="H13" s="2314"/>
      <c r="I13" s="2314"/>
      <c r="J13" s="2314"/>
      <c r="K13" s="2314"/>
      <c r="L13" s="2314"/>
      <c r="M13" s="2314"/>
      <c r="N13" s="2314"/>
      <c r="O13" s="2314"/>
      <c r="P13" s="2314"/>
      <c r="Q13" s="2314"/>
      <c r="R13" s="2314"/>
      <c r="S13" s="2315"/>
      <c r="T13" s="2306">
        <f>'Basis &amp; Credits'!T13</f>
        <v>0</v>
      </c>
      <c r="U13" s="2303"/>
      <c r="V13" s="2303"/>
      <c r="W13" s="2303"/>
      <c r="X13" s="2303"/>
      <c r="Y13" s="2306">
        <f>'Basis &amp; Credits'!Y13</f>
        <v>0</v>
      </c>
      <c r="Z13" s="2303"/>
      <c r="AA13" s="2303"/>
      <c r="AB13" s="2303"/>
      <c r="AC13" s="2303"/>
      <c r="AD13" s="2303">
        <f>'Basis &amp; Credits'!AD13</f>
        <v>0</v>
      </c>
      <c r="AE13" s="2303"/>
      <c r="AF13" s="2303"/>
      <c r="AG13" s="2303"/>
      <c r="AH13" s="2303"/>
      <c r="AI13" s="2303">
        <f>'Basis &amp; Credits'!AI13</f>
        <v>0</v>
      </c>
      <c r="AJ13" s="2303"/>
      <c r="AK13" s="2303"/>
      <c r="AL13" s="2303"/>
      <c r="AM13" s="2303"/>
    </row>
    <row r="14" spans="1:40" ht="12.5">
      <c r="B14" s="11"/>
      <c r="C14" s="2314" t="s">
        <v>840</v>
      </c>
      <c r="D14" s="2314"/>
      <c r="E14" s="2314"/>
      <c r="F14" s="2314"/>
      <c r="G14" s="2314"/>
      <c r="H14" s="2314"/>
      <c r="I14" s="2314"/>
      <c r="J14" s="2314"/>
      <c r="K14" s="2314"/>
      <c r="L14" s="2314"/>
      <c r="M14" s="2314"/>
      <c r="N14" s="2314"/>
      <c r="O14" s="2314"/>
      <c r="P14" s="2314"/>
      <c r="Q14" s="2314"/>
      <c r="R14" s="2314"/>
      <c r="S14" s="2315"/>
      <c r="T14" s="1866">
        <f>'Basis &amp; Credits'!T14</f>
        <v>0</v>
      </c>
      <c r="U14" s="1868"/>
      <c r="V14" s="1868"/>
      <c r="W14" s="1868"/>
      <c r="X14" s="1868"/>
      <c r="Y14" s="1866">
        <f>'Basis &amp; Credits'!Y14</f>
        <v>0</v>
      </c>
      <c r="Z14" s="1868"/>
      <c r="AA14" s="1868"/>
      <c r="AB14" s="1868"/>
      <c r="AC14" s="1868"/>
      <c r="AD14" s="1868">
        <f>'Basis &amp; Credits'!AD14</f>
        <v>0</v>
      </c>
      <c r="AE14" s="1868"/>
      <c r="AF14" s="1868"/>
      <c r="AG14" s="1868"/>
      <c r="AH14" s="1868"/>
      <c r="AI14" s="1868">
        <f>'Basis &amp; Credits'!AI14</f>
        <v>0</v>
      </c>
      <c r="AJ14" s="1868"/>
      <c r="AK14" s="1868"/>
      <c r="AL14" s="1868"/>
      <c r="AM14" s="1868"/>
    </row>
    <row r="15" spans="1:40" ht="12.5">
      <c r="B15" s="11"/>
      <c r="C15" s="2314" t="s">
        <v>841</v>
      </c>
      <c r="D15" s="2314"/>
      <c r="E15" s="2314"/>
      <c r="F15" s="2314"/>
      <c r="G15" s="2314"/>
      <c r="H15" s="2314"/>
      <c r="I15" s="2314"/>
      <c r="J15" s="2314"/>
      <c r="K15" s="2314"/>
      <c r="L15" s="2314"/>
      <c r="M15" s="2314"/>
      <c r="N15" s="2314"/>
      <c r="O15" s="2314"/>
      <c r="P15" s="2314"/>
      <c r="Q15" s="2314"/>
      <c r="R15" s="2314"/>
      <c r="S15" s="2315"/>
      <c r="T15" s="1866">
        <f>'Basis &amp; Credits'!T15</f>
        <v>0</v>
      </c>
      <c r="U15" s="1868"/>
      <c r="V15" s="1868"/>
      <c r="W15" s="1868"/>
      <c r="X15" s="1868"/>
      <c r="Y15" s="1866">
        <f>'Basis &amp; Credits'!Y15</f>
        <v>0</v>
      </c>
      <c r="Z15" s="1868"/>
      <c r="AA15" s="1868"/>
      <c r="AB15" s="1868"/>
      <c r="AC15" s="1868"/>
      <c r="AD15" s="1868">
        <f>'Basis &amp; Credits'!AD15</f>
        <v>0</v>
      </c>
      <c r="AE15" s="1868"/>
      <c r="AF15" s="1868"/>
      <c r="AG15" s="1868"/>
      <c r="AH15" s="1868"/>
      <c r="AI15" s="1868">
        <f>'Basis &amp; Credits'!AI15</f>
        <v>0</v>
      </c>
      <c r="AJ15" s="1868"/>
      <c r="AK15" s="1868"/>
      <c r="AL15" s="1868"/>
      <c r="AM15" s="1868"/>
    </row>
    <row r="16" spans="1:40" ht="12.5">
      <c r="B16" s="11"/>
      <c r="C16" s="2313" t="s">
        <v>1116</v>
      </c>
      <c r="D16" s="2313"/>
      <c r="E16" s="2313"/>
      <c r="F16" s="2313"/>
      <c r="G16" s="2313"/>
      <c r="H16" s="2313"/>
      <c r="I16" s="2313"/>
      <c r="J16" s="2313"/>
      <c r="K16" s="2313"/>
      <c r="L16" s="2313"/>
      <c r="M16" s="2313"/>
      <c r="N16" s="2313"/>
      <c r="O16" s="2313"/>
      <c r="P16" s="2313"/>
      <c r="Q16" s="2313"/>
      <c r="R16" s="2313"/>
      <c r="S16" s="2316"/>
      <c r="T16" s="1866">
        <f>'Basis &amp; Credits'!T16</f>
        <v>0</v>
      </c>
      <c r="U16" s="1868"/>
      <c r="V16" s="1868"/>
      <c r="W16" s="1868"/>
      <c r="X16" s="1868"/>
      <c r="Y16" s="1866">
        <f>'Basis &amp; Credits'!Y16</f>
        <v>0</v>
      </c>
      <c r="Z16" s="1868"/>
      <c r="AA16" s="1868"/>
      <c r="AB16" s="1868"/>
      <c r="AC16" s="1868"/>
      <c r="AD16" s="1868">
        <f>'Basis &amp; Credits'!AD16</f>
        <v>0</v>
      </c>
      <c r="AE16" s="1868"/>
      <c r="AF16" s="1868"/>
      <c r="AG16" s="1868"/>
      <c r="AH16" s="1868"/>
      <c r="AI16" s="1868">
        <f>'Basis &amp; Credits'!AI16</f>
        <v>0</v>
      </c>
      <c r="AJ16" s="1868"/>
      <c r="AK16" s="1868"/>
      <c r="AL16" s="1868"/>
      <c r="AM16" s="1868"/>
    </row>
    <row r="17" spans="1:39" ht="12.5">
      <c r="B17" s="11"/>
      <c r="C17" s="2314" t="s">
        <v>842</v>
      </c>
      <c r="D17" s="2314"/>
      <c r="E17" s="2314"/>
      <c r="F17" s="2314"/>
      <c r="G17" s="2314"/>
      <c r="H17" s="2314"/>
      <c r="I17" s="2314"/>
      <c r="J17" s="2314"/>
      <c r="K17" s="2314"/>
      <c r="L17" s="2314"/>
      <c r="M17" s="2314"/>
      <c r="N17" s="2314"/>
      <c r="O17" s="2314"/>
      <c r="P17" s="2314"/>
      <c r="Q17" s="2314"/>
      <c r="R17" s="2314"/>
      <c r="S17" s="2315"/>
      <c r="T17" s="1866">
        <f>'Basis &amp; Credits'!T17</f>
        <v>0</v>
      </c>
      <c r="U17" s="1868"/>
      <c r="V17" s="1868"/>
      <c r="W17" s="1868"/>
      <c r="X17" s="1868"/>
      <c r="Y17" s="1866">
        <f>'Basis &amp; Credits'!Y17</f>
        <v>0</v>
      </c>
      <c r="Z17" s="1868"/>
      <c r="AA17" s="1868"/>
      <c r="AB17" s="1868"/>
      <c r="AC17" s="1868"/>
      <c r="AD17" s="1868">
        <f>'Basis &amp; Credits'!AD17</f>
        <v>0</v>
      </c>
      <c r="AE17" s="1868"/>
      <c r="AF17" s="1868"/>
      <c r="AG17" s="1868"/>
      <c r="AH17" s="1868"/>
      <c r="AI17" s="1868">
        <f>'Basis &amp; Credits'!AI17</f>
        <v>0</v>
      </c>
      <c r="AJ17" s="1868"/>
      <c r="AK17" s="1868"/>
      <c r="AL17" s="1868"/>
      <c r="AM17" s="1868"/>
    </row>
    <row r="18" spans="1:39" ht="12.5">
      <c r="B18" s="928"/>
      <c r="C18" s="2313" t="s">
        <v>1516</v>
      </c>
      <c r="D18" s="2314"/>
      <c r="E18" s="2314"/>
      <c r="F18" s="2314"/>
      <c r="G18" s="2314"/>
      <c r="H18" s="2314"/>
      <c r="I18" s="2314"/>
      <c r="J18" s="2314"/>
      <c r="K18" s="2314"/>
      <c r="L18" s="2314"/>
      <c r="M18" s="2314"/>
      <c r="N18" s="2314"/>
      <c r="O18" s="2314"/>
      <c r="P18" s="2314"/>
      <c r="Q18" s="2314"/>
      <c r="R18" s="2314"/>
      <c r="S18" s="2315"/>
      <c r="T18" s="1864">
        <f>'Basis &amp; Credits'!T18</f>
        <v>0</v>
      </c>
      <c r="U18" s="1865"/>
      <c r="V18" s="1865"/>
      <c r="W18" s="1865"/>
      <c r="X18" s="1866"/>
      <c r="Y18" s="1866">
        <f>'Basis &amp; Credits'!Y18</f>
        <v>0</v>
      </c>
      <c r="Z18" s="1868"/>
      <c r="AA18" s="1868"/>
      <c r="AB18" s="1868"/>
      <c r="AC18" s="1868"/>
      <c r="AD18" s="1868">
        <f>'Basis &amp; Credits'!AD18</f>
        <v>0</v>
      </c>
      <c r="AE18" s="1868"/>
      <c r="AF18" s="1868"/>
      <c r="AG18" s="1868"/>
      <c r="AH18" s="1868"/>
      <c r="AI18" s="1868">
        <f>'Basis &amp; Credits'!AI18</f>
        <v>0</v>
      </c>
      <c r="AJ18" s="1868"/>
      <c r="AK18" s="1868"/>
      <c r="AL18" s="1868"/>
      <c r="AM18" s="1868"/>
    </row>
    <row r="19" spans="1:39" ht="12.5">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866">
        <f>'Basis &amp; Credits'!T19</f>
        <v>0</v>
      </c>
      <c r="U19" s="1868"/>
      <c r="V19" s="1868"/>
      <c r="W19" s="1868"/>
      <c r="X19" s="1868"/>
      <c r="Y19" s="1866">
        <f>'Basis &amp; Credits'!Y19</f>
        <v>0</v>
      </c>
      <c r="Z19" s="1868"/>
      <c r="AA19" s="1868"/>
      <c r="AB19" s="1868"/>
      <c r="AC19" s="1868"/>
      <c r="AD19" s="1868">
        <f>'Basis &amp; Credits'!AD19</f>
        <v>0</v>
      </c>
      <c r="AE19" s="1868"/>
      <c r="AF19" s="1868"/>
      <c r="AG19" s="1868"/>
      <c r="AH19" s="1868"/>
      <c r="AI19" s="1868">
        <f>'Basis &amp; Credits'!AI19</f>
        <v>0</v>
      </c>
      <c r="AJ19" s="1868"/>
      <c r="AK19" s="1868"/>
      <c r="AL19" s="1868"/>
      <c r="AM19" s="1868"/>
    </row>
    <row r="20" spans="1:39" ht="13">
      <c r="B20" s="2277" t="s">
        <v>843</v>
      </c>
      <c r="C20" s="2278"/>
      <c r="D20" s="2278"/>
      <c r="E20" s="2278"/>
      <c r="F20" s="2278"/>
      <c r="G20" s="2278"/>
      <c r="H20" s="2278"/>
      <c r="I20" s="2278"/>
      <c r="J20" s="2278"/>
      <c r="K20" s="2278"/>
      <c r="L20" s="2278"/>
      <c r="M20" s="2278"/>
      <c r="N20" s="2278"/>
      <c r="O20" s="2278"/>
      <c r="P20" s="2278"/>
      <c r="Q20" s="2278"/>
      <c r="R20" s="2278"/>
      <c r="S20" s="2279"/>
      <c r="T20" s="2272">
        <f>SUM(T13:X19)</f>
        <v>0</v>
      </c>
      <c r="U20" s="2273"/>
      <c r="V20" s="2273"/>
      <c r="W20" s="2273"/>
      <c r="X20" s="2273"/>
      <c r="Y20" s="2272">
        <f>SUM(Y13:AC19)</f>
        <v>0</v>
      </c>
      <c r="Z20" s="2273"/>
      <c r="AA20" s="2273"/>
      <c r="AB20" s="2273"/>
      <c r="AC20" s="2273"/>
      <c r="AD20" s="2273">
        <f>SUM(AD13:AH19)</f>
        <v>0</v>
      </c>
      <c r="AE20" s="2273"/>
      <c r="AF20" s="2273"/>
      <c r="AG20" s="2273"/>
      <c r="AH20" s="2273"/>
      <c r="AI20" s="2273">
        <f>SUM(AI13:AM19)</f>
        <v>0</v>
      </c>
      <c r="AJ20" s="2273"/>
      <c r="AK20" s="2273"/>
      <c r="AL20" s="2273"/>
      <c r="AM20" s="2273"/>
    </row>
    <row r="21" spans="1:39" ht="13">
      <c r="B21" s="2277" t="s">
        <v>1927</v>
      </c>
      <c r="C21" s="2278"/>
      <c r="D21" s="2278"/>
      <c r="E21" s="2278"/>
      <c r="F21" s="2278"/>
      <c r="G21" s="2278"/>
      <c r="H21" s="2278"/>
      <c r="I21" s="2278"/>
      <c r="J21" s="2278"/>
      <c r="K21" s="2278"/>
      <c r="L21" s="2278"/>
      <c r="M21" s="2278"/>
      <c r="N21" s="2278"/>
      <c r="O21" s="2278"/>
      <c r="P21" s="2278"/>
      <c r="Q21" s="2278"/>
      <c r="R21" s="2278"/>
      <c r="S21" s="2279"/>
      <c r="T21" s="1866">
        <f>'Basis &amp; Credits'!E21</f>
        <v>0</v>
      </c>
      <c r="U21" s="1868"/>
      <c r="V21" s="1868"/>
      <c r="W21" s="1868"/>
      <c r="X21" s="1868"/>
      <c r="Y21" s="1866">
        <f>'Basis &amp; Credits'!J21</f>
        <v>0</v>
      </c>
      <c r="Z21" s="1868"/>
      <c r="AA21" s="1868"/>
      <c r="AB21" s="1868"/>
      <c r="AC21" s="1868"/>
      <c r="AD21" s="1868">
        <f>'Basis &amp; Credits'!O21</f>
        <v>0</v>
      </c>
      <c r="AE21" s="1868"/>
      <c r="AF21" s="1868"/>
      <c r="AG21" s="1868"/>
      <c r="AH21" s="1868"/>
      <c r="AI21" s="1868">
        <f>'Basis &amp; Credits'!T21</f>
        <v>14819851</v>
      </c>
      <c r="AJ21" s="1868"/>
      <c r="AK21" s="1868"/>
      <c r="AL21" s="1868"/>
      <c r="AM21" s="1868"/>
    </row>
    <row r="22" spans="1:39" ht="13">
      <c r="B22" s="2277" t="s">
        <v>844</v>
      </c>
      <c r="C22" s="2278"/>
      <c r="D22" s="2278"/>
      <c r="E22" s="2278"/>
      <c r="F22" s="2278"/>
      <c r="G22" s="2278"/>
      <c r="H22" s="2278"/>
      <c r="I22" s="2278"/>
      <c r="J22" s="2278"/>
      <c r="K22" s="2278"/>
      <c r="L22" s="2278"/>
      <c r="M22" s="2278"/>
      <c r="N22" s="2278"/>
      <c r="O22" s="2278"/>
      <c r="P22" s="2278"/>
      <c r="Q22" s="2278"/>
      <c r="R22" s="2278"/>
      <c r="S22" s="2279"/>
      <c r="T22" s="2318">
        <f>(T20+T21)*-1</f>
        <v>0</v>
      </c>
      <c r="U22" s="2319"/>
      <c r="V22" s="2319"/>
      <c r="W22" s="2319"/>
      <c r="X22" s="2319"/>
      <c r="Y22" s="2318">
        <f>(Y20+Y21)*-1</f>
        <v>0</v>
      </c>
      <c r="Z22" s="2319"/>
      <c r="AA22" s="2319"/>
      <c r="AB22" s="2319"/>
      <c r="AC22" s="2319"/>
      <c r="AD22" s="2318">
        <f>(AD20+AD21)*-1</f>
        <v>0</v>
      </c>
      <c r="AE22" s="2319"/>
      <c r="AF22" s="2319"/>
      <c r="AG22" s="2319"/>
      <c r="AH22" s="2319"/>
      <c r="AI22" s="2318">
        <f>(AI20+AI21)*-1</f>
        <v>-14819851</v>
      </c>
      <c r="AJ22" s="2319"/>
      <c r="AK22" s="2319"/>
      <c r="AL22" s="2319"/>
      <c r="AM22" s="2319"/>
    </row>
    <row r="23" spans="1:39" ht="13">
      <c r="A23" s="2"/>
      <c r="B23" s="2335" t="s">
        <v>845</v>
      </c>
      <c r="C23" s="2336"/>
      <c r="D23" s="2336"/>
      <c r="E23" s="2336"/>
      <c r="F23" s="2336"/>
      <c r="G23" s="2336"/>
      <c r="H23" s="2336"/>
      <c r="I23" s="2336"/>
      <c r="J23" s="2336"/>
      <c r="K23" s="2336"/>
      <c r="L23" s="2336"/>
      <c r="M23" s="2336"/>
      <c r="N23" s="2336"/>
      <c r="O23" s="2336"/>
      <c r="P23" s="2336"/>
      <c r="Q23" s="2336"/>
      <c r="R23" s="2336"/>
      <c r="S23" s="2337"/>
      <c r="T23" s="2272">
        <f>T11+T22</f>
        <v>32110281</v>
      </c>
      <c r="U23" s="2273"/>
      <c r="V23" s="2273"/>
      <c r="W23" s="2273"/>
      <c r="X23" s="2273"/>
      <c r="Y23" s="2272">
        <f>Y11+Y22</f>
        <v>0</v>
      </c>
      <c r="Z23" s="2273"/>
      <c r="AA23" s="2273"/>
      <c r="AB23" s="2273"/>
      <c r="AC23" s="2273"/>
      <c r="AD23" s="2272">
        <f>AD11+AD22</f>
        <v>0</v>
      </c>
      <c r="AE23" s="2273"/>
      <c r="AF23" s="2273"/>
      <c r="AG23" s="2273"/>
      <c r="AH23" s="2273"/>
      <c r="AI23" s="2272">
        <f>AI11+AI22</f>
        <v>-14819851</v>
      </c>
      <c r="AJ23" s="2273"/>
      <c r="AK23" s="2273"/>
      <c r="AL23" s="2273"/>
      <c r="AM23" s="2273"/>
    </row>
    <row r="24" spans="1:39" ht="13">
      <c r="B24" s="2277" t="s">
        <v>1348</v>
      </c>
      <c r="C24" s="2278"/>
      <c r="D24" s="2278"/>
      <c r="E24" s="2278"/>
      <c r="F24" s="2278"/>
      <c r="G24" s="2278"/>
      <c r="H24" s="2278"/>
      <c r="I24" s="2278"/>
      <c r="J24" s="2278"/>
      <c r="K24" s="2278"/>
      <c r="L24" s="2278"/>
      <c r="M24" s="2278"/>
      <c r="N24" s="2278"/>
      <c r="O24" s="2278"/>
      <c r="P24" s="2278"/>
      <c r="Q24" s="2278"/>
      <c r="R24" s="2278"/>
      <c r="S24" s="2279"/>
      <c r="T24" s="2338">
        <f>Application!AD993</f>
        <v>0</v>
      </c>
      <c r="U24" s="2339"/>
      <c r="V24" s="2339"/>
      <c r="W24" s="2339"/>
      <c r="X24" s="2339"/>
      <c r="Y24" s="2339"/>
      <c r="Z24" s="2339"/>
      <c r="AA24" s="2339"/>
      <c r="AB24" s="2339"/>
      <c r="AC24" s="2339"/>
      <c r="AD24" s="2339"/>
      <c r="AE24" s="2339"/>
      <c r="AF24" s="2339"/>
      <c r="AG24" s="2339"/>
      <c r="AH24" s="2339"/>
      <c r="AI24" s="2339"/>
      <c r="AJ24" s="2339"/>
      <c r="AK24" s="2339"/>
      <c r="AL24" s="2339"/>
      <c r="AM24" s="2272"/>
    </row>
    <row r="25" spans="1:39" ht="12.5">
      <c r="B25" s="2329" t="s">
        <v>1972</v>
      </c>
      <c r="C25" s="2330"/>
      <c r="D25" s="2330"/>
      <c r="E25" s="2330"/>
      <c r="F25" s="2330"/>
      <c r="G25" s="2330"/>
      <c r="H25" s="2330"/>
      <c r="I25" s="2330"/>
      <c r="J25" s="2330"/>
      <c r="K25" s="2330"/>
      <c r="L25" s="2330"/>
      <c r="M25" s="2330"/>
      <c r="N25" s="2330"/>
      <c r="O25" s="2330"/>
      <c r="P25" s="2330"/>
      <c r="Q25" s="2330"/>
      <c r="R25" s="2330"/>
      <c r="S25" s="2331"/>
      <c r="T25" s="2320">
        <v>1</v>
      </c>
      <c r="U25" s="2321"/>
      <c r="V25" s="2321"/>
      <c r="W25" s="2321"/>
      <c r="X25" s="2324"/>
      <c r="Y25" s="2320">
        <v>1</v>
      </c>
      <c r="Z25" s="2321"/>
      <c r="AA25" s="2321"/>
      <c r="AB25" s="2321"/>
      <c r="AC25" s="2324"/>
      <c r="AD25" s="2320">
        <v>1</v>
      </c>
      <c r="AE25" s="2321"/>
      <c r="AF25" s="2321"/>
      <c r="AG25" s="2321"/>
      <c r="AH25" s="2324"/>
      <c r="AI25" s="2320">
        <v>1</v>
      </c>
      <c r="AJ25" s="2321"/>
      <c r="AK25" s="2321"/>
      <c r="AL25" s="2321"/>
      <c r="AM25" s="2324"/>
    </row>
    <row r="26" spans="1:39" ht="13">
      <c r="B26" s="2277" t="s">
        <v>846</v>
      </c>
      <c r="C26" s="2278"/>
      <c r="D26" s="2278"/>
      <c r="E26" s="2278"/>
      <c r="F26" s="2278"/>
      <c r="G26" s="2278"/>
      <c r="H26" s="2278"/>
      <c r="I26" s="2278"/>
      <c r="J26" s="2278"/>
      <c r="K26" s="2278"/>
      <c r="L26" s="2278"/>
      <c r="M26" s="2278"/>
      <c r="N26" s="2278"/>
      <c r="O26" s="2278"/>
      <c r="P26" s="2278"/>
      <c r="Q26" s="2278"/>
      <c r="R26" s="2278"/>
      <c r="S26" s="2279"/>
      <c r="T26" s="2325">
        <f>T23*T25</f>
        <v>32110281</v>
      </c>
      <c r="U26" s="2326"/>
      <c r="V26" s="2326"/>
      <c r="W26" s="2326"/>
      <c r="X26" s="2326"/>
      <c r="Y26" s="2325">
        <f>Y23*Y25</f>
        <v>0</v>
      </c>
      <c r="Z26" s="2326"/>
      <c r="AA26" s="2326"/>
      <c r="AB26" s="2326"/>
      <c r="AC26" s="2326"/>
      <c r="AD26" s="2325">
        <f>AD23*AD25</f>
        <v>0</v>
      </c>
      <c r="AE26" s="2326"/>
      <c r="AF26" s="2326"/>
      <c r="AG26" s="2326"/>
      <c r="AH26" s="2326"/>
      <c r="AI26" s="2325">
        <f>AI23*AI25</f>
        <v>-14819851</v>
      </c>
      <c r="AJ26" s="2326"/>
      <c r="AK26" s="2326"/>
      <c r="AL26" s="2326"/>
      <c r="AM26" s="2326"/>
    </row>
    <row r="27" spans="1:39" ht="12.5">
      <c r="A27" s="7"/>
      <c r="B27" s="2332" t="s">
        <v>977</v>
      </c>
      <c r="C27" s="2333"/>
      <c r="D27" s="2333"/>
      <c r="E27" s="2333"/>
      <c r="F27" s="2333"/>
      <c r="G27" s="2333"/>
      <c r="H27" s="2333"/>
      <c r="I27" s="2333"/>
      <c r="J27" s="2333"/>
      <c r="K27" s="2333"/>
      <c r="L27" s="2333"/>
      <c r="M27" s="2333"/>
      <c r="N27" s="2333"/>
      <c r="O27" s="2333"/>
      <c r="P27" s="2333"/>
      <c r="Q27" s="2333"/>
      <c r="R27" s="2333"/>
      <c r="S27" s="2334"/>
      <c r="T27" s="2322">
        <f>Application!AG438</f>
        <v>1</v>
      </c>
      <c r="U27" s="2323"/>
      <c r="V27" s="2323"/>
      <c r="W27" s="2323"/>
      <c r="X27" s="2323"/>
      <c r="Y27" s="2322">
        <f>Application!AG438</f>
        <v>1</v>
      </c>
      <c r="Z27" s="2323"/>
      <c r="AA27" s="2323"/>
      <c r="AB27" s="2323"/>
      <c r="AC27" s="2323"/>
      <c r="AD27" s="2322">
        <f>Application!AG438</f>
        <v>1</v>
      </c>
      <c r="AE27" s="2323"/>
      <c r="AF27" s="2323"/>
      <c r="AG27" s="2323"/>
      <c r="AH27" s="2323"/>
      <c r="AI27" s="2322">
        <f>Application!AG438</f>
        <v>1</v>
      </c>
      <c r="AJ27" s="2323"/>
      <c r="AK27" s="2323"/>
      <c r="AL27" s="2323"/>
      <c r="AM27" s="2323"/>
    </row>
    <row r="28" spans="1:39" ht="12.75" customHeight="1">
      <c r="A28" s="6"/>
      <c r="B28" s="2277" t="s">
        <v>924</v>
      </c>
      <c r="C28" s="2278"/>
      <c r="D28" s="2278"/>
      <c r="E28" s="2278"/>
      <c r="F28" s="2278"/>
      <c r="G28" s="2278"/>
      <c r="H28" s="2278"/>
      <c r="I28" s="2278"/>
      <c r="J28" s="2278"/>
      <c r="K28" s="2278"/>
      <c r="L28" s="2278"/>
      <c r="M28" s="2278"/>
      <c r="N28" s="2278"/>
      <c r="O28" s="2278"/>
      <c r="P28" s="2278"/>
      <c r="Q28" s="2278"/>
      <c r="R28" s="2278"/>
      <c r="S28" s="2279"/>
      <c r="T28" s="1738">
        <f>IF(ISERROR((T26*T27)),0,(T26*T27))</f>
        <v>32110281</v>
      </c>
      <c r="U28" s="2294"/>
      <c r="V28" s="2294"/>
      <c r="W28" s="2294"/>
      <c r="X28" s="2294"/>
      <c r="Y28" s="1738">
        <f>IF(ISERROR((Y26*Y27)),0,(Y26*Y27))</f>
        <v>0</v>
      </c>
      <c r="Z28" s="2294"/>
      <c r="AA28" s="2294"/>
      <c r="AB28" s="2294"/>
      <c r="AC28" s="2294"/>
      <c r="AD28" s="1738">
        <f>IF(ISERROR((AD26*AD27)),0,(AD26*AD27))</f>
        <v>0</v>
      </c>
      <c r="AE28" s="2294"/>
      <c r="AF28" s="2294"/>
      <c r="AG28" s="2294"/>
      <c r="AH28" s="2294"/>
      <c r="AI28" s="1738">
        <f>IF(ISERROR((AI26*AI27)),0,(AI26*AI27))</f>
        <v>-14819851</v>
      </c>
      <c r="AJ28" s="2294"/>
      <c r="AK28" s="2294"/>
      <c r="AL28" s="2294"/>
      <c r="AM28" s="2294"/>
    </row>
    <row r="29" spans="1:39" ht="13">
      <c r="B29" s="2277" t="s">
        <v>688</v>
      </c>
      <c r="C29" s="2278"/>
      <c r="D29" s="2278"/>
      <c r="E29" s="2278"/>
      <c r="F29" s="2278"/>
      <c r="G29" s="2278"/>
      <c r="H29" s="2278"/>
      <c r="I29" s="2278"/>
      <c r="J29" s="2278"/>
      <c r="K29" s="2278"/>
      <c r="L29" s="2278"/>
      <c r="M29" s="2278"/>
      <c r="N29" s="2278"/>
      <c r="O29" s="2278"/>
      <c r="P29" s="2278"/>
      <c r="Q29" s="2278"/>
      <c r="R29" s="2278"/>
      <c r="S29" s="2279"/>
      <c r="T29" s="2338">
        <f>T28+Y28+AD28+AI28</f>
        <v>17290430</v>
      </c>
      <c r="U29" s="2339"/>
      <c r="V29" s="2339"/>
      <c r="W29" s="2339"/>
      <c r="X29" s="2339"/>
      <c r="Y29" s="2339"/>
      <c r="Z29" s="2339"/>
      <c r="AA29" s="2339"/>
      <c r="AB29" s="2339"/>
      <c r="AC29" s="2339"/>
      <c r="AD29" s="2339"/>
      <c r="AE29" s="2339"/>
      <c r="AF29" s="2339"/>
      <c r="AG29" s="2339"/>
      <c r="AH29" s="2339"/>
      <c r="AI29" s="2339"/>
      <c r="AJ29" s="2339"/>
      <c r="AK29" s="2339"/>
      <c r="AL29" s="2339"/>
      <c r="AM29" s="2272"/>
    </row>
    <row r="30" spans="1:39" ht="12.75" customHeight="1">
      <c r="B30" s="2720"/>
      <c r="C30" s="2720"/>
      <c r="D30" s="2720"/>
      <c r="E30" s="2720"/>
      <c r="F30" s="2720"/>
      <c r="G30" s="2720"/>
      <c r="H30" s="2720"/>
      <c r="I30" s="2720"/>
      <c r="J30" s="2720"/>
      <c r="K30" s="2720"/>
      <c r="L30" s="2720"/>
      <c r="M30" s="2720"/>
      <c r="N30" s="2720"/>
      <c r="O30" s="2720"/>
      <c r="P30" s="2720"/>
      <c r="Q30" s="2720"/>
      <c r="R30" s="2720"/>
      <c r="S30" s="2720"/>
      <c r="T30" s="2720"/>
      <c r="U30" s="2720"/>
      <c r="V30" s="2720"/>
      <c r="W30" s="2720"/>
      <c r="X30" s="2720"/>
      <c r="Y30" s="2720"/>
      <c r="Z30" s="2720"/>
      <c r="AA30" s="2720"/>
      <c r="AB30" s="2720"/>
      <c r="AC30" s="2720"/>
      <c r="AD30" s="2720"/>
      <c r="AE30" s="2720"/>
      <c r="AF30" s="2720"/>
      <c r="AG30" s="2720"/>
      <c r="AH30" s="2720"/>
      <c r="AI30" s="2720"/>
      <c r="AJ30" s="2720"/>
      <c r="AK30" s="2720"/>
      <c r="AL30" s="2720"/>
      <c r="AM30" s="2720"/>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262" t="s">
        <v>46</v>
      </c>
      <c r="AE35" s="2262"/>
      <c r="AF35" s="2262"/>
      <c r="AG35" s="2262"/>
      <c r="AH35" s="226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262"/>
      <c r="AE36" s="2262"/>
      <c r="AF36" s="2262"/>
      <c r="AG36" s="2262"/>
      <c r="AH36" s="2262"/>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262"/>
      <c r="AE37" s="2262"/>
      <c r="AF37" s="2262"/>
      <c r="AG37" s="2262"/>
      <c r="AH37" s="2262"/>
    </row>
    <row r="38" spans="1:40" ht="12.75" customHeight="1">
      <c r="A38" s="6"/>
      <c r="B38" s="2277" t="s">
        <v>924</v>
      </c>
      <c r="C38" s="2278"/>
      <c r="D38" s="2278"/>
      <c r="E38" s="2278"/>
      <c r="F38" s="2278"/>
      <c r="G38" s="2278"/>
      <c r="H38" s="2278"/>
      <c r="I38" s="2278"/>
      <c r="J38" s="2278"/>
      <c r="K38" s="2278"/>
      <c r="L38" s="2278"/>
      <c r="M38" s="2278"/>
      <c r="N38" s="2278"/>
      <c r="O38" s="2278"/>
      <c r="P38" s="2278"/>
      <c r="Q38" s="2278"/>
      <c r="R38" s="2278"/>
      <c r="S38" s="2278"/>
      <c r="T38" s="2278"/>
      <c r="U38" s="2278"/>
      <c r="V38" s="2278"/>
      <c r="W38" s="2278"/>
      <c r="X38" s="2279"/>
      <c r="Y38" s="2273">
        <f>IF(T24&gt;=(T23+Y23+AD23+AI23),T28+Y28,0)</f>
        <v>0</v>
      </c>
      <c r="Z38" s="2273"/>
      <c r="AA38" s="2273"/>
      <c r="AB38" s="2273"/>
      <c r="AC38" s="2273"/>
      <c r="AD38" s="2273">
        <f>IF(T24&gt;=(T23+Y23+AD23+AI23),AD28+AI28,0)</f>
        <v>0</v>
      </c>
      <c r="AE38" s="2273"/>
      <c r="AF38" s="2273"/>
      <c r="AG38" s="2273"/>
      <c r="AH38" s="2273"/>
    </row>
    <row r="39" spans="1:40" ht="13">
      <c r="B39" s="2277" t="s">
        <v>836</v>
      </c>
      <c r="C39" s="2278"/>
      <c r="D39" s="2278"/>
      <c r="E39" s="2278"/>
      <c r="F39" s="2278"/>
      <c r="G39" s="2278"/>
      <c r="H39" s="2278"/>
      <c r="I39" s="2278"/>
      <c r="J39" s="2278"/>
      <c r="K39" s="2278"/>
      <c r="L39" s="2278"/>
      <c r="M39" s="2278"/>
      <c r="N39" s="2278"/>
      <c r="O39" s="2278"/>
      <c r="P39" s="2278"/>
      <c r="Q39" s="2278"/>
      <c r="R39" s="2278"/>
      <c r="S39" s="2278"/>
      <c r="T39" s="2278"/>
      <c r="U39" s="2278"/>
      <c r="V39" s="2278"/>
      <c r="W39" s="2278"/>
      <c r="X39" s="2279"/>
      <c r="Y39" s="2271">
        <v>0.09</v>
      </c>
      <c r="Z39" s="2271"/>
      <c r="AA39" s="2271"/>
      <c r="AB39" s="2271"/>
      <c r="AC39" s="2271"/>
      <c r="AD39" s="2271">
        <f>'Basis &amp; Credits'!AD39:AH39</f>
        <v>0.04</v>
      </c>
      <c r="AE39" s="2271"/>
      <c r="AF39" s="2271"/>
      <c r="AG39" s="2271"/>
      <c r="AH39" s="2271"/>
    </row>
    <row r="40" spans="1:40" ht="12.75" customHeight="1">
      <c r="A40" s="6"/>
      <c r="B40" s="2277" t="s">
        <v>26</v>
      </c>
      <c r="C40" s="2278"/>
      <c r="D40" s="2278"/>
      <c r="E40" s="2278"/>
      <c r="F40" s="2278"/>
      <c r="G40" s="2278"/>
      <c r="H40" s="2278"/>
      <c r="I40" s="2278"/>
      <c r="J40" s="2278"/>
      <c r="K40" s="2278"/>
      <c r="L40" s="2278"/>
      <c r="M40" s="2278"/>
      <c r="N40" s="2278"/>
      <c r="O40" s="2278"/>
      <c r="P40" s="2278"/>
      <c r="Q40" s="2278"/>
      <c r="R40" s="2278"/>
      <c r="S40" s="2278"/>
      <c r="T40" s="2278"/>
      <c r="U40" s="2278"/>
      <c r="V40" s="2278"/>
      <c r="W40" s="2278"/>
      <c r="X40" s="2279"/>
      <c r="Y40" s="2273">
        <f>ROUND(Y38*Y39,0)</f>
        <v>0</v>
      </c>
      <c r="Z40" s="2273"/>
      <c r="AA40" s="2273"/>
      <c r="AB40" s="2273"/>
      <c r="AC40" s="2273"/>
      <c r="AD40" s="2272">
        <f>ROUND(AD38*AD39,0)</f>
        <v>0</v>
      </c>
      <c r="AE40" s="2273"/>
      <c r="AF40" s="2273"/>
      <c r="AG40" s="2273"/>
      <c r="AH40" s="2273"/>
    </row>
    <row r="41" spans="1:40" ht="13">
      <c r="B41" s="2277" t="s">
        <v>682</v>
      </c>
      <c r="C41" s="2278"/>
      <c r="D41" s="2278"/>
      <c r="E41" s="2278"/>
      <c r="F41" s="2278"/>
      <c r="G41" s="2278"/>
      <c r="H41" s="2278"/>
      <c r="I41" s="2278"/>
      <c r="J41" s="2278"/>
      <c r="K41" s="2278"/>
      <c r="L41" s="2278"/>
      <c r="M41" s="2278"/>
      <c r="N41" s="2278"/>
      <c r="O41" s="2278"/>
      <c r="P41" s="2278"/>
      <c r="Q41" s="2278"/>
      <c r="R41" s="2278"/>
      <c r="S41" s="2278"/>
      <c r="T41" s="2278"/>
      <c r="U41" s="2278"/>
      <c r="V41" s="2278"/>
      <c r="W41" s="2278"/>
      <c r="X41" s="2279"/>
      <c r="Y41" s="2274">
        <f>IF((Y40+AD40)&gt;2500000,2500000,Y40+AD40)</f>
        <v>0</v>
      </c>
      <c r="Z41" s="2275"/>
      <c r="AA41" s="2275"/>
      <c r="AB41" s="2275"/>
      <c r="AC41" s="2275"/>
      <c r="AD41" s="2275"/>
      <c r="AE41" s="2275"/>
      <c r="AF41" s="2275"/>
      <c r="AG41" s="2275"/>
      <c r="AH41" s="2276"/>
    </row>
    <row r="42" spans="1:40" ht="12.75" customHeight="1">
      <c r="A42" s="6"/>
      <c r="B42" s="2293" t="s">
        <v>1287</v>
      </c>
      <c r="C42" s="2293"/>
      <c r="D42" s="2293"/>
      <c r="E42" s="2293"/>
      <c r="F42" s="2293"/>
      <c r="G42" s="2293"/>
      <c r="H42" s="2293"/>
      <c r="I42" s="2293"/>
      <c r="J42" s="2293"/>
      <c r="K42" s="2293"/>
      <c r="L42" s="2293"/>
      <c r="M42" s="2293"/>
      <c r="N42" s="2293"/>
      <c r="O42" s="2293"/>
      <c r="P42" s="2293"/>
      <c r="Q42" s="2293"/>
      <c r="R42" s="2293"/>
      <c r="S42" s="2293"/>
      <c r="T42" s="2293"/>
      <c r="U42" s="2293"/>
      <c r="V42" s="2293"/>
      <c r="W42" s="2293"/>
      <c r="X42" s="2293"/>
      <c r="Y42" s="2293"/>
      <c r="Z42" s="2293"/>
      <c r="AA42" s="2293"/>
      <c r="AB42" s="2293"/>
      <c r="AC42" s="2293"/>
      <c r="AD42" s="2293"/>
      <c r="AE42" s="2293"/>
      <c r="AF42" s="2293"/>
      <c r="AG42" s="2293"/>
      <c r="AH42" s="2293"/>
      <c r="AI42" s="948"/>
      <c r="AJ42" s="948"/>
      <c r="AK42" s="948"/>
      <c r="AL42" s="948"/>
      <c r="AM42" s="948"/>
      <c r="AN42" s="948"/>
    </row>
    <row r="43" spans="1:40" ht="12.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
      <c r="A45" s="6" t="s">
        <v>131</v>
      </c>
      <c r="C45" s="6" t="s">
        <v>281</v>
      </c>
    </row>
    <row r="46" spans="1:40" ht="13">
      <c r="D46" s="6" t="s">
        <v>282</v>
      </c>
      <c r="AB46" s="2268">
        <f>'Sources and Uses Budget'!B104-'Sources and Uses Budget'!$B$15</f>
        <v>35121118</v>
      </c>
      <c r="AC46" s="2269"/>
      <c r="AD46" s="2269"/>
      <c r="AE46" s="2269"/>
      <c r="AF46" s="2270"/>
    </row>
    <row r="47" spans="1:40" ht="12.75" customHeight="1">
      <c r="D47" s="6" t="s">
        <v>918</v>
      </c>
      <c r="AB47" s="2268">
        <f>Application!AG644-MIN('Sources and Uses Budget'!B15,Application!AG385)</f>
        <v>0</v>
      </c>
      <c r="AC47" s="2269"/>
      <c r="AD47" s="2269"/>
      <c r="AE47" s="2269"/>
      <c r="AF47" s="2270"/>
    </row>
    <row r="48" spans="1:40" ht="13">
      <c r="D48" s="6" t="s">
        <v>422</v>
      </c>
      <c r="AB48" s="2268">
        <f>AB46-AB47</f>
        <v>35121118</v>
      </c>
      <c r="AC48" s="2269"/>
      <c r="AD48" s="2269"/>
      <c r="AE48" s="2269"/>
      <c r="AF48" s="2270"/>
    </row>
    <row r="49" spans="1:40" ht="13">
      <c r="D49" s="6" t="s">
        <v>957</v>
      </c>
      <c r="X49" s="2"/>
      <c r="Y49" s="2"/>
      <c r="Z49" s="2"/>
      <c r="AA49" s="409"/>
      <c r="AB49" s="2287"/>
      <c r="AC49" s="2288"/>
      <c r="AD49" s="2288"/>
      <c r="AE49" s="2288"/>
      <c r="AF49" s="2289"/>
    </row>
    <row r="50" spans="1:40" s="515" customFormat="1" ht="15" customHeight="1">
      <c r="A50" s="2"/>
      <c r="B50" s="2"/>
      <c r="C50" s="2"/>
      <c r="D50" s="272"/>
      <c r="E50" s="2298" t="s">
        <v>1504</v>
      </c>
      <c r="F50" s="2298"/>
      <c r="G50" s="2298"/>
      <c r="H50" s="2298"/>
      <c r="I50" s="2298"/>
      <c r="J50" s="2298"/>
      <c r="K50" s="2298"/>
      <c r="L50" s="2298"/>
      <c r="M50" s="2298"/>
      <c r="N50" s="2298"/>
      <c r="O50" s="2298"/>
      <c r="P50" s="2298"/>
      <c r="Q50" s="2298"/>
      <c r="R50" s="2298"/>
      <c r="S50" s="2298"/>
      <c r="T50" s="2298"/>
      <c r="U50" s="2298"/>
      <c r="V50" s="2298"/>
      <c r="W50" s="2298"/>
      <c r="X50" s="2298"/>
      <c r="Y50" s="2298"/>
      <c r="Z50" s="2298"/>
      <c r="AA50" s="777"/>
      <c r="AB50" s="777"/>
      <c r="AC50" s="777"/>
      <c r="AD50" s="777"/>
      <c r="AE50" s="777"/>
      <c r="AF50" s="777"/>
      <c r="AG50" s="2"/>
      <c r="AH50" s="2"/>
      <c r="AI50" s="2"/>
      <c r="AJ50" s="2"/>
      <c r="AK50" s="2"/>
      <c r="AL50" s="2"/>
      <c r="AM50" s="2"/>
      <c r="AN50" s="2"/>
    </row>
    <row r="51" spans="1:40" s="515" customFormat="1" ht="12" customHeight="1">
      <c r="A51" s="2"/>
      <c r="B51" s="2"/>
      <c r="C51" s="2"/>
      <c r="D51" s="272"/>
      <c r="E51" s="2298"/>
      <c r="F51" s="2298"/>
      <c r="G51" s="2298"/>
      <c r="H51" s="2298"/>
      <c r="I51" s="2298"/>
      <c r="J51" s="2298"/>
      <c r="K51" s="2298"/>
      <c r="L51" s="2298"/>
      <c r="M51" s="2298"/>
      <c r="N51" s="2298"/>
      <c r="O51" s="2298"/>
      <c r="P51" s="2298"/>
      <c r="Q51" s="2298"/>
      <c r="R51" s="2298"/>
      <c r="S51" s="2298"/>
      <c r="T51" s="2298"/>
      <c r="U51" s="2298"/>
      <c r="V51" s="2298"/>
      <c r="W51" s="2298"/>
      <c r="X51" s="2298"/>
      <c r="Y51" s="2298"/>
      <c r="Z51" s="2298"/>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8">
        <f>ROUND(IF(ISERROR((AB48/AB49)),0,(AB48/AB49)),0)</f>
        <v>0</v>
      </c>
      <c r="AC53" s="2269"/>
      <c r="AD53" s="2269"/>
      <c r="AE53" s="2269"/>
      <c r="AF53" s="2270"/>
    </row>
    <row r="54" spans="1:40" ht="12.75" customHeight="1">
      <c r="D54" s="6" t="s">
        <v>620</v>
      </c>
      <c r="AB54" s="2268">
        <f>(AB53/10)</f>
        <v>0</v>
      </c>
      <c r="AC54" s="2269"/>
      <c r="AD54" s="2269"/>
      <c r="AE54" s="2269"/>
      <c r="AF54" s="2270"/>
    </row>
    <row r="55" spans="1:40" ht="13">
      <c r="D55" s="6" t="s">
        <v>379</v>
      </c>
      <c r="AB55" s="2295">
        <f>(IF((Y41&lt;AB54),Y41,AB54))</f>
        <v>0</v>
      </c>
      <c r="AC55" s="2296"/>
      <c r="AD55" s="2296"/>
      <c r="AE55" s="2296"/>
      <c r="AF55" s="2297"/>
    </row>
    <row r="56" spans="1:40" ht="13">
      <c r="D56" s="6" t="s">
        <v>118</v>
      </c>
      <c r="AB56" s="2268">
        <f>ROUND((10*AB55*AB49),0)</f>
        <v>0</v>
      </c>
      <c r="AC56" s="2269"/>
      <c r="AD56" s="2269"/>
      <c r="AE56" s="2269"/>
      <c r="AF56" s="22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6">
        <f>AB48-AB56</f>
        <v>35121118</v>
      </c>
      <c r="AC58" s="2266"/>
      <c r="AD58" s="2266"/>
      <c r="AE58" s="2266"/>
      <c r="AF58" s="226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3" t="s">
        <v>1975</v>
      </c>
      <c r="B60" s="2263"/>
      <c r="C60" s="2263"/>
      <c r="D60" s="2263"/>
      <c r="E60" s="2263"/>
      <c r="F60" s="2263"/>
      <c r="G60" s="2263"/>
      <c r="H60" s="2263"/>
      <c r="I60" s="2263"/>
      <c r="J60" s="2263"/>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row>
    <row r="61" spans="1:40" ht="13.75" customHeight="1" thickTop="1">
      <c r="A61" s="2265"/>
      <c r="B61" s="2265"/>
      <c r="C61" s="2265"/>
      <c r="D61" s="2265"/>
      <c r="E61" s="2265"/>
      <c r="F61" s="2265"/>
      <c r="G61" s="2265"/>
      <c r="H61" s="2265"/>
      <c r="I61" s="2265"/>
      <c r="J61" s="2265"/>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67" t="s">
        <v>331</v>
      </c>
      <c r="Z62" s="2267"/>
      <c r="AA62" s="2267"/>
      <c r="AB62" s="2267"/>
      <c r="AC62" s="2267"/>
      <c r="AD62" s="2267" t="s">
        <v>46</v>
      </c>
      <c r="AE62" s="2267"/>
      <c r="AF62" s="2267"/>
      <c r="AG62" s="2267"/>
      <c r="AH62" s="2267"/>
      <c r="AI62" s="1"/>
      <c r="AJ62" s="1"/>
      <c r="AK62" s="1"/>
      <c r="AL62" s="1"/>
      <c r="AM62" s="1"/>
      <c r="AN62" s="1"/>
    </row>
    <row r="63" spans="1:40" ht="13">
      <c r="C63" s="330"/>
      <c r="D63" s="1265" t="s">
        <v>1373</v>
      </c>
      <c r="E63" s="801"/>
      <c r="F63" s="801"/>
      <c r="G63" s="801"/>
      <c r="H63" s="801"/>
      <c r="I63" s="801"/>
      <c r="J63" s="801"/>
      <c r="K63" s="801"/>
      <c r="L63" s="22"/>
      <c r="M63" s="22"/>
      <c r="N63" s="22"/>
      <c r="O63" s="22"/>
      <c r="P63" s="22"/>
      <c r="Q63" s="22"/>
      <c r="R63" s="22"/>
      <c r="S63" s="22"/>
      <c r="T63" s="22"/>
      <c r="U63" s="22"/>
      <c r="V63" s="22"/>
      <c r="W63" s="22"/>
      <c r="X63" s="22"/>
      <c r="Y63" s="1726">
        <f>Y28</f>
        <v>0</v>
      </c>
      <c r="Z63" s="2290"/>
      <c r="AA63" s="2290"/>
      <c r="AB63" s="2290"/>
      <c r="AC63" s="2290"/>
      <c r="AD63" s="1726">
        <f>AI28</f>
        <v>-14819851</v>
      </c>
      <c r="AE63" s="2290"/>
      <c r="AF63" s="2290"/>
      <c r="AG63" s="2290"/>
      <c r="AH63" s="2290"/>
    </row>
    <row r="64" spans="1:40" ht="15" customHeight="1">
      <c r="C64" s="6"/>
      <c r="E64" s="2264" t="s">
        <v>1424</v>
      </c>
      <c r="F64" s="2264"/>
      <c r="G64" s="2264"/>
      <c r="H64" s="2264"/>
      <c r="I64" s="2264"/>
      <c r="J64" s="2264"/>
      <c r="K64" s="2264"/>
      <c r="L64" s="2264"/>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row>
    <row r="65" spans="1:40" ht="24.5" customHeight="1">
      <c r="C65" s="6"/>
      <c r="E65" s="2264"/>
      <c r="F65" s="2264"/>
      <c r="G65" s="2264"/>
      <c r="H65" s="2264"/>
      <c r="I65" s="2264"/>
      <c r="J65" s="2264"/>
      <c r="K65" s="2264"/>
      <c r="L65" s="2264"/>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row>
    <row r="66" spans="1:40" ht="13">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86">
        <v>0.3</v>
      </c>
      <c r="Z66" s="2286"/>
      <c r="AA66" s="2286"/>
      <c r="AB66" s="2286"/>
      <c r="AC66" s="2286"/>
      <c r="AD66" s="2286">
        <v>0.13</v>
      </c>
      <c r="AE66" s="2286"/>
      <c r="AF66" s="2286"/>
      <c r="AG66" s="2286"/>
      <c r="AH66" s="2286"/>
    </row>
    <row r="67" spans="1:40" ht="13">
      <c r="C67" s="6"/>
      <c r="D67" s="6" t="s">
        <v>1044</v>
      </c>
      <c r="Y67" s="1726">
        <f>ROUND(Y63*Y66,0)</f>
        <v>0</v>
      </c>
      <c r="Z67" s="2290"/>
      <c r="AA67" s="2290"/>
      <c r="AB67" s="2290"/>
      <c r="AC67" s="2290"/>
      <c r="AD67" s="1726" t="str">
        <f>IF(OR(Application!D211="At-Risk",Application!D211="At-Risk/Located in Rural Census Tract",Application!D214="At-Risk"),ROUND(AD63*AD66,0),"$0")</f>
        <v>$0</v>
      </c>
      <c r="AE67" s="2291"/>
      <c r="AF67" s="2291"/>
      <c r="AG67" s="2291"/>
      <c r="AH67" s="2291"/>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7"/>
      <c r="AC70" s="2288"/>
      <c r="AD70" s="2288"/>
      <c r="AE70" s="2288"/>
      <c r="AF70" s="2289"/>
      <c r="AG70" s="2"/>
      <c r="AH70" s="2"/>
      <c r="AI70" s="2"/>
      <c r="AJ70" s="2"/>
      <c r="AK70" s="2"/>
      <c r="AL70" s="2"/>
      <c r="AM70" s="2"/>
      <c r="AN70" s="2"/>
    </row>
    <row r="71" spans="1:40" ht="12.75" customHeight="1">
      <c r="A71" s="330"/>
      <c r="B71" s="2"/>
      <c r="C71" s="330"/>
      <c r="D71" s="330"/>
      <c r="E71" s="2292" t="s">
        <v>1970</v>
      </c>
      <c r="F71" s="2292"/>
      <c r="G71" s="2292"/>
      <c r="H71" s="2292"/>
      <c r="I71" s="2292"/>
      <c r="J71" s="2292"/>
      <c r="K71" s="2292"/>
      <c r="L71" s="2292"/>
      <c r="M71" s="2292"/>
      <c r="N71" s="2292"/>
      <c r="O71" s="2292"/>
      <c r="P71" s="2292"/>
      <c r="Q71" s="2292"/>
      <c r="R71" s="2292"/>
      <c r="S71" s="2292"/>
      <c r="T71" s="2292"/>
      <c r="U71" s="2292"/>
      <c r="V71" s="2292"/>
      <c r="W71" s="2292"/>
      <c r="X71" s="2292"/>
      <c r="Y71" s="2292"/>
      <c r="Z71" s="2292"/>
      <c r="AA71" s="802"/>
      <c r="AB71" s="802"/>
      <c r="AC71" s="802"/>
      <c r="AG71" s="2"/>
      <c r="AH71" s="2"/>
      <c r="AI71" s="2"/>
      <c r="AJ71" s="2"/>
      <c r="AK71" s="2"/>
      <c r="AL71" s="2"/>
      <c r="AM71" s="2"/>
      <c r="AN71" s="2"/>
    </row>
    <row r="72" spans="1:40" ht="12.75" customHeight="1">
      <c r="A72" s="330"/>
      <c r="B72" s="2"/>
      <c r="C72" s="330"/>
      <c r="D72" s="330"/>
      <c r="E72" s="2292"/>
      <c r="F72" s="2292"/>
      <c r="G72" s="2292"/>
      <c r="H72" s="2292"/>
      <c r="I72" s="2292"/>
      <c r="J72" s="2292"/>
      <c r="K72" s="2292"/>
      <c r="L72" s="2292"/>
      <c r="M72" s="2292"/>
      <c r="N72" s="2292"/>
      <c r="O72" s="2292"/>
      <c r="P72" s="2292"/>
      <c r="Q72" s="2292"/>
      <c r="R72" s="2292"/>
      <c r="S72" s="2292"/>
      <c r="T72" s="2292"/>
      <c r="U72" s="2292"/>
      <c r="V72" s="2292"/>
      <c r="W72" s="2292"/>
      <c r="X72" s="2292"/>
      <c r="Y72" s="2292"/>
      <c r="Z72" s="2292"/>
      <c r="AA72" s="802"/>
      <c r="AB72" s="802"/>
      <c r="AC72" s="802"/>
      <c r="AG72" s="2"/>
      <c r="AH72" s="2"/>
      <c r="AI72" s="2"/>
      <c r="AJ72" s="2"/>
      <c r="AK72" s="2"/>
      <c r="AL72" s="2"/>
      <c r="AM72" s="2"/>
      <c r="AN72" s="2"/>
    </row>
    <row r="73" spans="1:40" ht="12" customHeight="1">
      <c r="A73" s="330"/>
      <c r="B73" s="2"/>
      <c r="C73" s="330"/>
      <c r="D73" s="330"/>
      <c r="E73" s="2292"/>
      <c r="F73" s="2292"/>
      <c r="G73" s="2292"/>
      <c r="H73" s="2292"/>
      <c r="I73" s="2292"/>
      <c r="J73" s="2292"/>
      <c r="K73" s="2292"/>
      <c r="L73" s="2292"/>
      <c r="M73" s="2292"/>
      <c r="N73" s="2292"/>
      <c r="O73" s="2292"/>
      <c r="P73" s="2292"/>
      <c r="Q73" s="2292"/>
      <c r="R73" s="2292"/>
      <c r="S73" s="2292"/>
      <c r="T73" s="2292"/>
      <c r="U73" s="2292"/>
      <c r="V73" s="2292"/>
      <c r="W73" s="2292"/>
      <c r="X73" s="2292"/>
      <c r="Y73" s="2292"/>
      <c r="Z73" s="2292"/>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85">
        <f>ROUND(IF(ISERROR((AB58/AB70)),0,(AB58/AB70)),0)</f>
        <v>0</v>
      </c>
      <c r="AC75" s="2285"/>
      <c r="AD75" s="2285"/>
      <c r="AE75" s="2285"/>
      <c r="AF75" s="2285"/>
    </row>
    <row r="76" spans="1:40" ht="12.75" customHeight="1">
      <c r="C76" s="6"/>
      <c r="D76" s="6" t="s">
        <v>116</v>
      </c>
      <c r="AB76" s="2282">
        <f>IF((Y67+AD67&lt;AB75),Y67+AD67,AB75)</f>
        <v>0</v>
      </c>
      <c r="AC76" s="2283"/>
      <c r="AD76" s="2283"/>
      <c r="AE76" s="2283"/>
      <c r="AF76" s="2284"/>
    </row>
    <row r="77" spans="1:40" ht="12.75" customHeight="1">
      <c r="C77" s="6"/>
      <c r="D77" s="6" t="s">
        <v>1045</v>
      </c>
      <c r="AB77" s="2281">
        <f>AB76*AB70</f>
        <v>0</v>
      </c>
      <c r="AC77" s="2281"/>
      <c r="AD77" s="2281"/>
      <c r="AE77" s="2281"/>
      <c r="AF77" s="2281"/>
    </row>
    <row r="78" spans="1:40" ht="12.75" customHeight="1">
      <c r="C78" s="6"/>
      <c r="D78" s="6"/>
      <c r="AB78" s="933"/>
      <c r="AC78" s="933"/>
      <c r="AD78" s="933"/>
      <c r="AE78" s="933"/>
      <c r="AF78" s="933"/>
    </row>
    <row r="79" spans="1:40" ht="12.75" customHeight="1">
      <c r="A79" s="1"/>
      <c r="B79" s="1"/>
      <c r="C79" s="1"/>
      <c r="D79" s="6" t="s">
        <v>117</v>
      </c>
      <c r="AB79" s="2266">
        <f>AB48-(AB56+AB77)</f>
        <v>35121118</v>
      </c>
      <c r="AC79" s="2266"/>
      <c r="AD79" s="2266"/>
      <c r="AE79" s="2266"/>
      <c r="AF79" s="226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53125" style="1267" customWidth="1"/>
    <col min="2" max="2" width="0.81640625" style="1267" customWidth="1"/>
    <col min="3" max="18" width="2.453125" style="1267" customWidth="1"/>
    <col min="19" max="19" width="4" style="1267" customWidth="1"/>
    <col min="20" max="39" width="2.453125" style="1267" customWidth="1"/>
    <col min="40" max="40" width="1.453125" style="1267" customWidth="1"/>
    <col min="41" max="16384" width="2.453125" style="2" hidden="1"/>
  </cols>
  <sheetData>
    <row r="1" spans="1:40" ht="12.75" customHeight="1">
      <c r="A1" s="2300" t="s">
        <v>1505</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3"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229</v>
      </c>
      <c r="F5" s="6"/>
    </row>
    <row r="6" spans="1:40" ht="12.5">
      <c r="B6" s="1126"/>
      <c r="AA6" s="2"/>
    </row>
    <row r="7" spans="1:40" ht="13.75" customHeight="1">
      <c r="B7" s="9"/>
      <c r="C7" s="10"/>
      <c r="D7" s="10"/>
      <c r="E7" s="10"/>
      <c r="F7" s="10"/>
      <c r="G7" s="10"/>
      <c r="H7" s="10"/>
      <c r="I7" s="10"/>
      <c r="J7" s="10"/>
      <c r="K7" s="10"/>
      <c r="L7" s="10"/>
      <c r="M7" s="10"/>
      <c r="N7" s="10"/>
      <c r="O7" s="10"/>
      <c r="P7" s="10"/>
      <c r="Q7" s="10"/>
      <c r="R7" s="10"/>
      <c r="S7" s="10"/>
      <c r="T7" s="2280" t="s">
        <v>1810</v>
      </c>
      <c r="U7" s="2280"/>
      <c r="V7" s="2280"/>
      <c r="W7" s="2280"/>
      <c r="X7" s="2280"/>
      <c r="Y7" s="2280" t="s">
        <v>1973</v>
      </c>
      <c r="Z7" s="2280"/>
      <c r="AA7" s="2280"/>
      <c r="AB7" s="2280"/>
      <c r="AC7" s="2280"/>
      <c r="AD7" s="2280" t="s">
        <v>1511</v>
      </c>
      <c r="AE7" s="2280"/>
      <c r="AF7" s="2280"/>
      <c r="AG7" s="2280"/>
      <c r="AH7" s="2280"/>
      <c r="AI7" s="2280" t="s">
        <v>1974</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
      <c r="B11" s="2277" t="s">
        <v>566</v>
      </c>
      <c r="C11" s="2278"/>
      <c r="D11" s="2278"/>
      <c r="E11" s="2278"/>
      <c r="F11" s="2278"/>
      <c r="G11" s="2278"/>
      <c r="H11" s="2278"/>
      <c r="I11" s="2278"/>
      <c r="J11" s="2278"/>
      <c r="K11" s="2278"/>
      <c r="L11" s="2278"/>
      <c r="M11" s="2278"/>
      <c r="N11" s="2278"/>
      <c r="O11" s="2278"/>
      <c r="P11" s="2278"/>
      <c r="Q11" s="2278"/>
      <c r="R11" s="2278"/>
      <c r="S11" s="2279"/>
      <c r="T11" s="2317">
        <f>IF('Sources and Basis Breakdown'!F105=0,'Sources and Basis Breakdown'!E105,'Sources and Basis Breakdown'!F105)</f>
        <v>32110281</v>
      </c>
      <c r="U11" s="2305"/>
      <c r="V11" s="2305"/>
      <c r="W11" s="2305"/>
      <c r="X11" s="2305"/>
      <c r="Y11" s="2304">
        <f>IF('Sources and Basis Breakdown'!G105+'Sources and Basis Breakdown'!F105='Sources and Basis Breakdown'!E105,'Sources and Basis Breakdown'!G105,0)</f>
        <v>0</v>
      </c>
      <c r="Z11" s="2305"/>
      <c r="AA11" s="2305"/>
      <c r="AB11" s="2305"/>
      <c r="AC11" s="2305"/>
      <c r="AD11" s="2305">
        <f>IF('Sources and Basis Breakdown'!I105=0,'Sources and Basis Breakdown'!H105,'Sources and Basis Breakdown'!I105)</f>
        <v>0</v>
      </c>
      <c r="AE11" s="2305"/>
      <c r="AF11" s="2305"/>
      <c r="AG11" s="2305"/>
      <c r="AH11" s="2305"/>
      <c r="AI11" s="2305">
        <f>IF('Sources and Basis Breakdown'!I105+'Sources and Basis Breakdown'!J105='Sources and Basis Breakdown'!H105,'Sources and Basis Breakdown'!J105,0)</f>
        <v>0</v>
      </c>
      <c r="AJ11" s="2305"/>
      <c r="AK11" s="2305"/>
      <c r="AL11" s="2305"/>
      <c r="AM11" s="2305"/>
    </row>
    <row r="12" spans="1:40" ht="13">
      <c r="B12" s="2310" t="s">
        <v>496</v>
      </c>
      <c r="C12" s="2311"/>
      <c r="D12" s="2311"/>
      <c r="E12" s="2311"/>
      <c r="F12" s="2311"/>
      <c r="G12" s="2311"/>
      <c r="H12" s="2311"/>
      <c r="I12" s="2311"/>
      <c r="J12" s="2311"/>
      <c r="K12" s="2311"/>
      <c r="L12" s="2311"/>
      <c r="M12" s="2311"/>
      <c r="N12" s="2311"/>
      <c r="O12" s="2311"/>
      <c r="P12" s="2311"/>
      <c r="Q12" s="2311"/>
      <c r="R12" s="2311"/>
      <c r="S12" s="2312"/>
      <c r="T12" s="2307"/>
      <c r="U12" s="2308"/>
      <c r="V12" s="2308"/>
      <c r="W12" s="2308"/>
      <c r="X12" s="2309"/>
      <c r="Y12" s="2307"/>
      <c r="Z12" s="2308"/>
      <c r="AA12" s="2308"/>
      <c r="AB12" s="2308"/>
      <c r="AC12" s="2309"/>
      <c r="AD12" s="2307"/>
      <c r="AE12" s="2308"/>
      <c r="AF12" s="2308"/>
      <c r="AG12" s="2308"/>
      <c r="AH12" s="2309"/>
      <c r="AI12" s="2307"/>
      <c r="AJ12" s="2308"/>
      <c r="AK12" s="2308"/>
      <c r="AL12" s="2308"/>
      <c r="AM12" s="2309"/>
    </row>
    <row r="13" spans="1:40" ht="12.5">
      <c r="B13" s="11"/>
      <c r="C13" s="2313" t="s">
        <v>1928</v>
      </c>
      <c r="D13" s="2314"/>
      <c r="E13" s="2314"/>
      <c r="F13" s="2314"/>
      <c r="G13" s="2314"/>
      <c r="H13" s="2314"/>
      <c r="I13" s="2314"/>
      <c r="J13" s="2314"/>
      <c r="K13" s="2314"/>
      <c r="L13" s="2314"/>
      <c r="M13" s="2314"/>
      <c r="N13" s="2314"/>
      <c r="O13" s="2314"/>
      <c r="P13" s="2314"/>
      <c r="Q13" s="2314"/>
      <c r="R13" s="2314"/>
      <c r="S13" s="2315"/>
      <c r="T13" s="2306">
        <f>'Basis &amp; Credits'!T13</f>
        <v>0</v>
      </c>
      <c r="U13" s="2303"/>
      <c r="V13" s="2303"/>
      <c r="W13" s="2303"/>
      <c r="X13" s="2303"/>
      <c r="Y13" s="2306">
        <f>'Basis &amp; Credits'!Y13</f>
        <v>0</v>
      </c>
      <c r="Z13" s="2303"/>
      <c r="AA13" s="2303"/>
      <c r="AB13" s="2303"/>
      <c r="AC13" s="2303"/>
      <c r="AD13" s="2303">
        <f>'Basis &amp; Credits'!AD13</f>
        <v>0</v>
      </c>
      <c r="AE13" s="2303"/>
      <c r="AF13" s="2303"/>
      <c r="AG13" s="2303"/>
      <c r="AH13" s="2303"/>
      <c r="AI13" s="2303">
        <f>'Basis &amp; Credits'!AI13</f>
        <v>0</v>
      </c>
      <c r="AJ13" s="2303"/>
      <c r="AK13" s="2303"/>
      <c r="AL13" s="2303"/>
      <c r="AM13" s="2303"/>
    </row>
    <row r="14" spans="1:40" ht="12.5">
      <c r="B14" s="11"/>
      <c r="C14" s="2314" t="s">
        <v>840</v>
      </c>
      <c r="D14" s="2314"/>
      <c r="E14" s="2314"/>
      <c r="F14" s="2314"/>
      <c r="G14" s="2314"/>
      <c r="H14" s="2314"/>
      <c r="I14" s="2314"/>
      <c r="J14" s="2314"/>
      <c r="K14" s="2314"/>
      <c r="L14" s="2314"/>
      <c r="M14" s="2314"/>
      <c r="N14" s="2314"/>
      <c r="O14" s="2314"/>
      <c r="P14" s="2314"/>
      <c r="Q14" s="2314"/>
      <c r="R14" s="2314"/>
      <c r="S14" s="2315"/>
      <c r="T14" s="1866">
        <f>'Basis &amp; Credits'!T14</f>
        <v>0</v>
      </c>
      <c r="U14" s="1868"/>
      <c r="V14" s="1868"/>
      <c r="W14" s="1868"/>
      <c r="X14" s="1868"/>
      <c r="Y14" s="1866">
        <f>'Basis &amp; Credits'!Y14</f>
        <v>0</v>
      </c>
      <c r="Z14" s="1868"/>
      <c r="AA14" s="1868"/>
      <c r="AB14" s="1868"/>
      <c r="AC14" s="1868"/>
      <c r="AD14" s="1868">
        <f>'Basis &amp; Credits'!AD14</f>
        <v>0</v>
      </c>
      <c r="AE14" s="1868"/>
      <c r="AF14" s="1868"/>
      <c r="AG14" s="1868"/>
      <c r="AH14" s="1868"/>
      <c r="AI14" s="1868">
        <f>'Basis &amp; Credits'!AI14</f>
        <v>0</v>
      </c>
      <c r="AJ14" s="1868"/>
      <c r="AK14" s="1868"/>
      <c r="AL14" s="1868"/>
      <c r="AM14" s="1868"/>
    </row>
    <row r="15" spans="1:40" ht="12.5">
      <c r="B15" s="11"/>
      <c r="C15" s="2314" t="s">
        <v>841</v>
      </c>
      <c r="D15" s="2314"/>
      <c r="E15" s="2314"/>
      <c r="F15" s="2314"/>
      <c r="G15" s="2314"/>
      <c r="H15" s="2314"/>
      <c r="I15" s="2314"/>
      <c r="J15" s="2314"/>
      <c r="K15" s="2314"/>
      <c r="L15" s="2314"/>
      <c r="M15" s="2314"/>
      <c r="N15" s="2314"/>
      <c r="O15" s="2314"/>
      <c r="P15" s="2314"/>
      <c r="Q15" s="2314"/>
      <c r="R15" s="2314"/>
      <c r="S15" s="2315"/>
      <c r="T15" s="1866">
        <f>'Basis &amp; Credits'!T15</f>
        <v>0</v>
      </c>
      <c r="U15" s="1868"/>
      <c r="V15" s="1868"/>
      <c r="W15" s="1868"/>
      <c r="X15" s="1868"/>
      <c r="Y15" s="1866">
        <f>'Basis &amp; Credits'!Y15</f>
        <v>0</v>
      </c>
      <c r="Z15" s="1868"/>
      <c r="AA15" s="1868"/>
      <c r="AB15" s="1868"/>
      <c r="AC15" s="1868"/>
      <c r="AD15" s="1868">
        <f>'Basis &amp; Credits'!AD15</f>
        <v>0</v>
      </c>
      <c r="AE15" s="1868"/>
      <c r="AF15" s="1868"/>
      <c r="AG15" s="1868"/>
      <c r="AH15" s="1868"/>
      <c r="AI15" s="1868">
        <f>'Basis &amp; Credits'!AI15</f>
        <v>0</v>
      </c>
      <c r="AJ15" s="1868"/>
      <c r="AK15" s="1868"/>
      <c r="AL15" s="1868"/>
      <c r="AM15" s="1868"/>
    </row>
    <row r="16" spans="1:40" ht="12.5">
      <c r="B16" s="11"/>
      <c r="C16" s="2313" t="s">
        <v>1116</v>
      </c>
      <c r="D16" s="2313"/>
      <c r="E16" s="2313"/>
      <c r="F16" s="2313"/>
      <c r="G16" s="2313"/>
      <c r="H16" s="2313"/>
      <c r="I16" s="2313"/>
      <c r="J16" s="2313"/>
      <c r="K16" s="2313"/>
      <c r="L16" s="2313"/>
      <c r="M16" s="2313"/>
      <c r="N16" s="2313"/>
      <c r="O16" s="2313"/>
      <c r="P16" s="2313"/>
      <c r="Q16" s="2313"/>
      <c r="R16" s="2313"/>
      <c r="S16" s="2316"/>
      <c r="T16" s="1866">
        <f>'Basis &amp; Credits'!T16</f>
        <v>0</v>
      </c>
      <c r="U16" s="1868"/>
      <c r="V16" s="1868"/>
      <c r="W16" s="1868"/>
      <c r="X16" s="1868"/>
      <c r="Y16" s="1866">
        <f>'Basis &amp; Credits'!Y16</f>
        <v>0</v>
      </c>
      <c r="Z16" s="1868"/>
      <c r="AA16" s="1868"/>
      <c r="AB16" s="1868"/>
      <c r="AC16" s="1868"/>
      <c r="AD16" s="1868">
        <f>'Basis &amp; Credits'!AD16</f>
        <v>0</v>
      </c>
      <c r="AE16" s="1868"/>
      <c r="AF16" s="1868"/>
      <c r="AG16" s="1868"/>
      <c r="AH16" s="1868"/>
      <c r="AI16" s="1868">
        <f>'Basis &amp; Credits'!AI16</f>
        <v>0</v>
      </c>
      <c r="AJ16" s="1868"/>
      <c r="AK16" s="1868"/>
      <c r="AL16" s="1868"/>
      <c r="AM16" s="1868"/>
    </row>
    <row r="17" spans="1:39" ht="12.5">
      <c r="B17" s="11"/>
      <c r="C17" s="2314" t="s">
        <v>842</v>
      </c>
      <c r="D17" s="2314"/>
      <c r="E17" s="2314"/>
      <c r="F17" s="2314"/>
      <c r="G17" s="2314"/>
      <c r="H17" s="2314"/>
      <c r="I17" s="2314"/>
      <c r="J17" s="2314"/>
      <c r="K17" s="2314"/>
      <c r="L17" s="2314"/>
      <c r="M17" s="2314"/>
      <c r="N17" s="2314"/>
      <c r="O17" s="2314"/>
      <c r="P17" s="2314"/>
      <c r="Q17" s="2314"/>
      <c r="R17" s="2314"/>
      <c r="S17" s="2315"/>
      <c r="T17" s="1866">
        <f>'Basis &amp; Credits'!T17</f>
        <v>0</v>
      </c>
      <c r="U17" s="1868"/>
      <c r="V17" s="1868"/>
      <c r="W17" s="1868"/>
      <c r="X17" s="1868"/>
      <c r="Y17" s="1866">
        <f>'Basis &amp; Credits'!Y17</f>
        <v>0</v>
      </c>
      <c r="Z17" s="1868"/>
      <c r="AA17" s="1868"/>
      <c r="AB17" s="1868"/>
      <c r="AC17" s="1868"/>
      <c r="AD17" s="1868">
        <f>'Basis &amp; Credits'!AD17</f>
        <v>0</v>
      </c>
      <c r="AE17" s="1868"/>
      <c r="AF17" s="1868"/>
      <c r="AG17" s="1868"/>
      <c r="AH17" s="1868"/>
      <c r="AI17" s="1868">
        <f>'Basis &amp; Credits'!AI17</f>
        <v>0</v>
      </c>
      <c r="AJ17" s="1868"/>
      <c r="AK17" s="1868"/>
      <c r="AL17" s="1868"/>
      <c r="AM17" s="1868"/>
    </row>
    <row r="18" spans="1:39" ht="12.5">
      <c r="B18" s="928"/>
      <c r="C18" s="2313" t="s">
        <v>1516</v>
      </c>
      <c r="D18" s="2314"/>
      <c r="E18" s="2314"/>
      <c r="F18" s="2314"/>
      <c r="G18" s="2314"/>
      <c r="H18" s="2314"/>
      <c r="I18" s="2314"/>
      <c r="J18" s="2314"/>
      <c r="K18" s="2314"/>
      <c r="L18" s="2314"/>
      <c r="M18" s="2314"/>
      <c r="N18" s="2314"/>
      <c r="O18" s="2314"/>
      <c r="P18" s="2314"/>
      <c r="Q18" s="2314"/>
      <c r="R18" s="2314"/>
      <c r="S18" s="2315"/>
      <c r="T18" s="1864">
        <f>'Basis &amp; Credits'!T18</f>
        <v>0</v>
      </c>
      <c r="U18" s="1865"/>
      <c r="V18" s="1865"/>
      <c r="W18" s="1865"/>
      <c r="X18" s="1866"/>
      <c r="Y18" s="1866">
        <f>'Basis &amp; Credits'!Y18</f>
        <v>0</v>
      </c>
      <c r="Z18" s="1868"/>
      <c r="AA18" s="1868"/>
      <c r="AB18" s="1868"/>
      <c r="AC18" s="1868"/>
      <c r="AD18" s="1868">
        <f>'Basis &amp; Credits'!AD18</f>
        <v>0</v>
      </c>
      <c r="AE18" s="1868"/>
      <c r="AF18" s="1868"/>
      <c r="AG18" s="1868"/>
      <c r="AH18" s="1868"/>
      <c r="AI18" s="1868">
        <f>'Basis &amp; Credits'!AI18</f>
        <v>0</v>
      </c>
      <c r="AJ18" s="1868"/>
      <c r="AK18" s="1868"/>
      <c r="AL18" s="1868"/>
      <c r="AM18" s="1868"/>
    </row>
    <row r="19" spans="1:39" ht="12.5">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866">
        <f>'Basis &amp; Credits'!T19</f>
        <v>0</v>
      </c>
      <c r="U19" s="1868"/>
      <c r="V19" s="1868"/>
      <c r="W19" s="1868"/>
      <c r="X19" s="1868"/>
      <c r="Y19" s="1866">
        <f>'Basis &amp; Credits'!Y19</f>
        <v>0</v>
      </c>
      <c r="Z19" s="1868"/>
      <c r="AA19" s="1868"/>
      <c r="AB19" s="1868"/>
      <c r="AC19" s="1868"/>
      <c r="AD19" s="1868">
        <f>'Basis &amp; Credits'!AD19</f>
        <v>0</v>
      </c>
      <c r="AE19" s="1868"/>
      <c r="AF19" s="1868"/>
      <c r="AG19" s="1868"/>
      <c r="AH19" s="1868"/>
      <c r="AI19" s="1868">
        <f>'Basis &amp; Credits'!AI19</f>
        <v>0</v>
      </c>
      <c r="AJ19" s="1868"/>
      <c r="AK19" s="1868"/>
      <c r="AL19" s="1868"/>
      <c r="AM19" s="1868"/>
    </row>
    <row r="20" spans="1:39" ht="13">
      <c r="B20" s="2277" t="s">
        <v>843</v>
      </c>
      <c r="C20" s="2278"/>
      <c r="D20" s="2278"/>
      <c r="E20" s="2278"/>
      <c r="F20" s="2278"/>
      <c r="G20" s="2278"/>
      <c r="H20" s="2278"/>
      <c r="I20" s="2278"/>
      <c r="J20" s="2278"/>
      <c r="K20" s="2278"/>
      <c r="L20" s="2278"/>
      <c r="M20" s="2278"/>
      <c r="N20" s="2278"/>
      <c r="O20" s="2278"/>
      <c r="P20" s="2278"/>
      <c r="Q20" s="2278"/>
      <c r="R20" s="2278"/>
      <c r="S20" s="2279"/>
      <c r="T20" s="2272">
        <f>SUM(T13:X19)</f>
        <v>0</v>
      </c>
      <c r="U20" s="2273"/>
      <c r="V20" s="2273"/>
      <c r="W20" s="2273"/>
      <c r="X20" s="2273"/>
      <c r="Y20" s="2272">
        <f>SUM(Y13:AC19)</f>
        <v>0</v>
      </c>
      <c r="Z20" s="2273"/>
      <c r="AA20" s="2273"/>
      <c r="AB20" s="2273"/>
      <c r="AC20" s="2273"/>
      <c r="AD20" s="2273">
        <f>SUM(AD13:AH19)</f>
        <v>0</v>
      </c>
      <c r="AE20" s="2273"/>
      <c r="AF20" s="2273"/>
      <c r="AG20" s="2273"/>
      <c r="AH20" s="2273"/>
      <c r="AI20" s="2273">
        <f>SUM(AI13:AM19)</f>
        <v>0</v>
      </c>
      <c r="AJ20" s="2273"/>
      <c r="AK20" s="2273"/>
      <c r="AL20" s="2273"/>
      <c r="AM20" s="2273"/>
    </row>
    <row r="21" spans="1:39" ht="13">
      <c r="B21" s="2277" t="s">
        <v>1927</v>
      </c>
      <c r="C21" s="2278"/>
      <c r="D21" s="2278"/>
      <c r="E21" s="2278"/>
      <c r="F21" s="2278"/>
      <c r="G21" s="2278"/>
      <c r="H21" s="2278"/>
      <c r="I21" s="2278"/>
      <c r="J21" s="2278"/>
      <c r="K21" s="2278"/>
      <c r="L21" s="2278"/>
      <c r="M21" s="2278"/>
      <c r="N21" s="2278"/>
      <c r="O21" s="2278"/>
      <c r="P21" s="2278"/>
      <c r="Q21" s="2278"/>
      <c r="R21" s="2278"/>
      <c r="S21" s="2279"/>
      <c r="T21" s="1866">
        <f>'Basis &amp; Credits'!T21</f>
        <v>14819851</v>
      </c>
      <c r="U21" s="1868"/>
      <c r="V21" s="1868"/>
      <c r="W21" s="1868"/>
      <c r="X21" s="1868"/>
      <c r="Y21" s="1866">
        <f>'Basis &amp; Credits'!Y21</f>
        <v>0</v>
      </c>
      <c r="Z21" s="1868"/>
      <c r="AA21" s="1868"/>
      <c r="AB21" s="1868"/>
      <c r="AC21" s="1868"/>
      <c r="AD21" s="1868">
        <f>'Basis &amp; Credits'!AD21</f>
        <v>0</v>
      </c>
      <c r="AE21" s="1868"/>
      <c r="AF21" s="1868"/>
      <c r="AG21" s="1868"/>
      <c r="AH21" s="1868"/>
      <c r="AI21" s="1868">
        <f>'Basis &amp; Credits'!AI21</f>
        <v>0</v>
      </c>
      <c r="AJ21" s="1868"/>
      <c r="AK21" s="1868"/>
      <c r="AL21" s="1868"/>
      <c r="AM21" s="1868"/>
    </row>
    <row r="22" spans="1:39" ht="13">
      <c r="B22" s="2277" t="s">
        <v>844</v>
      </c>
      <c r="C22" s="2278"/>
      <c r="D22" s="2278"/>
      <c r="E22" s="2278"/>
      <c r="F22" s="2278"/>
      <c r="G22" s="2278"/>
      <c r="H22" s="2278"/>
      <c r="I22" s="2278"/>
      <c r="J22" s="2278"/>
      <c r="K22" s="2278"/>
      <c r="L22" s="2278"/>
      <c r="M22" s="2278"/>
      <c r="N22" s="2278"/>
      <c r="O22" s="2278"/>
      <c r="P22" s="2278"/>
      <c r="Q22" s="2278"/>
      <c r="R22" s="2278"/>
      <c r="S22" s="2279"/>
      <c r="T22" s="2318">
        <f>(T20+T21)*-1</f>
        <v>-14819851</v>
      </c>
      <c r="U22" s="2319"/>
      <c r="V22" s="2319"/>
      <c r="W22" s="2319"/>
      <c r="X22" s="2319"/>
      <c r="Y22" s="2318">
        <f>(Y20+Y21)*-1</f>
        <v>0</v>
      </c>
      <c r="Z22" s="2319"/>
      <c r="AA22" s="2319"/>
      <c r="AB22" s="2319"/>
      <c r="AC22" s="2319"/>
      <c r="AD22" s="2318">
        <f>(AD20+AD21)*-1</f>
        <v>0</v>
      </c>
      <c r="AE22" s="2319"/>
      <c r="AF22" s="2319"/>
      <c r="AG22" s="2319"/>
      <c r="AH22" s="2319"/>
      <c r="AI22" s="2318">
        <f>(AI20+AI21)*-1</f>
        <v>0</v>
      </c>
      <c r="AJ22" s="2319"/>
      <c r="AK22" s="2319"/>
      <c r="AL22" s="2319"/>
      <c r="AM22" s="2319"/>
    </row>
    <row r="23" spans="1:39" ht="13">
      <c r="A23" s="2"/>
      <c r="B23" s="2335" t="s">
        <v>845</v>
      </c>
      <c r="C23" s="2336"/>
      <c r="D23" s="2336"/>
      <c r="E23" s="2336"/>
      <c r="F23" s="2336"/>
      <c r="G23" s="2336"/>
      <c r="H23" s="2336"/>
      <c r="I23" s="2336"/>
      <c r="J23" s="2336"/>
      <c r="K23" s="2336"/>
      <c r="L23" s="2336"/>
      <c r="M23" s="2336"/>
      <c r="N23" s="2336"/>
      <c r="O23" s="2336"/>
      <c r="P23" s="2336"/>
      <c r="Q23" s="2336"/>
      <c r="R23" s="2336"/>
      <c r="S23" s="2337"/>
      <c r="T23" s="2272">
        <f>T11+T22</f>
        <v>17290430</v>
      </c>
      <c r="U23" s="2273"/>
      <c r="V23" s="2273"/>
      <c r="W23" s="2273"/>
      <c r="X23" s="2273"/>
      <c r="Y23" s="2272">
        <f>Y11+Y22</f>
        <v>0</v>
      </c>
      <c r="Z23" s="2273"/>
      <c r="AA23" s="2273"/>
      <c r="AB23" s="2273"/>
      <c r="AC23" s="2273"/>
      <c r="AD23" s="2272">
        <f>AD11+AD22</f>
        <v>0</v>
      </c>
      <c r="AE23" s="2273"/>
      <c r="AF23" s="2273"/>
      <c r="AG23" s="2273"/>
      <c r="AH23" s="2273"/>
      <c r="AI23" s="2272">
        <f>AI11+AI22</f>
        <v>0</v>
      </c>
      <c r="AJ23" s="2273"/>
      <c r="AK23" s="2273"/>
      <c r="AL23" s="2273"/>
      <c r="AM23" s="2273"/>
    </row>
    <row r="24" spans="1:39" ht="13">
      <c r="B24" s="2277" t="s">
        <v>1348</v>
      </c>
      <c r="C24" s="2278"/>
      <c r="D24" s="2278"/>
      <c r="E24" s="2278"/>
      <c r="F24" s="2278"/>
      <c r="G24" s="2278"/>
      <c r="H24" s="2278"/>
      <c r="I24" s="2278"/>
      <c r="J24" s="2278"/>
      <c r="K24" s="2278"/>
      <c r="L24" s="2278"/>
      <c r="M24" s="2278"/>
      <c r="N24" s="2278"/>
      <c r="O24" s="2278"/>
      <c r="P24" s="2278"/>
      <c r="Q24" s="2278"/>
      <c r="R24" s="2278"/>
      <c r="S24" s="2279"/>
      <c r="T24" s="2338">
        <f>Application!AD993</f>
        <v>0</v>
      </c>
      <c r="U24" s="2339"/>
      <c r="V24" s="2339"/>
      <c r="W24" s="2339"/>
      <c r="X24" s="2339"/>
      <c r="Y24" s="2339"/>
      <c r="Z24" s="2339"/>
      <c r="AA24" s="2339"/>
      <c r="AB24" s="2339"/>
      <c r="AC24" s="2339"/>
      <c r="AD24" s="2339"/>
      <c r="AE24" s="2339"/>
      <c r="AF24" s="2339"/>
      <c r="AG24" s="2339"/>
      <c r="AH24" s="2339"/>
      <c r="AI24" s="2339"/>
      <c r="AJ24" s="2339"/>
      <c r="AK24" s="2339"/>
      <c r="AL24" s="2339"/>
      <c r="AM24" s="2272"/>
    </row>
    <row r="25" spans="1:39" ht="12.5">
      <c r="B25" s="2329" t="s">
        <v>1972</v>
      </c>
      <c r="C25" s="2330"/>
      <c r="D25" s="2330"/>
      <c r="E25" s="2330"/>
      <c r="F25" s="2330"/>
      <c r="G25" s="2330"/>
      <c r="H25" s="2330"/>
      <c r="I25" s="2330"/>
      <c r="J25" s="2330"/>
      <c r="K25" s="2330"/>
      <c r="L25" s="2330"/>
      <c r="M25" s="2330"/>
      <c r="N25" s="2330"/>
      <c r="O25" s="2330"/>
      <c r="P25" s="2330"/>
      <c r="Q25" s="2330"/>
      <c r="R25" s="2330"/>
      <c r="S25" s="2331"/>
      <c r="T25" s="2320">
        <v>1</v>
      </c>
      <c r="U25" s="2321"/>
      <c r="V25" s="2321"/>
      <c r="W25" s="2321"/>
      <c r="X25" s="2321"/>
      <c r="Y25" s="2320">
        <v>1</v>
      </c>
      <c r="Z25" s="2321"/>
      <c r="AA25" s="2321"/>
      <c r="AB25" s="2321"/>
      <c r="AC25" s="2324"/>
      <c r="AD25" s="2320">
        <v>1</v>
      </c>
      <c r="AE25" s="2321"/>
      <c r="AF25" s="2321"/>
      <c r="AG25" s="2321"/>
      <c r="AH25" s="2324"/>
      <c r="AI25" s="2320">
        <v>1</v>
      </c>
      <c r="AJ25" s="2321"/>
      <c r="AK25" s="2321"/>
      <c r="AL25" s="2321"/>
      <c r="AM25" s="2324"/>
    </row>
    <row r="26" spans="1:39" ht="13">
      <c r="B26" s="2277" t="s">
        <v>846</v>
      </c>
      <c r="C26" s="2278"/>
      <c r="D26" s="2278"/>
      <c r="E26" s="2278"/>
      <c r="F26" s="2278"/>
      <c r="G26" s="2278"/>
      <c r="H26" s="2278"/>
      <c r="I26" s="2278"/>
      <c r="J26" s="2278"/>
      <c r="K26" s="2278"/>
      <c r="L26" s="2278"/>
      <c r="M26" s="2278"/>
      <c r="N26" s="2278"/>
      <c r="O26" s="2278"/>
      <c r="P26" s="2278"/>
      <c r="Q26" s="2278"/>
      <c r="R26" s="2278"/>
      <c r="S26" s="2279"/>
      <c r="T26" s="2325">
        <f>T23*T25</f>
        <v>17290430</v>
      </c>
      <c r="U26" s="2326"/>
      <c r="V26" s="2326"/>
      <c r="W26" s="2326"/>
      <c r="X26" s="2326"/>
      <c r="Y26" s="2325">
        <f>Y23*Y25</f>
        <v>0</v>
      </c>
      <c r="Z26" s="2326"/>
      <c r="AA26" s="2326"/>
      <c r="AB26" s="2326"/>
      <c r="AC26" s="2326"/>
      <c r="AD26" s="2325">
        <f>AD23*AD25</f>
        <v>0</v>
      </c>
      <c r="AE26" s="2326"/>
      <c r="AF26" s="2326"/>
      <c r="AG26" s="2326"/>
      <c r="AH26" s="2326"/>
      <c r="AI26" s="2325">
        <f>AI23*AI25</f>
        <v>0</v>
      </c>
      <c r="AJ26" s="2326"/>
      <c r="AK26" s="2326"/>
      <c r="AL26" s="2326"/>
      <c r="AM26" s="2326"/>
    </row>
    <row r="27" spans="1:39" ht="12.5">
      <c r="A27" s="7"/>
      <c r="B27" s="2332" t="s">
        <v>977</v>
      </c>
      <c r="C27" s="2333"/>
      <c r="D27" s="2333"/>
      <c r="E27" s="2333"/>
      <c r="F27" s="2333"/>
      <c r="G27" s="2333"/>
      <c r="H27" s="2333"/>
      <c r="I27" s="2333"/>
      <c r="J27" s="2333"/>
      <c r="K27" s="2333"/>
      <c r="L27" s="2333"/>
      <c r="M27" s="2333"/>
      <c r="N27" s="2333"/>
      <c r="O27" s="2333"/>
      <c r="P27" s="2333"/>
      <c r="Q27" s="2333"/>
      <c r="R27" s="2333"/>
      <c r="S27" s="2334"/>
      <c r="T27" s="2322">
        <f>Application!AG438</f>
        <v>1</v>
      </c>
      <c r="U27" s="2323"/>
      <c r="V27" s="2323"/>
      <c r="W27" s="2323"/>
      <c r="X27" s="2323"/>
      <c r="Y27" s="2322">
        <f>Application!AG438</f>
        <v>1</v>
      </c>
      <c r="Z27" s="2323"/>
      <c r="AA27" s="2323"/>
      <c r="AB27" s="2323"/>
      <c r="AC27" s="2323"/>
      <c r="AD27" s="2322">
        <f>Application!AG438</f>
        <v>1</v>
      </c>
      <c r="AE27" s="2323"/>
      <c r="AF27" s="2323"/>
      <c r="AG27" s="2323"/>
      <c r="AH27" s="2323"/>
      <c r="AI27" s="2322">
        <f>Application!AG438</f>
        <v>1</v>
      </c>
      <c r="AJ27" s="2323"/>
      <c r="AK27" s="2323"/>
      <c r="AL27" s="2323"/>
      <c r="AM27" s="2323"/>
    </row>
    <row r="28" spans="1:39" ht="12.75" customHeight="1">
      <c r="A28" s="6"/>
      <c r="B28" s="2277" t="s">
        <v>924</v>
      </c>
      <c r="C28" s="2278"/>
      <c r="D28" s="2278"/>
      <c r="E28" s="2278"/>
      <c r="F28" s="2278"/>
      <c r="G28" s="2278"/>
      <c r="H28" s="2278"/>
      <c r="I28" s="2278"/>
      <c r="J28" s="2278"/>
      <c r="K28" s="2278"/>
      <c r="L28" s="2278"/>
      <c r="M28" s="2278"/>
      <c r="N28" s="2278"/>
      <c r="O28" s="2278"/>
      <c r="P28" s="2278"/>
      <c r="Q28" s="2278"/>
      <c r="R28" s="2278"/>
      <c r="S28" s="2279"/>
      <c r="T28" s="1738">
        <f>IF(ISERROR((T26*T27)),0,(T26*T27))</f>
        <v>17290430</v>
      </c>
      <c r="U28" s="2294"/>
      <c r="V28" s="2294"/>
      <c r="W28" s="2294"/>
      <c r="X28" s="2294"/>
      <c r="Y28" s="1738">
        <f>IF(ISERROR((Y26*Y27)),0,(Y26*Y27))</f>
        <v>0</v>
      </c>
      <c r="Z28" s="2294"/>
      <c r="AA28" s="2294"/>
      <c r="AB28" s="2294"/>
      <c r="AC28" s="2294"/>
      <c r="AD28" s="1738">
        <f>IF(ISERROR((AD26*AD27)),0,(AD26*AD27))</f>
        <v>0</v>
      </c>
      <c r="AE28" s="2294"/>
      <c r="AF28" s="2294"/>
      <c r="AG28" s="2294"/>
      <c r="AH28" s="2294"/>
      <c r="AI28" s="1738">
        <f>IF(ISERROR((AI26*AI27)),0,(AI26*AI27))</f>
        <v>0</v>
      </c>
      <c r="AJ28" s="2294"/>
      <c r="AK28" s="2294"/>
      <c r="AL28" s="2294"/>
      <c r="AM28" s="2294"/>
    </row>
    <row r="29" spans="1:39" ht="13">
      <c r="B29" s="2277" t="s">
        <v>688</v>
      </c>
      <c r="C29" s="2278"/>
      <c r="D29" s="2278"/>
      <c r="E29" s="2278"/>
      <c r="F29" s="2278"/>
      <c r="G29" s="2278"/>
      <c r="H29" s="2278"/>
      <c r="I29" s="2278"/>
      <c r="J29" s="2278"/>
      <c r="K29" s="2278"/>
      <c r="L29" s="2278"/>
      <c r="M29" s="2278"/>
      <c r="N29" s="2278"/>
      <c r="O29" s="2278"/>
      <c r="P29" s="2278"/>
      <c r="Q29" s="2278"/>
      <c r="R29" s="2278"/>
      <c r="S29" s="2279"/>
      <c r="T29" s="2338">
        <f>T28+Y28+AD28+AI28</f>
        <v>17290430</v>
      </c>
      <c r="U29" s="2339"/>
      <c r="V29" s="2339"/>
      <c r="W29" s="2339"/>
      <c r="X29" s="2339"/>
      <c r="Y29" s="2339"/>
      <c r="Z29" s="2339"/>
      <c r="AA29" s="2339"/>
      <c r="AB29" s="2339"/>
      <c r="AC29" s="2339"/>
      <c r="AD29" s="2339"/>
      <c r="AE29" s="2339"/>
      <c r="AF29" s="2339"/>
      <c r="AG29" s="2339"/>
      <c r="AH29" s="2339"/>
      <c r="AI29" s="2339"/>
      <c r="AJ29" s="2339"/>
      <c r="AK29" s="2339"/>
      <c r="AL29" s="2339"/>
      <c r="AM29" s="2272"/>
    </row>
    <row r="30" spans="1:39" ht="12.75" customHeight="1">
      <c r="B30" s="2720"/>
      <c r="C30" s="2720"/>
      <c r="D30" s="2720"/>
      <c r="E30" s="2720"/>
      <c r="F30" s="2720"/>
      <c r="G30" s="2720"/>
      <c r="H30" s="2720"/>
      <c r="I30" s="2720"/>
      <c r="J30" s="2720"/>
      <c r="K30" s="2720"/>
      <c r="L30" s="2720"/>
      <c r="M30" s="2720"/>
      <c r="N30" s="2720"/>
      <c r="O30" s="2720"/>
      <c r="P30" s="2720"/>
      <c r="Q30" s="2720"/>
      <c r="R30" s="2720"/>
      <c r="S30" s="2720"/>
      <c r="T30" s="2720"/>
      <c r="U30" s="2720"/>
      <c r="V30" s="2720"/>
      <c r="W30" s="2720"/>
      <c r="X30" s="2720"/>
      <c r="Y30" s="2720"/>
      <c r="Z30" s="2720"/>
      <c r="AA30" s="2720"/>
      <c r="AB30" s="2720"/>
      <c r="AC30" s="2720"/>
      <c r="AD30" s="2720"/>
      <c r="AE30" s="2720"/>
      <c r="AF30" s="2720"/>
      <c r="AG30" s="2720"/>
      <c r="AH30" s="2720"/>
      <c r="AI30" s="2720"/>
      <c r="AJ30" s="2720"/>
      <c r="AK30" s="2720"/>
      <c r="AL30" s="2720"/>
      <c r="AM30" s="2720"/>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262" t="s">
        <v>46</v>
      </c>
      <c r="AE35" s="2262"/>
      <c r="AF35" s="2262"/>
      <c r="AG35" s="2262"/>
      <c r="AH35" s="226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262"/>
      <c r="AE36" s="2262"/>
      <c r="AF36" s="2262"/>
      <c r="AG36" s="2262"/>
      <c r="AH36" s="2262"/>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262"/>
      <c r="AE37" s="2262"/>
      <c r="AF37" s="2262"/>
      <c r="AG37" s="2262"/>
      <c r="AH37" s="2262"/>
    </row>
    <row r="38" spans="1:40" ht="12.75" customHeight="1">
      <c r="A38" s="6"/>
      <c r="B38" s="2277" t="s">
        <v>924</v>
      </c>
      <c r="C38" s="2278"/>
      <c r="D38" s="2278"/>
      <c r="E38" s="2278"/>
      <c r="F38" s="2278"/>
      <c r="G38" s="2278"/>
      <c r="H38" s="2278"/>
      <c r="I38" s="2278"/>
      <c r="J38" s="2278"/>
      <c r="K38" s="2278"/>
      <c r="L38" s="2278"/>
      <c r="M38" s="2278"/>
      <c r="N38" s="2278"/>
      <c r="O38" s="2278"/>
      <c r="P38" s="2278"/>
      <c r="Q38" s="2278"/>
      <c r="R38" s="2278"/>
      <c r="S38" s="2278"/>
      <c r="T38" s="2278"/>
      <c r="U38" s="2278"/>
      <c r="V38" s="2278"/>
      <c r="W38" s="2278"/>
      <c r="X38" s="2279"/>
      <c r="Y38" s="2273">
        <f>IF(T24&gt;=(T23+Y23+AD23+AI23),T28+Y28,0)</f>
        <v>0</v>
      </c>
      <c r="Z38" s="2273"/>
      <c r="AA38" s="2273"/>
      <c r="AB38" s="2273"/>
      <c r="AC38" s="2273"/>
      <c r="AD38" s="2273">
        <f>IF(T24&gt;=(T23+Y23+AD23+AI23),AD28+AI28,0)</f>
        <v>0</v>
      </c>
      <c r="AE38" s="2273"/>
      <c r="AF38" s="2273"/>
      <c r="AG38" s="2273"/>
      <c r="AH38" s="2273"/>
    </row>
    <row r="39" spans="1:40" ht="13">
      <c r="B39" s="2277" t="s">
        <v>836</v>
      </c>
      <c r="C39" s="2278"/>
      <c r="D39" s="2278"/>
      <c r="E39" s="2278"/>
      <c r="F39" s="2278"/>
      <c r="G39" s="2278"/>
      <c r="H39" s="2278"/>
      <c r="I39" s="2278"/>
      <c r="J39" s="2278"/>
      <c r="K39" s="2278"/>
      <c r="L39" s="2278"/>
      <c r="M39" s="2278"/>
      <c r="N39" s="2278"/>
      <c r="O39" s="2278"/>
      <c r="P39" s="2278"/>
      <c r="Q39" s="2278"/>
      <c r="R39" s="2278"/>
      <c r="S39" s="2278"/>
      <c r="T39" s="2278"/>
      <c r="U39" s="2278"/>
      <c r="V39" s="2278"/>
      <c r="W39" s="2278"/>
      <c r="X39" s="2279"/>
      <c r="Y39" s="2271">
        <v>0.09</v>
      </c>
      <c r="Z39" s="2271"/>
      <c r="AA39" s="2271"/>
      <c r="AB39" s="2271"/>
      <c r="AC39" s="2271"/>
      <c r="AD39" s="2271">
        <f>'Basis &amp; Credits'!AD39:AH39</f>
        <v>0.04</v>
      </c>
      <c r="AE39" s="2271"/>
      <c r="AF39" s="2271"/>
      <c r="AG39" s="2271"/>
      <c r="AH39" s="2271"/>
    </row>
    <row r="40" spans="1:40" ht="12.75" customHeight="1">
      <c r="A40" s="6"/>
      <c r="B40" s="2277" t="s">
        <v>26</v>
      </c>
      <c r="C40" s="2278"/>
      <c r="D40" s="2278"/>
      <c r="E40" s="2278"/>
      <c r="F40" s="2278"/>
      <c r="G40" s="2278"/>
      <c r="H40" s="2278"/>
      <c r="I40" s="2278"/>
      <c r="J40" s="2278"/>
      <c r="K40" s="2278"/>
      <c r="L40" s="2278"/>
      <c r="M40" s="2278"/>
      <c r="N40" s="2278"/>
      <c r="O40" s="2278"/>
      <c r="P40" s="2278"/>
      <c r="Q40" s="2278"/>
      <c r="R40" s="2278"/>
      <c r="S40" s="2278"/>
      <c r="T40" s="2278"/>
      <c r="U40" s="2278"/>
      <c r="V40" s="2278"/>
      <c r="W40" s="2278"/>
      <c r="X40" s="2279"/>
      <c r="Y40" s="2273">
        <f>ROUND(Y38*Y39,0)</f>
        <v>0</v>
      </c>
      <c r="Z40" s="2273"/>
      <c r="AA40" s="2273"/>
      <c r="AB40" s="2273"/>
      <c r="AC40" s="2273"/>
      <c r="AD40" s="2272">
        <f>ROUND(AD38*AD39,0)</f>
        <v>0</v>
      </c>
      <c r="AE40" s="2273"/>
      <c r="AF40" s="2273"/>
      <c r="AG40" s="2273"/>
      <c r="AH40" s="2273"/>
    </row>
    <row r="41" spans="1:40" ht="13">
      <c r="B41" s="2277" t="s">
        <v>682</v>
      </c>
      <c r="C41" s="2278"/>
      <c r="D41" s="2278"/>
      <c r="E41" s="2278"/>
      <c r="F41" s="2278"/>
      <c r="G41" s="2278"/>
      <c r="H41" s="2278"/>
      <c r="I41" s="2278"/>
      <c r="J41" s="2278"/>
      <c r="K41" s="2278"/>
      <c r="L41" s="2278"/>
      <c r="M41" s="2278"/>
      <c r="N41" s="2278"/>
      <c r="O41" s="2278"/>
      <c r="P41" s="2278"/>
      <c r="Q41" s="2278"/>
      <c r="R41" s="2278"/>
      <c r="S41" s="2278"/>
      <c r="T41" s="2278"/>
      <c r="U41" s="2278"/>
      <c r="V41" s="2278"/>
      <c r="W41" s="2278"/>
      <c r="X41" s="2279"/>
      <c r="Y41" s="2274">
        <f>IF((Y40+AD40)&gt;2500000,2500000,Y40+AD40)</f>
        <v>0</v>
      </c>
      <c r="Z41" s="2275"/>
      <c r="AA41" s="2275"/>
      <c r="AB41" s="2275"/>
      <c r="AC41" s="2275"/>
      <c r="AD41" s="2275"/>
      <c r="AE41" s="2275"/>
      <c r="AF41" s="2275"/>
      <c r="AG41" s="2275"/>
      <c r="AH41" s="2276"/>
    </row>
    <row r="42" spans="1:40" ht="12.75" customHeight="1">
      <c r="A42" s="6"/>
      <c r="B42" s="2293" t="s">
        <v>1287</v>
      </c>
      <c r="C42" s="2293"/>
      <c r="D42" s="2293"/>
      <c r="E42" s="2293"/>
      <c r="F42" s="2293"/>
      <c r="G42" s="2293"/>
      <c r="H42" s="2293"/>
      <c r="I42" s="2293"/>
      <c r="J42" s="2293"/>
      <c r="K42" s="2293"/>
      <c r="L42" s="2293"/>
      <c r="M42" s="2293"/>
      <c r="N42" s="2293"/>
      <c r="O42" s="2293"/>
      <c r="P42" s="2293"/>
      <c r="Q42" s="2293"/>
      <c r="R42" s="2293"/>
      <c r="S42" s="2293"/>
      <c r="T42" s="2293"/>
      <c r="U42" s="2293"/>
      <c r="V42" s="2293"/>
      <c r="W42" s="2293"/>
      <c r="X42" s="2293"/>
      <c r="Y42" s="2293"/>
      <c r="Z42" s="2293"/>
      <c r="AA42" s="2293"/>
      <c r="AB42" s="2293"/>
      <c r="AC42" s="2293"/>
      <c r="AD42" s="2293"/>
      <c r="AE42" s="2293"/>
      <c r="AF42" s="2293"/>
      <c r="AG42" s="2293"/>
      <c r="AH42" s="2293"/>
      <c r="AI42" s="948"/>
      <c r="AJ42" s="948"/>
      <c r="AK42" s="948"/>
      <c r="AL42" s="948"/>
      <c r="AM42" s="948"/>
      <c r="AN42" s="948"/>
    </row>
    <row r="43" spans="1:40" ht="12.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
      <c r="A45" s="6" t="s">
        <v>131</v>
      </c>
      <c r="C45" s="6" t="s">
        <v>281</v>
      </c>
    </row>
    <row r="46" spans="1:40" ht="13">
      <c r="D46" s="6" t="s">
        <v>282</v>
      </c>
      <c r="AB46" s="2268">
        <f>'Sources and Uses Budget'!B104-'Sources and Uses Budget'!$B$15</f>
        <v>35121118</v>
      </c>
      <c r="AC46" s="2269"/>
      <c r="AD46" s="2269"/>
      <c r="AE46" s="2269"/>
      <c r="AF46" s="2270"/>
    </row>
    <row r="47" spans="1:40" ht="12.75" customHeight="1">
      <c r="D47" s="6" t="s">
        <v>918</v>
      </c>
      <c r="AB47" s="2268">
        <f>Application!AG644-MIN('Sources and Uses Budget'!B15,Application!AG385)</f>
        <v>0</v>
      </c>
      <c r="AC47" s="2269"/>
      <c r="AD47" s="2269"/>
      <c r="AE47" s="2269"/>
      <c r="AF47" s="2270"/>
    </row>
    <row r="48" spans="1:40" ht="13">
      <c r="D48" s="6" t="s">
        <v>422</v>
      </c>
      <c r="AB48" s="2268">
        <f>AB46-AB47</f>
        <v>35121118</v>
      </c>
      <c r="AC48" s="2269"/>
      <c r="AD48" s="2269"/>
      <c r="AE48" s="2269"/>
      <c r="AF48" s="2270"/>
    </row>
    <row r="49" spans="1:40" ht="13">
      <c r="D49" s="6" t="s">
        <v>957</v>
      </c>
      <c r="X49" s="2"/>
      <c r="Y49" s="2"/>
      <c r="Z49" s="2"/>
      <c r="AA49" s="409"/>
      <c r="AB49" s="2287"/>
      <c r="AC49" s="2288"/>
      <c r="AD49" s="2288"/>
      <c r="AE49" s="2288"/>
      <c r="AF49" s="2289"/>
    </row>
    <row r="50" spans="1:40" s="515" customFormat="1" ht="15" customHeight="1">
      <c r="A50" s="2"/>
      <c r="B50" s="2"/>
      <c r="C50" s="2"/>
      <c r="D50" s="272"/>
      <c r="E50" s="2298" t="s">
        <v>1504</v>
      </c>
      <c r="F50" s="2298"/>
      <c r="G50" s="2298"/>
      <c r="H50" s="2298"/>
      <c r="I50" s="2298"/>
      <c r="J50" s="2298"/>
      <c r="K50" s="2298"/>
      <c r="L50" s="2298"/>
      <c r="M50" s="2298"/>
      <c r="N50" s="2298"/>
      <c r="O50" s="2298"/>
      <c r="P50" s="2298"/>
      <c r="Q50" s="2298"/>
      <c r="R50" s="2298"/>
      <c r="S50" s="2298"/>
      <c r="T50" s="2298"/>
      <c r="U50" s="2298"/>
      <c r="V50" s="2298"/>
      <c r="W50" s="2298"/>
      <c r="X50" s="2298"/>
      <c r="Y50" s="2298"/>
      <c r="Z50" s="2298"/>
      <c r="AA50" s="777"/>
      <c r="AB50" s="777"/>
      <c r="AC50" s="777"/>
      <c r="AD50" s="777"/>
      <c r="AE50" s="777"/>
      <c r="AF50" s="777"/>
      <c r="AG50" s="2"/>
      <c r="AH50" s="2"/>
      <c r="AI50" s="2"/>
      <c r="AJ50" s="2"/>
      <c r="AK50" s="2"/>
      <c r="AL50" s="2"/>
      <c r="AM50" s="2"/>
      <c r="AN50" s="2"/>
    </row>
    <row r="51" spans="1:40" s="515" customFormat="1" ht="12" customHeight="1">
      <c r="A51" s="2"/>
      <c r="B51" s="2"/>
      <c r="C51" s="2"/>
      <c r="D51" s="272"/>
      <c r="E51" s="2298"/>
      <c r="F51" s="2298"/>
      <c r="G51" s="2298"/>
      <c r="H51" s="2298"/>
      <c r="I51" s="2298"/>
      <c r="J51" s="2298"/>
      <c r="K51" s="2298"/>
      <c r="L51" s="2298"/>
      <c r="M51" s="2298"/>
      <c r="N51" s="2298"/>
      <c r="O51" s="2298"/>
      <c r="P51" s="2298"/>
      <c r="Q51" s="2298"/>
      <c r="R51" s="2298"/>
      <c r="S51" s="2298"/>
      <c r="T51" s="2298"/>
      <c r="U51" s="2298"/>
      <c r="V51" s="2298"/>
      <c r="W51" s="2298"/>
      <c r="X51" s="2298"/>
      <c r="Y51" s="2298"/>
      <c r="Z51" s="2298"/>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8">
        <f>ROUND(IF(ISERROR((AB48/AB49)),0,(AB48/AB49)),0)</f>
        <v>0</v>
      </c>
      <c r="AC53" s="2269"/>
      <c r="AD53" s="2269"/>
      <c r="AE53" s="2269"/>
      <c r="AF53" s="2270"/>
    </row>
    <row r="54" spans="1:40" ht="12.75" customHeight="1">
      <c r="D54" s="6" t="s">
        <v>620</v>
      </c>
      <c r="AB54" s="2268">
        <f>(AB53/10)</f>
        <v>0</v>
      </c>
      <c r="AC54" s="2269"/>
      <c r="AD54" s="2269"/>
      <c r="AE54" s="2269"/>
      <c r="AF54" s="2270"/>
    </row>
    <row r="55" spans="1:40" ht="13">
      <c r="D55" s="6" t="s">
        <v>379</v>
      </c>
      <c r="AB55" s="2295">
        <f>(IF((Y41&lt;AB54),Y41,AB54))</f>
        <v>0</v>
      </c>
      <c r="AC55" s="2296"/>
      <c r="AD55" s="2296"/>
      <c r="AE55" s="2296"/>
      <c r="AF55" s="2297"/>
    </row>
    <row r="56" spans="1:40" ht="13">
      <c r="D56" s="6" t="s">
        <v>118</v>
      </c>
      <c r="AB56" s="2268">
        <f>ROUND((10*AB55*AB49),0)</f>
        <v>0</v>
      </c>
      <c r="AC56" s="2269"/>
      <c r="AD56" s="2269"/>
      <c r="AE56" s="2269"/>
      <c r="AF56" s="22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6">
        <f>AB48-AB56</f>
        <v>35121118</v>
      </c>
      <c r="AC58" s="2266"/>
      <c r="AD58" s="2266"/>
      <c r="AE58" s="2266"/>
      <c r="AF58" s="226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3" t="s">
        <v>1975</v>
      </c>
      <c r="B60" s="2263"/>
      <c r="C60" s="2263"/>
      <c r="D60" s="2263"/>
      <c r="E60" s="2263"/>
      <c r="F60" s="2263"/>
      <c r="G60" s="2263"/>
      <c r="H60" s="2263"/>
      <c r="I60" s="2263"/>
      <c r="J60" s="2263"/>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row>
    <row r="61" spans="1:40" ht="13.75" customHeight="1" thickTop="1">
      <c r="A61" s="2265"/>
      <c r="B61" s="2265"/>
      <c r="C61" s="2265"/>
      <c r="D61" s="2265"/>
      <c r="E61" s="2265"/>
      <c r="F61" s="2265"/>
      <c r="G61" s="2265"/>
      <c r="H61" s="2265"/>
      <c r="I61" s="2265"/>
      <c r="J61" s="2265"/>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67" t="s">
        <v>331</v>
      </c>
      <c r="Z62" s="2267"/>
      <c r="AA62" s="2267"/>
      <c r="AB62" s="2267"/>
      <c r="AC62" s="2267"/>
      <c r="AD62" s="2267" t="s">
        <v>46</v>
      </c>
      <c r="AE62" s="2267"/>
      <c r="AF62" s="2267"/>
      <c r="AG62" s="2267"/>
      <c r="AH62" s="2267"/>
      <c r="AI62" s="1"/>
      <c r="AJ62" s="1"/>
      <c r="AK62" s="1"/>
      <c r="AL62" s="1"/>
      <c r="AM62" s="1"/>
      <c r="AN62" s="1"/>
    </row>
    <row r="63" spans="1:40" ht="13">
      <c r="C63" s="330"/>
      <c r="D63" s="1265" t="s">
        <v>1373</v>
      </c>
      <c r="E63" s="801"/>
      <c r="F63" s="801"/>
      <c r="G63" s="801"/>
      <c r="H63" s="801"/>
      <c r="I63" s="801"/>
      <c r="J63" s="801"/>
      <c r="K63" s="801"/>
      <c r="L63" s="22"/>
      <c r="M63" s="22"/>
      <c r="N63" s="22"/>
      <c r="O63" s="22"/>
      <c r="P63" s="22"/>
      <c r="Q63" s="22"/>
      <c r="R63" s="22"/>
      <c r="S63" s="22"/>
      <c r="T63" s="22"/>
      <c r="U63" s="22"/>
      <c r="V63" s="22"/>
      <c r="W63" s="22"/>
      <c r="X63" s="22"/>
      <c r="Y63" s="1726">
        <f>Y28</f>
        <v>0</v>
      </c>
      <c r="Z63" s="2290"/>
      <c r="AA63" s="2290"/>
      <c r="AB63" s="2290"/>
      <c r="AC63" s="2290"/>
      <c r="AD63" s="1726">
        <f>AI28</f>
        <v>0</v>
      </c>
      <c r="AE63" s="2290"/>
      <c r="AF63" s="2290"/>
      <c r="AG63" s="2290"/>
      <c r="AH63" s="2290"/>
    </row>
    <row r="64" spans="1:40" ht="15" customHeight="1">
      <c r="C64" s="6"/>
      <c r="E64" s="2264" t="s">
        <v>1424</v>
      </c>
      <c r="F64" s="2264"/>
      <c r="G64" s="2264"/>
      <c r="H64" s="2264"/>
      <c r="I64" s="2264"/>
      <c r="J64" s="2264"/>
      <c r="K64" s="2264"/>
      <c r="L64" s="2264"/>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row>
    <row r="65" spans="1:40" ht="24.5" customHeight="1">
      <c r="C65" s="6"/>
      <c r="E65" s="2264"/>
      <c r="F65" s="2264"/>
      <c r="G65" s="2264"/>
      <c r="H65" s="2264"/>
      <c r="I65" s="2264"/>
      <c r="J65" s="2264"/>
      <c r="K65" s="2264"/>
      <c r="L65" s="2264"/>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row>
    <row r="66" spans="1:40" ht="13">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86">
        <v>0.3</v>
      </c>
      <c r="Z66" s="2286"/>
      <c r="AA66" s="2286"/>
      <c r="AB66" s="2286"/>
      <c r="AC66" s="2286"/>
      <c r="AD66" s="2286">
        <v>0.13</v>
      </c>
      <c r="AE66" s="2286"/>
      <c r="AF66" s="2286"/>
      <c r="AG66" s="2286"/>
      <c r="AH66" s="2286"/>
    </row>
    <row r="67" spans="1:40" ht="13">
      <c r="C67" s="6"/>
      <c r="D67" s="6" t="s">
        <v>1044</v>
      </c>
      <c r="Y67" s="1726">
        <f>ROUND(Y63*Y66,0)</f>
        <v>0</v>
      </c>
      <c r="Z67" s="2290"/>
      <c r="AA67" s="2290"/>
      <c r="AB67" s="2290"/>
      <c r="AC67" s="2290"/>
      <c r="AD67" s="1726" t="str">
        <f>IF(OR(Application!D211="At-Risk",Application!D211="At-Risk/Located in Rural Census Tract",Application!D214="At-Risk"),ROUND(AD63*AD66,0),"$0")</f>
        <v>$0</v>
      </c>
      <c r="AE67" s="2291"/>
      <c r="AF67" s="2291"/>
      <c r="AG67" s="2291"/>
      <c r="AH67" s="2291"/>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7"/>
      <c r="AC70" s="2288"/>
      <c r="AD70" s="2288"/>
      <c r="AE70" s="2288"/>
      <c r="AF70" s="2289"/>
      <c r="AG70" s="2"/>
      <c r="AH70" s="2"/>
      <c r="AI70" s="2"/>
      <c r="AJ70" s="2"/>
      <c r="AK70" s="2"/>
      <c r="AL70" s="2"/>
      <c r="AM70" s="2"/>
      <c r="AN70" s="2"/>
    </row>
    <row r="71" spans="1:40" ht="12.75" customHeight="1">
      <c r="A71" s="330"/>
      <c r="B71" s="2"/>
      <c r="C71" s="330"/>
      <c r="D71" s="330"/>
      <c r="E71" s="2292" t="s">
        <v>1970</v>
      </c>
      <c r="F71" s="2292"/>
      <c r="G71" s="2292"/>
      <c r="H71" s="2292"/>
      <c r="I71" s="2292"/>
      <c r="J71" s="2292"/>
      <c r="K71" s="2292"/>
      <c r="L71" s="2292"/>
      <c r="M71" s="2292"/>
      <c r="N71" s="2292"/>
      <c r="O71" s="2292"/>
      <c r="P71" s="2292"/>
      <c r="Q71" s="2292"/>
      <c r="R71" s="2292"/>
      <c r="S71" s="2292"/>
      <c r="T71" s="2292"/>
      <c r="U71" s="2292"/>
      <c r="V71" s="2292"/>
      <c r="W71" s="2292"/>
      <c r="X71" s="2292"/>
      <c r="Y71" s="2292"/>
      <c r="Z71" s="2292"/>
      <c r="AA71" s="802"/>
      <c r="AB71" s="802"/>
      <c r="AC71" s="802"/>
      <c r="AG71" s="2"/>
      <c r="AH71" s="2"/>
      <c r="AI71" s="2"/>
      <c r="AJ71" s="2"/>
      <c r="AK71" s="2"/>
      <c r="AL71" s="2"/>
      <c r="AM71" s="2"/>
      <c r="AN71" s="2"/>
    </row>
    <row r="72" spans="1:40" ht="12.75" customHeight="1">
      <c r="A72" s="330"/>
      <c r="B72" s="2"/>
      <c r="C72" s="330"/>
      <c r="D72" s="330"/>
      <c r="E72" s="2292"/>
      <c r="F72" s="2292"/>
      <c r="G72" s="2292"/>
      <c r="H72" s="2292"/>
      <c r="I72" s="2292"/>
      <c r="J72" s="2292"/>
      <c r="K72" s="2292"/>
      <c r="L72" s="2292"/>
      <c r="M72" s="2292"/>
      <c r="N72" s="2292"/>
      <c r="O72" s="2292"/>
      <c r="P72" s="2292"/>
      <c r="Q72" s="2292"/>
      <c r="R72" s="2292"/>
      <c r="S72" s="2292"/>
      <c r="T72" s="2292"/>
      <c r="U72" s="2292"/>
      <c r="V72" s="2292"/>
      <c r="W72" s="2292"/>
      <c r="X72" s="2292"/>
      <c r="Y72" s="2292"/>
      <c r="Z72" s="2292"/>
      <c r="AA72" s="802"/>
      <c r="AB72" s="802"/>
      <c r="AC72" s="802"/>
      <c r="AG72" s="2"/>
      <c r="AH72" s="2"/>
      <c r="AI72" s="2"/>
      <c r="AJ72" s="2"/>
      <c r="AK72" s="2"/>
      <c r="AL72" s="2"/>
      <c r="AM72" s="2"/>
      <c r="AN72" s="2"/>
    </row>
    <row r="73" spans="1:40" ht="12" customHeight="1">
      <c r="A73" s="330"/>
      <c r="B73" s="2"/>
      <c r="C73" s="330"/>
      <c r="D73" s="330"/>
      <c r="E73" s="2292"/>
      <c r="F73" s="2292"/>
      <c r="G73" s="2292"/>
      <c r="H73" s="2292"/>
      <c r="I73" s="2292"/>
      <c r="J73" s="2292"/>
      <c r="K73" s="2292"/>
      <c r="L73" s="2292"/>
      <c r="M73" s="2292"/>
      <c r="N73" s="2292"/>
      <c r="O73" s="2292"/>
      <c r="P73" s="2292"/>
      <c r="Q73" s="2292"/>
      <c r="R73" s="2292"/>
      <c r="S73" s="2292"/>
      <c r="T73" s="2292"/>
      <c r="U73" s="2292"/>
      <c r="V73" s="2292"/>
      <c r="W73" s="2292"/>
      <c r="X73" s="2292"/>
      <c r="Y73" s="2292"/>
      <c r="Z73" s="2292"/>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85">
        <f>ROUND(IF(ISERROR((AB58/AB70)),0,(AB58/AB70)),0)</f>
        <v>0</v>
      </c>
      <c r="AC75" s="2285"/>
      <c r="AD75" s="2285"/>
      <c r="AE75" s="2285"/>
      <c r="AF75" s="2285"/>
    </row>
    <row r="76" spans="1:40" ht="12.75" customHeight="1">
      <c r="C76" s="6"/>
      <c r="D76" s="6" t="s">
        <v>116</v>
      </c>
      <c r="AB76" s="2282">
        <f>IF((Y67+AD67&lt;AB75),Y67+AD67,AB75)</f>
        <v>0</v>
      </c>
      <c r="AC76" s="2283"/>
      <c r="AD76" s="2283"/>
      <c r="AE76" s="2283"/>
      <c r="AF76" s="2284"/>
    </row>
    <row r="77" spans="1:40" ht="12.75" customHeight="1">
      <c r="C77" s="6"/>
      <c r="D77" s="6" t="s">
        <v>1045</v>
      </c>
      <c r="AB77" s="2281">
        <f>AB76*AB70</f>
        <v>0</v>
      </c>
      <c r="AC77" s="2281"/>
      <c r="AD77" s="2281"/>
      <c r="AE77" s="2281"/>
      <c r="AF77" s="2281"/>
    </row>
    <row r="78" spans="1:40" ht="12.75" customHeight="1">
      <c r="C78" s="6"/>
      <c r="D78" s="6"/>
      <c r="AB78" s="933"/>
      <c r="AC78" s="933"/>
      <c r="AD78" s="933"/>
      <c r="AE78" s="933"/>
      <c r="AF78" s="933"/>
    </row>
    <row r="79" spans="1:40" ht="12.75" customHeight="1">
      <c r="A79" s="1"/>
      <c r="B79" s="1"/>
      <c r="C79" s="1"/>
      <c r="D79" s="6" t="s">
        <v>117</v>
      </c>
      <c r="AB79" s="2266">
        <f>AB48-(AB56+AB77)</f>
        <v>35121118</v>
      </c>
      <c r="AC79" s="2266"/>
      <c r="AD79" s="2266"/>
      <c r="AE79" s="2266"/>
      <c r="AF79" s="226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53125" style="527" customWidth="1"/>
    <col min="2" max="2" width="14.453125" style="565" customWidth="1"/>
    <col min="3" max="4" width="14.453125" style="528" customWidth="1"/>
    <col min="5" max="5" width="14.453125" style="565" customWidth="1"/>
    <col min="6" max="6" width="50.45312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3" t="s">
        <v>1359</v>
      </c>
      <c r="G1" s="898"/>
    </row>
    <row r="2" spans="1:7" ht="13">
      <c r="A2" s="399" t="s">
        <v>1055</v>
      </c>
      <c r="B2" s="352"/>
      <c r="C2" s="518"/>
      <c r="D2" s="518"/>
      <c r="E2" s="352"/>
      <c r="F2" s="519"/>
      <c r="G2" s="519"/>
    </row>
    <row r="3" spans="1:7" s="899" customFormat="1" ht="80.25" customHeight="1">
      <c r="A3" s="530"/>
      <c r="B3" s="520" t="s">
        <v>1054</v>
      </c>
      <c r="C3" s="520" t="s">
        <v>1302</v>
      </c>
      <c r="D3" s="520" t="s">
        <v>1057</v>
      </c>
      <c r="E3" s="520" t="s">
        <v>1058</v>
      </c>
      <c r="F3" s="514" t="s">
        <v>1056</v>
      </c>
      <c r="G3" s="520"/>
    </row>
    <row r="4" spans="1:7" s="901" customFormat="1" ht="13">
      <c r="A4" s="1488" t="s">
        <v>381</v>
      </c>
      <c r="B4" s="521"/>
      <c r="C4" s="521"/>
      <c r="D4" s="521"/>
      <c r="E4" s="521"/>
      <c r="F4" s="521"/>
      <c r="G4" s="521"/>
    </row>
    <row r="5" spans="1:7" s="901" customFormat="1" ht="12.5">
      <c r="A5" s="1489" t="s">
        <v>1059</v>
      </c>
      <c r="B5" s="523">
        <f>'Sources and Uses Budget'!C4</f>
        <v>1614460</v>
      </c>
      <c r="C5" s="523">
        <f>'Sources and Uses Budget'!C4</f>
        <v>1614460</v>
      </c>
      <c r="D5" s="523">
        <f>'Sources and Uses Budget'!C4</f>
        <v>1614460</v>
      </c>
      <c r="E5" s="525">
        <f>C5-B5</f>
        <v>0</v>
      </c>
      <c r="F5" s="524"/>
      <c r="G5" s="524"/>
    </row>
    <row r="6" spans="1:7" s="901" customFormat="1" ht="12.5">
      <c r="A6" s="1489" t="s">
        <v>1060</v>
      </c>
      <c r="B6" s="523">
        <f>'Sources and Uses Budget'!C5</f>
        <v>265683</v>
      </c>
      <c r="C6" s="523">
        <f>'Sources and Uses Budget'!C5</f>
        <v>265683</v>
      </c>
      <c r="D6" s="523">
        <f>'Sources and Uses Budget'!C5</f>
        <v>265683</v>
      </c>
      <c r="E6" s="525">
        <f t="shared" ref="E6:E73" si="0">C6-B6</f>
        <v>0</v>
      </c>
      <c r="F6" s="524"/>
      <c r="G6" s="524"/>
    </row>
    <row r="7" spans="1:7" s="901" customFormat="1" ht="12.5">
      <c r="A7" s="1489" t="s">
        <v>382</v>
      </c>
      <c r="B7" s="523">
        <f>'Sources and Uses Budget'!C6</f>
        <v>29018</v>
      </c>
      <c r="C7" s="523">
        <f>'Sources and Uses Budget'!C6</f>
        <v>29018</v>
      </c>
      <c r="D7" s="523">
        <f>'Sources and Uses Budget'!C6</f>
        <v>29018</v>
      </c>
      <c r="E7" s="525">
        <f t="shared" si="0"/>
        <v>0</v>
      </c>
      <c r="F7" s="524"/>
      <c r="G7" s="524"/>
    </row>
    <row r="8" spans="1:7" s="901" customFormat="1" ht="12.5">
      <c r="A8" s="1489" t="s">
        <v>310</v>
      </c>
      <c r="B8" s="523">
        <f>'Sources and Uses Budget'!C7</f>
        <v>0</v>
      </c>
      <c r="C8" s="523">
        <f>'Sources and Uses Budget'!C7</f>
        <v>0</v>
      </c>
      <c r="D8" s="523">
        <f>'Sources and Uses Budget'!C7</f>
        <v>0</v>
      </c>
      <c r="E8" s="525">
        <f t="shared" si="0"/>
        <v>0</v>
      </c>
      <c r="F8" s="524"/>
      <c r="G8" s="524"/>
    </row>
    <row r="9" spans="1:7" s="901" customFormat="1" ht="12.5">
      <c r="A9" s="1490" t="s">
        <v>1061</v>
      </c>
      <c r="B9" s="525">
        <f>SUM(B5:B8)</f>
        <v>1909161</v>
      </c>
      <c r="C9" s="525">
        <f>SUM(C5:C8)</f>
        <v>1909161</v>
      </c>
      <c r="D9" s="525">
        <f>SUM(D5:D8)</f>
        <v>1909161</v>
      </c>
      <c r="E9" s="525">
        <f t="shared" si="0"/>
        <v>0</v>
      </c>
      <c r="F9" s="524"/>
      <c r="G9" s="524"/>
    </row>
    <row r="10" spans="1:7" s="901" customFormat="1" ht="12.5">
      <c r="A10" s="1489" t="s">
        <v>644</v>
      </c>
      <c r="B10" s="523">
        <f>'Sources and Uses Budget'!C9</f>
        <v>0</v>
      </c>
      <c r="C10" s="523">
        <f>'Sources and Uses Budget'!C9</f>
        <v>0</v>
      </c>
      <c r="D10" s="523">
        <f>'Sources and Uses Budget'!C9</f>
        <v>0</v>
      </c>
      <c r="E10" s="525">
        <f t="shared" si="0"/>
        <v>0</v>
      </c>
      <c r="F10" s="524"/>
      <c r="G10" s="524"/>
    </row>
    <row r="11" spans="1:7" s="901" customFormat="1" ht="12.5">
      <c r="A11" s="1489" t="s">
        <v>1062</v>
      </c>
      <c r="B11" s="523">
        <f>'Sources and Uses Budget'!C10</f>
        <v>1487296</v>
      </c>
      <c r="C11" s="523">
        <f>'Sources and Uses Budget'!C10</f>
        <v>1487296</v>
      </c>
      <c r="D11" s="523">
        <f>'Sources and Uses Budget'!C10</f>
        <v>1487296</v>
      </c>
      <c r="E11" s="525">
        <f t="shared" si="0"/>
        <v>0</v>
      </c>
      <c r="F11" s="524"/>
      <c r="G11" s="524"/>
    </row>
    <row r="12" spans="1:7" s="901" customFormat="1" ht="12.5">
      <c r="A12" s="1490" t="s">
        <v>645</v>
      </c>
      <c r="B12" s="525">
        <f>SUM(B10:B11)</f>
        <v>1487296</v>
      </c>
      <c r="C12" s="525">
        <f>SUM(C10:C11)</f>
        <v>1487296</v>
      </c>
      <c r="D12" s="525">
        <f>SUM(D10:D11)</f>
        <v>1487296</v>
      </c>
      <c r="E12" s="525">
        <f t="shared" si="0"/>
        <v>0</v>
      </c>
      <c r="F12" s="524"/>
      <c r="G12" s="524"/>
    </row>
    <row r="13" spans="1:7" s="901" customFormat="1" ht="12.5">
      <c r="A13" s="1490" t="s">
        <v>777</v>
      </c>
      <c r="B13" s="525">
        <f>SUM(B9+B12)</f>
        <v>3396457</v>
      </c>
      <c r="C13" s="525">
        <f>SUM(C9+C12)</f>
        <v>3396457</v>
      </c>
      <c r="D13" s="525">
        <f>SUM(D9+D12)</f>
        <v>3396457</v>
      </c>
      <c r="E13" s="525">
        <f t="shared" si="0"/>
        <v>0</v>
      </c>
      <c r="F13" s="524"/>
      <c r="G13" s="524"/>
    </row>
    <row r="14" spans="1:7" s="901" customFormat="1" ht="12.5">
      <c r="A14" s="1491" t="s">
        <v>1228</v>
      </c>
      <c r="B14" s="523">
        <f>'Sources and Uses Budget'!C13</f>
        <v>170000</v>
      </c>
      <c r="C14" s="523">
        <f>'Sources and Uses Budget'!C13</f>
        <v>170000</v>
      </c>
      <c r="D14" s="523">
        <f>'Sources and Uses Budget'!C13</f>
        <v>170000</v>
      </c>
      <c r="E14" s="525">
        <f t="shared" si="0"/>
        <v>0</v>
      </c>
      <c r="F14" s="524"/>
      <c r="G14" s="524"/>
    </row>
    <row r="15" spans="1:7" s="901" customFormat="1" ht="23">
      <c r="A15" s="1492" t="s">
        <v>1263</v>
      </c>
      <c r="B15" s="523">
        <f>'Sources and Uses Budget'!C14</f>
        <v>0</v>
      </c>
      <c r="C15" s="523">
        <f>'Sources and Uses Budget'!C14</f>
        <v>0</v>
      </c>
      <c r="D15" s="523">
        <f>'Sources and Uses Budget'!C14</f>
        <v>0</v>
      </c>
      <c r="E15" s="525">
        <f t="shared" si="0"/>
        <v>0</v>
      </c>
      <c r="F15" s="524"/>
      <c r="G15" s="524"/>
    </row>
    <row r="16" spans="1:7" s="901" customFormat="1" ht="12.5">
      <c r="A16" s="1492" t="s">
        <v>1893</v>
      </c>
      <c r="B16" s="523">
        <f>'Sources and Uses Budget'!C15</f>
        <v>0</v>
      </c>
      <c r="C16" s="523">
        <f>'Sources and Uses Budget'!C15</f>
        <v>0</v>
      </c>
      <c r="D16" s="523">
        <f>'Sources and Uses Budget'!C15</f>
        <v>0</v>
      </c>
      <c r="E16" s="525">
        <f t="shared" si="0"/>
        <v>0</v>
      </c>
      <c r="F16" s="524"/>
      <c r="G16" s="524"/>
    </row>
    <row r="17" spans="1:7" s="901" customFormat="1" ht="13">
      <c r="A17" s="1488" t="s">
        <v>1012</v>
      </c>
      <c r="B17" s="521"/>
      <c r="C17" s="521"/>
      <c r="D17" s="521"/>
      <c r="E17" s="521"/>
      <c r="F17" s="521"/>
      <c r="G17" s="521"/>
    </row>
    <row r="18" spans="1:7" s="901" customFormat="1" ht="12.5">
      <c r="A18" s="369" t="s">
        <v>1013</v>
      </c>
      <c r="B18" s="523">
        <f>'Sources and Uses Budget'!C17</f>
        <v>0</v>
      </c>
      <c r="C18" s="523">
        <f>'Sources and Uses Budget'!C17</f>
        <v>0</v>
      </c>
      <c r="D18" s="523">
        <f>'Sources and Uses Budget'!C17</f>
        <v>0</v>
      </c>
      <c r="E18" s="525">
        <f t="shared" si="0"/>
        <v>0</v>
      </c>
      <c r="F18" s="524"/>
      <c r="G18" s="524"/>
    </row>
    <row r="19" spans="1:7" s="901" customFormat="1" ht="12.5">
      <c r="A19" s="369" t="s">
        <v>1014</v>
      </c>
      <c r="B19" s="523">
        <f>'Sources and Uses Budget'!C18</f>
        <v>0</v>
      </c>
      <c r="C19" s="523">
        <f>'Sources and Uses Budget'!C18</f>
        <v>0</v>
      </c>
      <c r="D19" s="523">
        <f>'Sources and Uses Budget'!C18</f>
        <v>0</v>
      </c>
      <c r="E19" s="525">
        <f t="shared" ref="E19:E26" si="1">C19-B19</f>
        <v>0</v>
      </c>
      <c r="F19" s="524"/>
      <c r="G19" s="524"/>
    </row>
    <row r="20" spans="1:7" s="901" customFormat="1" ht="12.5">
      <c r="A20" s="369" t="s">
        <v>1015</v>
      </c>
      <c r="B20" s="523">
        <f>'Sources and Uses Budget'!C19</f>
        <v>0</v>
      </c>
      <c r="C20" s="523">
        <f>'Sources and Uses Budget'!C19</f>
        <v>0</v>
      </c>
      <c r="D20" s="523">
        <f>'Sources and Uses Budget'!C19</f>
        <v>0</v>
      </c>
      <c r="E20" s="525">
        <f t="shared" si="1"/>
        <v>0</v>
      </c>
      <c r="F20" s="524"/>
      <c r="G20" s="524"/>
    </row>
    <row r="21" spans="1:7" s="901" customFormat="1" ht="12.5">
      <c r="A21" s="369" t="s">
        <v>1016</v>
      </c>
      <c r="B21" s="523">
        <f>'Sources and Uses Budget'!C20</f>
        <v>0</v>
      </c>
      <c r="C21" s="523">
        <f>'Sources and Uses Budget'!C20</f>
        <v>0</v>
      </c>
      <c r="D21" s="523">
        <f>'Sources and Uses Budget'!C20</f>
        <v>0</v>
      </c>
      <c r="E21" s="525">
        <f t="shared" si="1"/>
        <v>0</v>
      </c>
      <c r="F21" s="524"/>
      <c r="G21" s="524"/>
    </row>
    <row r="22" spans="1:7" s="901" customFormat="1" ht="12.5">
      <c r="A22" s="369" t="s">
        <v>1017</v>
      </c>
      <c r="B22" s="523">
        <f>'Sources and Uses Budget'!C21</f>
        <v>0</v>
      </c>
      <c r="C22" s="523">
        <f>'Sources and Uses Budget'!C21</f>
        <v>0</v>
      </c>
      <c r="D22" s="523">
        <f>'Sources and Uses Budget'!C21</f>
        <v>0</v>
      </c>
      <c r="E22" s="525">
        <f t="shared" si="1"/>
        <v>0</v>
      </c>
      <c r="F22" s="524"/>
      <c r="G22" s="524"/>
    </row>
    <row r="23" spans="1:7" s="901" customFormat="1" ht="12.5">
      <c r="A23" s="369" t="s">
        <v>1018</v>
      </c>
      <c r="B23" s="523">
        <f>'Sources and Uses Budget'!C22</f>
        <v>0</v>
      </c>
      <c r="C23" s="523">
        <f>'Sources and Uses Budget'!C22</f>
        <v>0</v>
      </c>
      <c r="D23" s="523">
        <f>'Sources and Uses Budget'!C22</f>
        <v>0</v>
      </c>
      <c r="E23" s="525">
        <f t="shared" si="1"/>
        <v>0</v>
      </c>
      <c r="F23" s="524"/>
      <c r="G23" s="524"/>
    </row>
    <row r="24" spans="1:7" s="901" customFormat="1" ht="12.5">
      <c r="A24" s="369" t="s">
        <v>1019</v>
      </c>
      <c r="B24" s="523">
        <f>'Sources and Uses Budget'!C23</f>
        <v>0</v>
      </c>
      <c r="C24" s="523">
        <f>'Sources and Uses Budget'!C23</f>
        <v>0</v>
      </c>
      <c r="D24" s="523">
        <f>'Sources and Uses Budget'!C23</f>
        <v>0</v>
      </c>
      <c r="E24" s="525">
        <f t="shared" si="1"/>
        <v>0</v>
      </c>
      <c r="F24" s="524"/>
      <c r="G24" s="524"/>
    </row>
    <row r="25" spans="1:7" s="901" customFormat="1" ht="12.5">
      <c r="A25" s="380" t="s">
        <v>2238</v>
      </c>
      <c r="B25" s="523">
        <f>'Sources and Uses Budget'!C24</f>
        <v>0</v>
      </c>
      <c r="C25" s="523">
        <f>'Sources and Uses Budget'!C24</f>
        <v>0</v>
      </c>
      <c r="D25" s="523">
        <f>'Sources and Uses Budget'!C24</f>
        <v>0</v>
      </c>
      <c r="E25" s="525">
        <f t="shared" si="1"/>
        <v>0</v>
      </c>
      <c r="F25" s="524"/>
      <c r="G25" s="524"/>
    </row>
    <row r="26" spans="1:7" s="901" customFormat="1" ht="12.5">
      <c r="A26" s="380" t="s">
        <v>592</v>
      </c>
      <c r="B26" s="523">
        <f>'Sources and Uses Budget'!C25</f>
        <v>0</v>
      </c>
      <c r="C26" s="523">
        <f>'Sources and Uses Budget'!C25</f>
        <v>0</v>
      </c>
      <c r="D26" s="523">
        <f>'Sources and Uses Budget'!C25</f>
        <v>0</v>
      </c>
      <c r="E26" s="525">
        <f t="shared" si="1"/>
        <v>0</v>
      </c>
      <c r="F26" s="524"/>
      <c r="G26" s="524"/>
    </row>
    <row r="27" spans="1:7" s="901" customFormat="1" ht="13">
      <c r="A27" s="526" t="s">
        <v>248</v>
      </c>
      <c r="B27" s="1500">
        <f>'Sources and Uses Budget'!C26</f>
        <v>0</v>
      </c>
      <c r="C27" s="1500">
        <f>'Sources and Uses Budget'!C26</f>
        <v>0</v>
      </c>
      <c r="D27" s="1500">
        <f>'Sources and Uses Budget'!C26</f>
        <v>0</v>
      </c>
      <c r="E27" s="525">
        <f>C27-B27</f>
        <v>0</v>
      </c>
      <c r="F27" s="524"/>
      <c r="G27" s="524"/>
    </row>
    <row r="28" spans="1:7" s="901" customFormat="1" ht="13">
      <c r="A28" s="1493" t="s">
        <v>1020</v>
      </c>
      <c r="B28" s="523">
        <f>'Sources and Uses Budget'!C27</f>
        <v>0</v>
      </c>
      <c r="C28" s="523">
        <f>'Sources and Uses Budget'!C27</f>
        <v>0</v>
      </c>
      <c r="D28" s="523">
        <f>'Sources and Uses Budget'!C27</f>
        <v>0</v>
      </c>
      <c r="E28" s="525">
        <f>C28-B28</f>
        <v>0</v>
      </c>
      <c r="F28" s="524"/>
      <c r="G28" s="524"/>
    </row>
    <row r="29" spans="1:7" s="901" customFormat="1" ht="13">
      <c r="A29" s="1488" t="s">
        <v>1021</v>
      </c>
      <c r="B29" s="521"/>
      <c r="C29" s="521"/>
      <c r="D29" s="521"/>
      <c r="E29" s="521"/>
      <c r="F29" s="521"/>
      <c r="G29" s="521"/>
    </row>
    <row r="30" spans="1:7" s="901" customFormat="1" ht="12.5">
      <c r="A30" s="369" t="s">
        <v>1013</v>
      </c>
      <c r="B30" s="523">
        <f>'Sources and Uses Budget'!C29</f>
        <v>3581863</v>
      </c>
      <c r="C30" s="523">
        <f>'Sources and Uses Budget'!C29</f>
        <v>3581863</v>
      </c>
      <c r="D30" s="523">
        <f>'Sources and Uses Budget'!C29</f>
        <v>3581863</v>
      </c>
      <c r="E30" s="525">
        <f t="shared" si="0"/>
        <v>0</v>
      </c>
      <c r="F30" s="524"/>
      <c r="G30" s="524"/>
    </row>
    <row r="31" spans="1:7" s="901" customFormat="1" ht="12.5">
      <c r="A31" s="369" t="s">
        <v>1014</v>
      </c>
      <c r="B31" s="523">
        <f>'Sources and Uses Budget'!C30</f>
        <v>15533819</v>
      </c>
      <c r="C31" s="523">
        <f>'Sources and Uses Budget'!C30</f>
        <v>15533819</v>
      </c>
      <c r="D31" s="523">
        <f>'Sources and Uses Budget'!C30</f>
        <v>15533819</v>
      </c>
      <c r="E31" s="525">
        <f t="shared" si="0"/>
        <v>0</v>
      </c>
      <c r="F31" s="524"/>
      <c r="G31" s="524"/>
    </row>
    <row r="32" spans="1:7" s="901" customFormat="1" ht="12.5">
      <c r="A32" s="369" t="s">
        <v>1015</v>
      </c>
      <c r="B32" s="523">
        <f>'Sources and Uses Budget'!C31</f>
        <v>1457171</v>
      </c>
      <c r="C32" s="523">
        <f>'Sources and Uses Budget'!C31</f>
        <v>1457171</v>
      </c>
      <c r="D32" s="523">
        <f>'Sources and Uses Budget'!C31</f>
        <v>1457171</v>
      </c>
      <c r="E32" s="525">
        <f t="shared" si="0"/>
        <v>0</v>
      </c>
      <c r="F32" s="524"/>
      <c r="G32" s="524"/>
    </row>
    <row r="33" spans="1:7" s="901" customFormat="1" ht="12.5">
      <c r="A33" s="369" t="s">
        <v>1016</v>
      </c>
      <c r="B33" s="523">
        <f>'Sources and Uses Budget'!C32</f>
        <v>436164.5</v>
      </c>
      <c r="C33" s="523">
        <f>'Sources and Uses Budget'!C32</f>
        <v>436164.5</v>
      </c>
      <c r="D33" s="523">
        <f>'Sources and Uses Budget'!C32</f>
        <v>436164.5</v>
      </c>
      <c r="E33" s="525">
        <f t="shared" si="0"/>
        <v>0</v>
      </c>
      <c r="F33" s="524"/>
      <c r="G33" s="524"/>
    </row>
    <row r="34" spans="1:7" s="901" customFormat="1" ht="12.5">
      <c r="A34" s="369" t="s">
        <v>1017</v>
      </c>
      <c r="B34" s="523">
        <f>'Sources and Uses Budget'!C33</f>
        <v>436164.5</v>
      </c>
      <c r="C34" s="523">
        <f>'Sources and Uses Budget'!C33</f>
        <v>436164.5</v>
      </c>
      <c r="D34" s="523">
        <f>'Sources and Uses Budget'!C33</f>
        <v>436164.5</v>
      </c>
      <c r="E34" s="525">
        <f t="shared" si="0"/>
        <v>0</v>
      </c>
      <c r="F34" s="524"/>
      <c r="G34" s="524"/>
    </row>
    <row r="35" spans="1:7" s="901" customFormat="1" ht="12.5">
      <c r="A35" s="369" t="s">
        <v>1018</v>
      </c>
      <c r="B35" s="523">
        <f>'Sources and Uses Budget'!C34</f>
        <v>0</v>
      </c>
      <c r="C35" s="523">
        <f>'Sources and Uses Budget'!C34</f>
        <v>0</v>
      </c>
      <c r="D35" s="523">
        <f>'Sources and Uses Budget'!C34</f>
        <v>0</v>
      </c>
      <c r="E35" s="525">
        <f t="shared" si="0"/>
        <v>0</v>
      </c>
      <c r="F35" s="524"/>
      <c r="G35" s="524"/>
    </row>
    <row r="36" spans="1:7" s="901" customFormat="1" ht="12.5">
      <c r="A36" s="369" t="s">
        <v>1019</v>
      </c>
      <c r="B36" s="523">
        <f>'Sources and Uses Budget'!C35</f>
        <v>208677</v>
      </c>
      <c r="C36" s="523">
        <f>'Sources and Uses Budget'!C35</f>
        <v>208677</v>
      </c>
      <c r="D36" s="523">
        <f>'Sources and Uses Budget'!C35</f>
        <v>208677</v>
      </c>
      <c r="E36" s="525">
        <f t="shared" si="0"/>
        <v>0</v>
      </c>
      <c r="F36" s="524"/>
      <c r="G36" s="524"/>
    </row>
    <row r="37" spans="1:7" s="901" customFormat="1" ht="12.5">
      <c r="A37" s="722" t="s">
        <v>2238</v>
      </c>
      <c r="B37" s="523">
        <f>'Sources and Uses Budget'!C36</f>
        <v>0</v>
      </c>
      <c r="C37" s="523">
        <f>'Sources and Uses Budget'!C36</f>
        <v>0</v>
      </c>
      <c r="D37" s="523">
        <f>'Sources and Uses Budget'!C36</f>
        <v>0</v>
      </c>
      <c r="E37" s="525">
        <f t="shared" si="0"/>
        <v>0</v>
      </c>
      <c r="F37" s="524"/>
      <c r="G37" s="524"/>
    </row>
    <row r="38" spans="1:7" s="901" customFormat="1" ht="12.5">
      <c r="A38" s="380" t="s">
        <v>592</v>
      </c>
      <c r="B38" s="523">
        <f>'Sources and Uses Budget'!C37</f>
        <v>0</v>
      </c>
      <c r="C38" s="523">
        <f>'Sources and Uses Budget'!C37</f>
        <v>0</v>
      </c>
      <c r="D38" s="523">
        <f>'Sources and Uses Budget'!C37</f>
        <v>0</v>
      </c>
      <c r="E38" s="525">
        <f>C38-B38</f>
        <v>0</v>
      </c>
      <c r="F38" s="524"/>
      <c r="G38" s="524"/>
    </row>
    <row r="39" spans="1:7" s="901" customFormat="1" ht="13">
      <c r="A39" s="1493" t="s">
        <v>1022</v>
      </c>
      <c r="B39" s="1500">
        <f>'Sources and Uses Budget'!C38</f>
        <v>21653859</v>
      </c>
      <c r="C39" s="1500">
        <f>'Sources and Uses Budget'!C38</f>
        <v>21653859</v>
      </c>
      <c r="D39" s="1500">
        <f>'Sources and Uses Budget'!C38</f>
        <v>21653859</v>
      </c>
      <c r="E39" s="525">
        <f>C39-B39</f>
        <v>0</v>
      </c>
      <c r="F39" s="524"/>
      <c r="G39" s="524"/>
    </row>
    <row r="40" spans="1:7" s="901" customFormat="1" ht="13">
      <c r="A40" s="1488" t="s">
        <v>1023</v>
      </c>
      <c r="B40" s="521"/>
      <c r="C40" s="521"/>
      <c r="D40" s="521"/>
      <c r="E40" s="521"/>
      <c r="F40" s="521"/>
      <c r="G40" s="521"/>
    </row>
    <row r="41" spans="1:7" s="901" customFormat="1" ht="12.5">
      <c r="A41" s="1494" t="s">
        <v>1024</v>
      </c>
      <c r="B41" s="523">
        <f>'Sources and Uses Budget'!C40</f>
        <v>924480</v>
      </c>
      <c r="C41" s="523">
        <f>'Sources and Uses Budget'!C40</f>
        <v>924480</v>
      </c>
      <c r="D41" s="523">
        <f>'Sources and Uses Budget'!C40</f>
        <v>924480</v>
      </c>
      <c r="E41" s="525">
        <f>C41-B41</f>
        <v>0</v>
      </c>
      <c r="F41" s="524"/>
      <c r="G41" s="524"/>
    </row>
    <row r="42" spans="1:7" s="901" customFormat="1" ht="12.5">
      <c r="A42" s="1494" t="s">
        <v>1025</v>
      </c>
      <c r="B42" s="523">
        <f>'Sources and Uses Budget'!C41</f>
        <v>0</v>
      </c>
      <c r="C42" s="523">
        <f>'Sources and Uses Budget'!C41</f>
        <v>0</v>
      </c>
      <c r="D42" s="523">
        <f>'Sources and Uses Budget'!C41</f>
        <v>0</v>
      </c>
      <c r="E42" s="525">
        <f>C42-B42</f>
        <v>0</v>
      </c>
      <c r="F42" s="524"/>
      <c r="G42" s="524"/>
    </row>
    <row r="43" spans="1:7" s="901" customFormat="1" ht="12" customHeight="1">
      <c r="A43" s="1493" t="s">
        <v>1026</v>
      </c>
      <c r="B43" s="1500">
        <f>'Sources and Uses Budget'!C42</f>
        <v>924480</v>
      </c>
      <c r="C43" s="1500">
        <f>'Sources and Uses Budget'!C42</f>
        <v>924480</v>
      </c>
      <c r="D43" s="1500">
        <f>'Sources and Uses Budget'!C42</f>
        <v>924480</v>
      </c>
      <c r="E43" s="525">
        <f>C43-B43</f>
        <v>0</v>
      </c>
      <c r="F43" s="524"/>
      <c r="G43" s="524"/>
    </row>
    <row r="44" spans="1:7" s="901" customFormat="1" ht="13">
      <c r="A44" s="1493" t="s">
        <v>1027</v>
      </c>
      <c r="B44" s="523">
        <f>'Sources and Uses Budget'!C43</f>
        <v>328800</v>
      </c>
      <c r="C44" s="523">
        <f>'Sources and Uses Budget'!C43</f>
        <v>328800</v>
      </c>
      <c r="D44" s="523">
        <f>'Sources and Uses Budget'!C43</f>
        <v>328800</v>
      </c>
      <c r="E44" s="525">
        <f>C44-B44</f>
        <v>0</v>
      </c>
      <c r="F44" s="524"/>
      <c r="G44" s="524"/>
    </row>
    <row r="45" spans="1:7" s="901" customFormat="1" ht="13">
      <c r="A45" s="365" t="s">
        <v>1028</v>
      </c>
      <c r="B45" s="521"/>
      <c r="C45" s="521"/>
      <c r="D45" s="521"/>
      <c r="E45" s="521"/>
      <c r="F45" s="521"/>
      <c r="G45" s="521"/>
    </row>
    <row r="46" spans="1:7" s="901" customFormat="1" ht="12" customHeight="1">
      <c r="A46" s="369" t="s">
        <v>1029</v>
      </c>
      <c r="B46" s="523">
        <f>'Sources and Uses Budget'!C45</f>
        <v>1185800</v>
      </c>
      <c r="C46" s="523">
        <f>'Sources and Uses Budget'!C45</f>
        <v>1185800</v>
      </c>
      <c r="D46" s="523">
        <f>'Sources and Uses Budget'!C45</f>
        <v>1185800</v>
      </c>
      <c r="E46" s="525">
        <f t="shared" si="0"/>
        <v>0</v>
      </c>
      <c r="F46" s="524"/>
      <c r="G46" s="524"/>
    </row>
    <row r="47" spans="1:7" s="901" customFormat="1" ht="12.5">
      <c r="A47" s="369" t="s">
        <v>1030</v>
      </c>
      <c r="B47" s="523">
        <f>'Sources and Uses Budget'!C46</f>
        <v>0</v>
      </c>
      <c r="C47" s="523">
        <f>'Sources and Uses Budget'!C46</f>
        <v>0</v>
      </c>
      <c r="D47" s="523">
        <f>'Sources and Uses Budget'!C46</f>
        <v>0</v>
      </c>
      <c r="E47" s="525">
        <f t="shared" si="0"/>
        <v>0</v>
      </c>
      <c r="F47" s="524"/>
      <c r="G47" s="524"/>
    </row>
    <row r="48" spans="1:7" s="901" customFormat="1" ht="12.5">
      <c r="A48" s="369" t="s">
        <v>1031</v>
      </c>
      <c r="B48" s="523">
        <f>'Sources and Uses Budget'!C47</f>
        <v>247000</v>
      </c>
      <c r="C48" s="523">
        <f>'Sources and Uses Budget'!C47</f>
        <v>247000</v>
      </c>
      <c r="D48" s="523">
        <f>'Sources and Uses Budget'!C47</f>
        <v>247000</v>
      </c>
      <c r="E48" s="525">
        <f t="shared" si="0"/>
        <v>0</v>
      </c>
      <c r="F48" s="524"/>
      <c r="G48" s="524"/>
    </row>
    <row r="49" spans="1:7" s="901" customFormat="1" ht="12.5">
      <c r="A49" s="369" t="s">
        <v>1032</v>
      </c>
      <c r="B49" s="523">
        <f>'Sources and Uses Budget'!C48</f>
        <v>0</v>
      </c>
      <c r="C49" s="523">
        <f>'Sources and Uses Budget'!C48</f>
        <v>0</v>
      </c>
      <c r="D49" s="523">
        <f>'Sources and Uses Budget'!C48</f>
        <v>0</v>
      </c>
      <c r="E49" s="525">
        <f t="shared" si="0"/>
        <v>0</v>
      </c>
      <c r="F49" s="524"/>
      <c r="G49" s="524"/>
    </row>
    <row r="50" spans="1:7" s="901" customFormat="1" ht="12.5">
      <c r="A50" s="369" t="s">
        <v>1035</v>
      </c>
      <c r="B50" s="523">
        <f>'Sources and Uses Budget'!C49</f>
        <v>100000</v>
      </c>
      <c r="C50" s="523">
        <f>'Sources and Uses Budget'!C49</f>
        <v>100000</v>
      </c>
      <c r="D50" s="523">
        <f>'Sources and Uses Budget'!C49</f>
        <v>100000</v>
      </c>
      <c r="E50" s="525">
        <f t="shared" si="0"/>
        <v>0</v>
      </c>
      <c r="F50" s="524"/>
      <c r="G50" s="524"/>
    </row>
    <row r="51" spans="1:7" s="901" customFormat="1" ht="12.5">
      <c r="A51" s="369" t="s">
        <v>1033</v>
      </c>
      <c r="B51" s="523">
        <f>'Sources and Uses Budget'!C50</f>
        <v>50000</v>
      </c>
      <c r="C51" s="523">
        <f>'Sources and Uses Budget'!C50</f>
        <v>50000</v>
      </c>
      <c r="D51" s="523">
        <f>'Sources and Uses Budget'!C50</f>
        <v>50000</v>
      </c>
      <c r="E51" s="525">
        <f t="shared" si="0"/>
        <v>0</v>
      </c>
      <c r="F51" s="524"/>
      <c r="G51" s="524"/>
    </row>
    <row r="52" spans="1:7" s="902" customFormat="1" ht="13">
      <c r="A52" s="369" t="s">
        <v>1034</v>
      </c>
      <c r="B52" s="523">
        <f>'Sources and Uses Budget'!C51</f>
        <v>400000</v>
      </c>
      <c r="C52" s="523">
        <f>'Sources and Uses Budget'!C51</f>
        <v>400000</v>
      </c>
      <c r="D52" s="523">
        <f>'Sources and Uses Budget'!C51</f>
        <v>400000</v>
      </c>
      <c r="E52" s="525">
        <f t="shared" si="0"/>
        <v>0</v>
      </c>
      <c r="F52" s="524"/>
      <c r="G52" s="524"/>
    </row>
    <row r="53" spans="1:7" s="901" customFormat="1" ht="12.5">
      <c r="A53" s="376" t="s">
        <v>592</v>
      </c>
      <c r="B53" s="523">
        <f>'Sources and Uses Budget'!C52</f>
        <v>232400</v>
      </c>
      <c r="C53" s="523">
        <f>'Sources and Uses Budget'!C52</f>
        <v>232400</v>
      </c>
      <c r="D53" s="523">
        <f>'Sources and Uses Budget'!C52</f>
        <v>232400</v>
      </c>
      <c r="E53" s="525">
        <f t="shared" si="0"/>
        <v>0</v>
      </c>
      <c r="F53" s="524"/>
      <c r="G53" s="524"/>
    </row>
    <row r="54" spans="1:7" s="901" customFormat="1" ht="12.5">
      <c r="A54" s="373" t="s">
        <v>1036</v>
      </c>
      <c r="B54" s="1500">
        <f>'Sources and Uses Budget'!C53</f>
        <v>2215200</v>
      </c>
      <c r="C54" s="1500">
        <f>'Sources and Uses Budget'!C53</f>
        <v>2215200</v>
      </c>
      <c r="D54" s="1500">
        <f>'Sources and Uses Budget'!C53</f>
        <v>2215200</v>
      </c>
      <c r="E54" s="525">
        <f t="shared" si="0"/>
        <v>0</v>
      </c>
      <c r="F54" s="524"/>
      <c r="G54" s="524"/>
    </row>
    <row r="55" spans="1:7" s="901" customFormat="1" ht="12" customHeight="1">
      <c r="A55" s="1488" t="s">
        <v>748</v>
      </c>
      <c r="B55" s="521"/>
      <c r="C55" s="521"/>
      <c r="D55" s="521"/>
      <c r="E55" s="521"/>
      <c r="F55" s="521"/>
      <c r="G55" s="521"/>
    </row>
    <row r="56" spans="1:7" s="901" customFormat="1" ht="12.5">
      <c r="A56" s="1494" t="s">
        <v>1037</v>
      </c>
      <c r="B56" s="523">
        <f>'Sources and Uses Budget'!C55</f>
        <v>0</v>
      </c>
      <c r="C56" s="523">
        <f>'Sources and Uses Budget'!C55</f>
        <v>0</v>
      </c>
      <c r="D56" s="523">
        <f>'Sources and Uses Budget'!C55</f>
        <v>0</v>
      </c>
      <c r="E56" s="525">
        <f t="shared" si="0"/>
        <v>0</v>
      </c>
      <c r="F56" s="524"/>
      <c r="G56" s="524"/>
    </row>
    <row r="57" spans="1:7" s="901" customFormat="1" ht="12.5">
      <c r="A57" s="1494" t="s">
        <v>1031</v>
      </c>
      <c r="B57" s="523">
        <f>'Sources and Uses Budget'!C56</f>
        <v>32600</v>
      </c>
      <c r="C57" s="523">
        <f>'Sources and Uses Budget'!C56</f>
        <v>32600</v>
      </c>
      <c r="D57" s="523">
        <f>'Sources and Uses Budget'!C56</f>
        <v>32600</v>
      </c>
      <c r="E57" s="525">
        <f t="shared" si="0"/>
        <v>0</v>
      </c>
      <c r="F57" s="524"/>
      <c r="G57" s="524"/>
    </row>
    <row r="58" spans="1:7" s="901" customFormat="1" ht="12.5">
      <c r="A58" s="1494" t="s">
        <v>1035</v>
      </c>
      <c r="B58" s="523">
        <f>'Sources and Uses Budget'!C57</f>
        <v>25000</v>
      </c>
      <c r="C58" s="523">
        <f>'Sources and Uses Budget'!C57</f>
        <v>25000</v>
      </c>
      <c r="D58" s="523">
        <f>'Sources and Uses Budget'!C57</f>
        <v>25000</v>
      </c>
      <c r="E58" s="525">
        <f t="shared" si="0"/>
        <v>0</v>
      </c>
      <c r="F58" s="524"/>
      <c r="G58" s="524"/>
    </row>
    <row r="59" spans="1:7" s="901" customFormat="1" ht="12.5">
      <c r="A59" s="1494" t="s">
        <v>1033</v>
      </c>
      <c r="B59" s="523">
        <f>'Sources and Uses Budget'!C58</f>
        <v>0</v>
      </c>
      <c r="C59" s="523">
        <f>'Sources and Uses Budget'!C58</f>
        <v>0</v>
      </c>
      <c r="D59" s="523">
        <f>'Sources and Uses Budget'!C58</f>
        <v>0</v>
      </c>
      <c r="E59" s="525">
        <f t="shared" si="0"/>
        <v>0</v>
      </c>
      <c r="F59" s="524"/>
      <c r="G59" s="524"/>
    </row>
    <row r="60" spans="1:7" s="901" customFormat="1" ht="12.5">
      <c r="A60" s="1494" t="s">
        <v>1034</v>
      </c>
      <c r="B60" s="523">
        <f>'Sources and Uses Budget'!C59</f>
        <v>0</v>
      </c>
      <c r="C60" s="523">
        <f>'Sources and Uses Budget'!C59</f>
        <v>0</v>
      </c>
      <c r="D60" s="523">
        <f>'Sources and Uses Budget'!C59</f>
        <v>0</v>
      </c>
      <c r="E60" s="525">
        <f t="shared" si="0"/>
        <v>0</v>
      </c>
      <c r="F60" s="524"/>
      <c r="G60" s="524"/>
    </row>
    <row r="61" spans="1:7" s="901" customFormat="1" ht="14" customHeight="1">
      <c r="A61" s="1495" t="s">
        <v>592</v>
      </c>
      <c r="B61" s="523">
        <f>'Sources and Uses Budget'!C60</f>
        <v>40000</v>
      </c>
      <c r="C61" s="523">
        <f>'Sources and Uses Budget'!C60</f>
        <v>40000</v>
      </c>
      <c r="D61" s="523">
        <f>'Sources and Uses Budget'!C60</f>
        <v>40000</v>
      </c>
      <c r="E61" s="525">
        <f t="shared" si="0"/>
        <v>0</v>
      </c>
      <c r="F61" s="524"/>
      <c r="G61" s="524"/>
    </row>
    <row r="62" spans="1:7" s="901" customFormat="1" ht="13">
      <c r="A62" s="1493" t="s">
        <v>549</v>
      </c>
      <c r="B62" s="1500">
        <f>'Sources and Uses Budget'!C61</f>
        <v>97600</v>
      </c>
      <c r="C62" s="1500">
        <f>'Sources and Uses Budget'!C61</f>
        <v>97600</v>
      </c>
      <c r="D62" s="1500">
        <f>'Sources and Uses Budget'!C61</f>
        <v>97600</v>
      </c>
      <c r="E62" s="525">
        <f t="shared" si="0"/>
        <v>0</v>
      </c>
      <c r="F62" s="524"/>
      <c r="G62" s="524"/>
    </row>
    <row r="63" spans="1:7" s="901" customFormat="1" ht="13">
      <c r="A63" s="1496" t="s">
        <v>550</v>
      </c>
      <c r="B63" s="1500">
        <f>'Sources and Uses Budget'!C62</f>
        <v>28786396</v>
      </c>
      <c r="C63" s="1500">
        <f>'Sources and Uses Budget'!C62</f>
        <v>28786396</v>
      </c>
      <c r="D63" s="1500">
        <f>'Sources and Uses Budget'!C62</f>
        <v>28786396</v>
      </c>
      <c r="E63" s="525">
        <f t="shared" si="0"/>
        <v>0</v>
      </c>
      <c r="F63" s="524"/>
      <c r="G63" s="524"/>
    </row>
    <row r="64" spans="1:7" s="901" customFormat="1" ht="24">
      <c r="A64" s="365" t="s">
        <v>2239</v>
      </c>
      <c r="B64" s="521"/>
      <c r="C64" s="521"/>
      <c r="D64" s="521"/>
      <c r="E64" s="521"/>
      <c r="F64" s="521"/>
      <c r="G64" s="521"/>
    </row>
    <row r="65" spans="1:7" s="901" customFormat="1" ht="12.5">
      <c r="A65" s="369" t="s">
        <v>312</v>
      </c>
      <c r="B65" s="523">
        <f>'Sources and Uses Budget'!C64</f>
        <v>50000</v>
      </c>
      <c r="C65" s="523">
        <f>'Sources and Uses Budget'!C64</f>
        <v>50000</v>
      </c>
      <c r="D65" s="523">
        <f>'Sources and Uses Budget'!C64</f>
        <v>50000</v>
      </c>
      <c r="E65" s="525">
        <f t="shared" si="0"/>
        <v>0</v>
      </c>
      <c r="F65" s="524"/>
      <c r="G65" s="524"/>
    </row>
    <row r="66" spans="1:7" s="901" customFormat="1" ht="23">
      <c r="A66" s="369" t="s">
        <v>2240</v>
      </c>
      <c r="B66" s="523">
        <f>'Sources and Uses Budget'!C65</f>
        <v>0</v>
      </c>
      <c r="C66" s="523">
        <f>'Sources and Uses Budget'!C65</f>
        <v>0</v>
      </c>
      <c r="D66" s="523">
        <f>'Sources and Uses Budget'!C65</f>
        <v>0</v>
      </c>
      <c r="E66" s="525">
        <f t="shared" si="0"/>
        <v>0</v>
      </c>
      <c r="F66" s="524"/>
      <c r="G66" s="524"/>
    </row>
    <row r="67" spans="1:7" s="901" customFormat="1" ht="23">
      <c r="A67" s="369" t="s">
        <v>2241</v>
      </c>
      <c r="B67" s="523">
        <f>'Sources and Uses Budget'!C66</f>
        <v>0</v>
      </c>
      <c r="C67" s="523">
        <f>'Sources and Uses Budget'!C66</f>
        <v>0</v>
      </c>
      <c r="D67" s="523">
        <f>'Sources and Uses Budget'!C66</f>
        <v>0</v>
      </c>
      <c r="E67" s="525">
        <f t="shared" si="0"/>
        <v>0</v>
      </c>
      <c r="F67" s="524"/>
      <c r="G67" s="524"/>
    </row>
    <row r="68" spans="1:7" s="901" customFormat="1" ht="12.5">
      <c r="A68" s="369" t="s">
        <v>2242</v>
      </c>
      <c r="B68" s="523">
        <f>'Sources and Uses Budget'!C67</f>
        <v>0</v>
      </c>
      <c r="C68" s="523">
        <f>'Sources and Uses Budget'!C67</f>
        <v>0</v>
      </c>
      <c r="D68" s="523">
        <f>'Sources and Uses Budget'!C67</f>
        <v>0</v>
      </c>
      <c r="E68" s="525">
        <f t="shared" si="0"/>
        <v>0</v>
      </c>
      <c r="F68" s="524"/>
      <c r="G68" s="524"/>
    </row>
    <row r="69" spans="1:7" s="901" customFormat="1" ht="12.5">
      <c r="A69" s="380" t="s">
        <v>2311</v>
      </c>
      <c r="B69" s="523">
        <f>'Sources and Uses Budget'!C68</f>
        <v>590661</v>
      </c>
      <c r="C69" s="523">
        <f>'Sources and Uses Budget'!C68</f>
        <v>590661</v>
      </c>
      <c r="D69" s="523">
        <f>'Sources and Uses Budget'!C68</f>
        <v>590661</v>
      </c>
      <c r="E69" s="525">
        <f t="shared" si="0"/>
        <v>0</v>
      </c>
      <c r="F69" s="524"/>
      <c r="G69" s="524"/>
    </row>
    <row r="70" spans="1:7" s="901" customFormat="1" ht="12.5">
      <c r="A70" s="373" t="s">
        <v>2243</v>
      </c>
      <c r="B70" s="1500">
        <f>'Sources and Uses Budget'!C69</f>
        <v>640661</v>
      </c>
      <c r="C70" s="1500">
        <f>'Sources and Uses Budget'!C69</f>
        <v>640661</v>
      </c>
      <c r="D70" s="1500">
        <f>'Sources and Uses Budget'!C69</f>
        <v>640661</v>
      </c>
      <c r="E70" s="525">
        <f t="shared" si="0"/>
        <v>0</v>
      </c>
      <c r="F70" s="524"/>
      <c r="G70" s="524"/>
    </row>
    <row r="71" spans="1:7" s="901" customFormat="1" ht="13">
      <c r="A71" s="1488" t="s">
        <v>313</v>
      </c>
      <c r="B71" s="521"/>
      <c r="C71" s="521"/>
      <c r="D71" s="521"/>
      <c r="E71" s="521"/>
      <c r="F71" s="521"/>
      <c r="G71" s="521"/>
    </row>
    <row r="72" spans="1:7" s="901" customFormat="1" ht="12.5">
      <c r="A72" s="1494" t="s">
        <v>314</v>
      </c>
      <c r="B72" s="523">
        <f>'Sources and Uses Budget'!C71</f>
        <v>0</v>
      </c>
      <c r="C72" s="523">
        <f>'Sources and Uses Budget'!C71</f>
        <v>0</v>
      </c>
      <c r="D72" s="523">
        <f>'Sources and Uses Budget'!C71</f>
        <v>0</v>
      </c>
      <c r="E72" s="525">
        <f t="shared" si="0"/>
        <v>0</v>
      </c>
      <c r="F72" s="524"/>
      <c r="G72" s="524"/>
    </row>
    <row r="73" spans="1:7" s="901" customFormat="1" ht="12.5">
      <c r="A73" s="1494" t="s">
        <v>315</v>
      </c>
      <c r="B73" s="523">
        <f>'Sources and Uses Budget'!C72</f>
        <v>0</v>
      </c>
      <c r="C73" s="523">
        <f>'Sources and Uses Budget'!C72</f>
        <v>0</v>
      </c>
      <c r="D73" s="523">
        <f>'Sources and Uses Budget'!C72</f>
        <v>0</v>
      </c>
      <c r="E73" s="525">
        <f t="shared" si="0"/>
        <v>0</v>
      </c>
      <c r="F73" s="524"/>
      <c r="G73" s="524"/>
    </row>
    <row r="74" spans="1:7" s="901" customFormat="1" ht="12.5">
      <c r="A74" s="1497" t="s">
        <v>1371</v>
      </c>
      <c r="B74" s="523">
        <f>'Sources and Uses Budget'!C73</f>
        <v>0</v>
      </c>
      <c r="C74" s="523">
        <f>'Sources and Uses Budget'!C73</f>
        <v>0</v>
      </c>
      <c r="D74" s="523">
        <f>'Sources and Uses Budget'!C73</f>
        <v>0</v>
      </c>
      <c r="E74" s="525">
        <f>C74-B74</f>
        <v>0</v>
      </c>
      <c r="F74" s="524"/>
      <c r="G74" s="524"/>
    </row>
    <row r="75" spans="1:7" s="901" customFormat="1" ht="12.5">
      <c r="A75" s="1494" t="s">
        <v>316</v>
      </c>
      <c r="B75" s="523">
        <f>'Sources and Uses Budget'!C74</f>
        <v>151575</v>
      </c>
      <c r="C75" s="523">
        <f>'Sources and Uses Budget'!C74</f>
        <v>151575</v>
      </c>
      <c r="D75" s="523">
        <f>'Sources and Uses Budget'!C74</f>
        <v>151575</v>
      </c>
      <c r="E75" s="525">
        <f>C75-B75</f>
        <v>0</v>
      </c>
      <c r="F75" s="524"/>
      <c r="G75" s="524"/>
    </row>
    <row r="76" spans="1:7" s="901" customFormat="1" ht="12.5">
      <c r="A76" s="1498" t="s">
        <v>592</v>
      </c>
      <c r="B76" s="523">
        <f>'Sources and Uses Budget'!C75</f>
        <v>0</v>
      </c>
      <c r="C76" s="523">
        <f>'Sources and Uses Budget'!C75</f>
        <v>0</v>
      </c>
      <c r="D76" s="523">
        <f>'Sources and Uses Budget'!C75</f>
        <v>0</v>
      </c>
      <c r="E76" s="525">
        <f>C76-B76</f>
        <v>0</v>
      </c>
      <c r="F76" s="524"/>
      <c r="G76" s="524"/>
    </row>
    <row r="77" spans="1:7" s="901" customFormat="1" ht="13">
      <c r="A77" s="1493" t="s">
        <v>317</v>
      </c>
      <c r="B77" s="1500">
        <f>'Sources and Uses Budget'!C76</f>
        <v>151575</v>
      </c>
      <c r="C77" s="1500">
        <f>'Sources and Uses Budget'!C76</f>
        <v>151575</v>
      </c>
      <c r="D77" s="1500">
        <f>'Sources and Uses Budget'!C76</f>
        <v>151575</v>
      </c>
      <c r="E77" s="525">
        <f>C77-B77</f>
        <v>0</v>
      </c>
      <c r="F77" s="524"/>
      <c r="G77" s="524"/>
    </row>
    <row r="78" spans="1:7" s="901" customFormat="1" ht="13">
      <c r="A78" s="1488" t="s">
        <v>1968</v>
      </c>
      <c r="B78" s="521"/>
      <c r="C78" s="521"/>
      <c r="D78" s="521"/>
      <c r="E78" s="521"/>
      <c r="F78" s="521"/>
      <c r="G78" s="521"/>
    </row>
    <row r="79" spans="1:7" s="901" customFormat="1" ht="14" customHeight="1">
      <c r="A79" s="1494" t="s">
        <v>1966</v>
      </c>
      <c r="B79" s="523">
        <f>'Sources and Uses Budget'!C78</f>
        <v>1170342</v>
      </c>
      <c r="C79" s="523">
        <f>'Sources and Uses Budget'!C78</f>
        <v>1170342</v>
      </c>
      <c r="D79" s="523">
        <f>'Sources and Uses Budget'!C78</f>
        <v>1170342</v>
      </c>
      <c r="E79" s="525">
        <f t="shared" ref="E79:E105" si="2">C79-B79</f>
        <v>0</v>
      </c>
      <c r="F79" s="524"/>
      <c r="G79" s="524"/>
    </row>
    <row r="80" spans="1:7" s="901" customFormat="1" ht="12.5">
      <c r="A80" s="1494" t="s">
        <v>597</v>
      </c>
      <c r="B80" s="523">
        <f>'Sources and Uses Budget'!C79</f>
        <v>300554</v>
      </c>
      <c r="C80" s="523">
        <f>'Sources and Uses Budget'!C79</f>
        <v>300554</v>
      </c>
      <c r="D80" s="523">
        <f>'Sources and Uses Budget'!C79</f>
        <v>300554</v>
      </c>
      <c r="E80" s="525">
        <f t="shared" si="2"/>
        <v>0</v>
      </c>
      <c r="F80" s="524"/>
      <c r="G80" s="524"/>
    </row>
    <row r="81" spans="1:7" s="901" customFormat="1" ht="13">
      <c r="A81" s="1493" t="s">
        <v>1967</v>
      </c>
      <c r="B81" s="1500">
        <f>'Sources and Uses Budget'!C80</f>
        <v>1470896</v>
      </c>
      <c r="C81" s="1500">
        <f>'Sources and Uses Budget'!C80</f>
        <v>1470896</v>
      </c>
      <c r="D81" s="1500">
        <f>'Sources and Uses Budget'!C80</f>
        <v>1470896</v>
      </c>
      <c r="E81" s="525">
        <f t="shared" si="2"/>
        <v>0</v>
      </c>
      <c r="F81" s="524"/>
      <c r="G81" s="524"/>
    </row>
    <row r="82" spans="1:7" s="901" customFormat="1" ht="13">
      <c r="A82" s="1488" t="s">
        <v>573</v>
      </c>
      <c r="B82" s="521"/>
      <c r="C82" s="521"/>
      <c r="D82" s="521"/>
      <c r="E82" s="521"/>
      <c r="F82" s="521"/>
      <c r="G82" s="521"/>
    </row>
    <row r="83" spans="1:7" s="901" customFormat="1" ht="12.5">
      <c r="A83" s="369" t="s">
        <v>574</v>
      </c>
      <c r="B83" s="523">
        <f>'Sources and Uses Budget'!C82</f>
        <v>102800</v>
      </c>
      <c r="C83" s="523">
        <f>'Sources and Uses Budget'!C82</f>
        <v>102800</v>
      </c>
      <c r="D83" s="523">
        <f>'Sources and Uses Budget'!C82</f>
        <v>102800</v>
      </c>
      <c r="E83" s="525">
        <f t="shared" si="2"/>
        <v>0</v>
      </c>
      <c r="F83" s="524"/>
      <c r="G83" s="524"/>
    </row>
    <row r="84" spans="1:7" s="901" customFormat="1" ht="12.5">
      <c r="A84" s="369" t="s">
        <v>575</v>
      </c>
      <c r="B84" s="523">
        <f>'Sources and Uses Budget'!C83</f>
        <v>15000</v>
      </c>
      <c r="C84" s="523">
        <f>'Sources and Uses Budget'!C83</f>
        <v>15000</v>
      </c>
      <c r="D84" s="523">
        <f>'Sources and Uses Budget'!C83</f>
        <v>15000</v>
      </c>
      <c r="E84" s="525">
        <f t="shared" si="2"/>
        <v>0</v>
      </c>
      <c r="F84" s="524"/>
      <c r="G84" s="524"/>
    </row>
    <row r="85" spans="1:7" s="901" customFormat="1" ht="12.5">
      <c r="A85" s="369" t="s">
        <v>576</v>
      </c>
      <c r="B85" s="523">
        <f>'Sources and Uses Budget'!C84</f>
        <v>451563</v>
      </c>
      <c r="C85" s="523">
        <f>'Sources and Uses Budget'!C84</f>
        <v>451563</v>
      </c>
      <c r="D85" s="523">
        <f>'Sources and Uses Budget'!C84</f>
        <v>451563</v>
      </c>
      <c r="E85" s="525">
        <f t="shared" si="2"/>
        <v>0</v>
      </c>
      <c r="F85" s="524"/>
      <c r="G85" s="524"/>
    </row>
    <row r="86" spans="1:7" s="901" customFormat="1" ht="12.5">
      <c r="A86" s="369" t="s">
        <v>577</v>
      </c>
      <c r="B86" s="523">
        <f>'Sources and Uses Budget'!C85</f>
        <v>330000</v>
      </c>
      <c r="C86" s="523">
        <f>'Sources and Uses Budget'!C85</f>
        <v>330000</v>
      </c>
      <c r="D86" s="523">
        <f>'Sources and Uses Budget'!C85</f>
        <v>330000</v>
      </c>
      <c r="E86" s="525">
        <f t="shared" si="2"/>
        <v>0</v>
      </c>
      <c r="F86" s="524"/>
      <c r="G86" s="524"/>
    </row>
    <row r="87" spans="1:7" s="901" customFormat="1" ht="12.5">
      <c r="A87" s="369" t="s">
        <v>578</v>
      </c>
      <c r="B87" s="523">
        <f>'Sources and Uses Budget'!C86</f>
        <v>0</v>
      </c>
      <c r="C87" s="523">
        <f>'Sources and Uses Budget'!C86</f>
        <v>0</v>
      </c>
      <c r="D87" s="523">
        <f>'Sources and Uses Budget'!C86</f>
        <v>0</v>
      </c>
      <c r="E87" s="525">
        <f t="shared" si="2"/>
        <v>0</v>
      </c>
      <c r="F87" s="524"/>
      <c r="G87" s="524"/>
    </row>
    <row r="88" spans="1:7" s="901" customFormat="1" ht="12.5">
      <c r="A88" s="369" t="s">
        <v>579</v>
      </c>
      <c r="B88" s="523">
        <f>'Sources and Uses Budget'!C87</f>
        <v>65000</v>
      </c>
      <c r="C88" s="523">
        <f>'Sources and Uses Budget'!C87</f>
        <v>65000</v>
      </c>
      <c r="D88" s="523">
        <f>'Sources and Uses Budget'!C87</f>
        <v>65000</v>
      </c>
      <c r="E88" s="525">
        <f t="shared" si="2"/>
        <v>0</v>
      </c>
      <c r="F88" s="524"/>
      <c r="G88" s="524"/>
    </row>
    <row r="89" spans="1:7" s="901" customFormat="1" ht="12.5">
      <c r="A89" s="369" t="s">
        <v>580</v>
      </c>
      <c r="B89" s="523">
        <f>'Sources and Uses Budget'!C88</f>
        <v>240000</v>
      </c>
      <c r="C89" s="523">
        <f>'Sources and Uses Budget'!C88</f>
        <v>240000</v>
      </c>
      <c r="D89" s="523">
        <f>'Sources and Uses Budget'!C88</f>
        <v>240000</v>
      </c>
      <c r="E89" s="525">
        <f t="shared" si="2"/>
        <v>0</v>
      </c>
      <c r="F89" s="524"/>
      <c r="G89" s="524"/>
    </row>
    <row r="90" spans="1:7" s="901" customFormat="1" ht="12.5">
      <c r="A90" s="369" t="s">
        <v>581</v>
      </c>
      <c r="B90" s="523">
        <f>'Sources and Uses Budget'!C89</f>
        <v>20000</v>
      </c>
      <c r="C90" s="523">
        <f>'Sources and Uses Budget'!C89</f>
        <v>20000</v>
      </c>
      <c r="D90" s="523">
        <f>'Sources and Uses Budget'!C89</f>
        <v>20000</v>
      </c>
      <c r="E90" s="525">
        <f t="shared" si="2"/>
        <v>0</v>
      </c>
      <c r="F90" s="524"/>
      <c r="G90" s="524"/>
    </row>
    <row r="91" spans="1:7" s="901" customFormat="1" ht="12.5">
      <c r="A91" s="380" t="s">
        <v>1453</v>
      </c>
      <c r="B91" s="523">
        <f>'Sources and Uses Budget'!C90</f>
        <v>0</v>
      </c>
      <c r="C91" s="523">
        <f>'Sources and Uses Budget'!C90</f>
        <v>0</v>
      </c>
      <c r="D91" s="523">
        <f>'Sources and Uses Budget'!C90</f>
        <v>0</v>
      </c>
      <c r="E91" s="525">
        <f t="shared" si="2"/>
        <v>0</v>
      </c>
      <c r="F91" s="524"/>
      <c r="G91" s="524"/>
    </row>
    <row r="92" spans="1:7" s="901" customFormat="1" ht="12.5">
      <c r="A92" s="380" t="s">
        <v>1965</v>
      </c>
      <c r="B92" s="523">
        <f>'Sources and Uses Budget'!C91</f>
        <v>12000</v>
      </c>
      <c r="C92" s="523">
        <f>'Sources and Uses Budget'!C91</f>
        <v>12000</v>
      </c>
      <c r="D92" s="523">
        <f>'Sources and Uses Budget'!C91</f>
        <v>12000</v>
      </c>
      <c r="E92" s="525">
        <f t="shared" si="2"/>
        <v>0</v>
      </c>
      <c r="F92" s="524"/>
      <c r="G92" s="524"/>
    </row>
    <row r="93" spans="1:7" s="901" customFormat="1" ht="12.5">
      <c r="A93" s="376" t="s">
        <v>592</v>
      </c>
      <c r="B93" s="523">
        <f>'Sources and Uses Budget'!C92</f>
        <v>186000</v>
      </c>
      <c r="C93" s="523">
        <f>'Sources and Uses Budget'!C92</f>
        <v>186000</v>
      </c>
      <c r="D93" s="523">
        <f>'Sources and Uses Budget'!C92</f>
        <v>186000</v>
      </c>
      <c r="E93" s="525">
        <f t="shared" si="2"/>
        <v>0</v>
      </c>
      <c r="F93" s="524"/>
      <c r="G93" s="524"/>
    </row>
    <row r="94" spans="1:7" s="901" customFormat="1" ht="12.5">
      <c r="A94" s="376" t="s">
        <v>592</v>
      </c>
      <c r="B94" s="523">
        <f>'Sources and Uses Budget'!C93</f>
        <v>125227</v>
      </c>
      <c r="C94" s="523">
        <f>'Sources and Uses Budget'!C93</f>
        <v>125227</v>
      </c>
      <c r="D94" s="523">
        <f>'Sources and Uses Budget'!C93</f>
        <v>125227</v>
      </c>
      <c r="E94" s="525">
        <f t="shared" si="2"/>
        <v>0</v>
      </c>
      <c r="F94" s="524"/>
      <c r="G94" s="524"/>
    </row>
    <row r="95" spans="1:7" s="901" customFormat="1" ht="12.5">
      <c r="A95" s="376" t="s">
        <v>592</v>
      </c>
      <c r="B95" s="523">
        <f>'Sources and Uses Budget'!C94</f>
        <v>324000</v>
      </c>
      <c r="C95" s="523">
        <f>'Sources and Uses Budget'!C94</f>
        <v>324000</v>
      </c>
      <c r="D95" s="523">
        <f>'Sources and Uses Budget'!C94</f>
        <v>324000</v>
      </c>
      <c r="E95" s="525">
        <f t="shared" si="2"/>
        <v>0</v>
      </c>
      <c r="F95" s="524"/>
      <c r="G95" s="524"/>
    </row>
    <row r="96" spans="1:7" s="901" customFormat="1" ht="12.5">
      <c r="A96" s="373" t="s">
        <v>582</v>
      </c>
      <c r="B96" s="1500">
        <f>'Sources and Uses Budget'!C95</f>
        <v>1871590</v>
      </c>
      <c r="C96" s="1500">
        <f>'Sources and Uses Budget'!C95</f>
        <v>1871590</v>
      </c>
      <c r="D96" s="1500">
        <f>'Sources and Uses Budget'!C95</f>
        <v>1871590</v>
      </c>
      <c r="E96" s="525">
        <f t="shared" si="2"/>
        <v>0</v>
      </c>
      <c r="F96" s="524"/>
      <c r="G96" s="524"/>
    </row>
    <row r="97" spans="1:7" s="900" customFormat="1" ht="12.5">
      <c r="A97" s="373" t="s">
        <v>583</v>
      </c>
      <c r="B97" s="1500">
        <f>'Sources and Uses Budget'!C96</f>
        <v>32921118</v>
      </c>
      <c r="C97" s="1500">
        <f>'Sources and Uses Budget'!C96</f>
        <v>32921118</v>
      </c>
      <c r="D97" s="1500">
        <f>'Sources and Uses Budget'!C96</f>
        <v>32921118</v>
      </c>
      <c r="E97" s="525">
        <f t="shared" si="2"/>
        <v>0</v>
      </c>
      <c r="F97" s="524"/>
      <c r="G97" s="524"/>
    </row>
    <row r="98" spans="1:7" s="900" customFormat="1" ht="13">
      <c r="A98" s="1488" t="s">
        <v>584</v>
      </c>
      <c r="B98" s="521"/>
      <c r="C98" s="521"/>
      <c r="D98" s="521"/>
      <c r="E98" s="521"/>
      <c r="F98" s="521"/>
      <c r="G98" s="521"/>
    </row>
    <row r="99" spans="1:7" s="900" customFormat="1" ht="12.5">
      <c r="A99" s="369" t="s">
        <v>585</v>
      </c>
      <c r="B99" s="523">
        <f>'Sources and Uses Budget'!C98</f>
        <v>2200000</v>
      </c>
      <c r="C99" s="523">
        <f>'Sources and Uses Budget'!C98</f>
        <v>2200000</v>
      </c>
      <c r="D99" s="523">
        <f>'Sources and Uses Budget'!C98</f>
        <v>2200000</v>
      </c>
      <c r="E99" s="525">
        <f t="shared" si="2"/>
        <v>0</v>
      </c>
      <c r="F99" s="524"/>
      <c r="G99" s="524"/>
    </row>
    <row r="100" spans="1:7" s="900"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0" customFormat="1" ht="12.5">
      <c r="A101" s="369" t="s">
        <v>586</v>
      </c>
      <c r="B101" s="523">
        <f>'Sources and Uses Budget'!C100</f>
        <v>0</v>
      </c>
      <c r="C101" s="523">
        <f>'Sources and Uses Budget'!C100</f>
        <v>0</v>
      </c>
      <c r="D101" s="523">
        <f>'Sources and Uses Budget'!C100</f>
        <v>0</v>
      </c>
      <c r="E101" s="525">
        <f t="shared" si="2"/>
        <v>0</v>
      </c>
      <c r="F101" s="524"/>
      <c r="G101" s="524"/>
    </row>
    <row r="102" spans="1:7" s="900" customFormat="1" ht="12.5">
      <c r="A102" s="369" t="s">
        <v>2310</v>
      </c>
      <c r="B102" s="523">
        <f>'Sources and Uses Budget'!C101</f>
        <v>0</v>
      </c>
      <c r="C102" s="523">
        <f>'Sources and Uses Budget'!C101</f>
        <v>0</v>
      </c>
      <c r="D102" s="523">
        <f>'Sources and Uses Budget'!C101</f>
        <v>0</v>
      </c>
      <c r="E102" s="525">
        <f t="shared" si="2"/>
        <v>0</v>
      </c>
      <c r="F102" s="524"/>
      <c r="G102" s="524"/>
    </row>
    <row r="103" spans="1:7" s="900" customFormat="1" ht="12.5">
      <c r="A103" s="1495" t="s">
        <v>592</v>
      </c>
      <c r="B103" s="523">
        <f>'Sources and Uses Budget'!C102</f>
        <v>0</v>
      </c>
      <c r="C103" s="523">
        <f>'Sources and Uses Budget'!C102</f>
        <v>0</v>
      </c>
      <c r="D103" s="523">
        <f>'Sources and Uses Budget'!C102</f>
        <v>0</v>
      </c>
      <c r="E103" s="525">
        <f t="shared" si="2"/>
        <v>0</v>
      </c>
      <c r="F103" s="524"/>
      <c r="G103" s="524"/>
    </row>
    <row r="104" spans="1:7" s="900" customFormat="1" ht="13">
      <c r="A104" s="1493" t="s">
        <v>587</v>
      </c>
      <c r="B104" s="1500">
        <f>'Sources and Uses Budget'!C103</f>
        <v>2200000</v>
      </c>
      <c r="C104" s="1500">
        <f>'Sources and Uses Budget'!C103</f>
        <v>2200000</v>
      </c>
      <c r="D104" s="1500">
        <f>'Sources and Uses Budget'!C103</f>
        <v>2200000</v>
      </c>
      <c r="E104" s="525">
        <f t="shared" si="2"/>
        <v>0</v>
      </c>
      <c r="F104" s="524"/>
      <c r="G104" s="524"/>
    </row>
    <row r="105" spans="1:7" s="900" customFormat="1" ht="13">
      <c r="A105" s="1493" t="s">
        <v>588</v>
      </c>
      <c r="B105" s="1500">
        <f>'Sources and Uses Budget'!C104</f>
        <v>35121118</v>
      </c>
      <c r="C105" s="1500">
        <f>'Sources and Uses Budget'!C104</f>
        <v>35121118</v>
      </c>
      <c r="D105" s="1500">
        <f>'Sources and Uses Budget'!C104</f>
        <v>35121118</v>
      </c>
      <c r="E105" s="525">
        <f t="shared" si="2"/>
        <v>0</v>
      </c>
      <c r="F105" s="524"/>
      <c r="G105" s="1499"/>
    </row>
    <row r="106" spans="1:7" s="900" customFormat="1" ht="13">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13" zoomScaleNormal="100" zoomScaleSheetLayoutView="100" workbookViewId="0"/>
  </sheetViews>
  <sheetFormatPr defaultColWidth="0" defaultRowHeight="12.5" zeroHeight="1"/>
  <cols>
    <col min="1" max="10" width="9.1796875" style="16" customWidth="1"/>
    <col min="11" max="16384" width="8.81640625" style="16" hidden="1"/>
  </cols>
  <sheetData>
    <row r="1" spans="1:10" ht="14.25" customHeight="1"/>
    <row r="2" spans="1:10" ht="15.5">
      <c r="A2" s="1574" t="s">
        <v>333</v>
      </c>
      <c r="B2" s="1575"/>
      <c r="C2" s="1575"/>
      <c r="D2" s="1575"/>
      <c r="E2" s="1575"/>
      <c r="F2" s="1575"/>
      <c r="G2" s="1575"/>
      <c r="H2" s="1575"/>
      <c r="I2" s="1575"/>
      <c r="J2" s="1575"/>
    </row>
    <row r="3" spans="1:10" ht="15.5">
      <c r="A3" s="1576" t="s">
        <v>2312</v>
      </c>
      <c r="B3" s="1575"/>
      <c r="C3" s="1575"/>
      <c r="D3" s="1575"/>
      <c r="E3" s="1575"/>
      <c r="F3" s="1575"/>
      <c r="G3" s="1575"/>
      <c r="H3" s="1575"/>
      <c r="I3" s="1575"/>
      <c r="J3" s="1575"/>
    </row>
    <row r="4" spans="1:10"/>
    <row r="5" spans="1:10">
      <c r="A5" s="1577" t="s">
        <v>2314</v>
      </c>
      <c r="B5" s="1578"/>
      <c r="C5" s="1578"/>
      <c r="D5" s="1578"/>
      <c r="E5" s="1578"/>
      <c r="F5" s="1578"/>
      <c r="G5" s="1578"/>
      <c r="H5" s="1578"/>
      <c r="I5" s="1578"/>
      <c r="J5" s="1578"/>
    </row>
    <row r="6" spans="1:10">
      <c r="A6" s="1578"/>
      <c r="B6" s="1578"/>
      <c r="C6" s="1578"/>
      <c r="D6" s="1578"/>
      <c r="E6" s="1578"/>
      <c r="F6" s="1578"/>
      <c r="G6" s="1578"/>
      <c r="H6" s="1578"/>
      <c r="I6" s="1578"/>
      <c r="J6" s="1578"/>
    </row>
    <row r="7" spans="1:10">
      <c r="A7" s="1578"/>
      <c r="B7" s="1578"/>
      <c r="C7" s="1578"/>
      <c r="D7" s="1578"/>
      <c r="E7" s="1578"/>
      <c r="F7" s="1578"/>
      <c r="G7" s="1578"/>
      <c r="H7" s="1578"/>
      <c r="I7" s="1578"/>
      <c r="J7" s="1578"/>
    </row>
    <row r="8" spans="1:10">
      <c r="A8" s="1578"/>
      <c r="B8" s="1578"/>
      <c r="C8" s="1578"/>
      <c r="D8" s="1578"/>
      <c r="E8" s="1578"/>
      <c r="F8" s="1578"/>
      <c r="G8" s="1578"/>
      <c r="H8" s="1578"/>
      <c r="I8" s="1578"/>
      <c r="J8" s="1578"/>
    </row>
    <row r="9" spans="1:10">
      <c r="A9" s="1128"/>
      <c r="B9" s="1128"/>
      <c r="C9" s="1128"/>
      <c r="D9" s="1128"/>
      <c r="E9" s="1128"/>
      <c r="F9" s="1128"/>
      <c r="G9" s="1128"/>
      <c r="H9" s="1128"/>
      <c r="I9" s="1128"/>
      <c r="J9" s="1128"/>
    </row>
    <row r="10" spans="1:10" ht="12.75" customHeight="1">
      <c r="A10" s="1502" t="s">
        <v>2315</v>
      </c>
      <c r="B10" s="1501"/>
      <c r="C10" s="1501"/>
      <c r="D10" s="1501"/>
      <c r="E10" s="1501"/>
      <c r="F10" s="1501"/>
      <c r="G10" s="1501"/>
      <c r="H10" s="1501"/>
      <c r="I10" s="1501"/>
      <c r="J10" s="1501"/>
    </row>
    <row r="11" spans="1:10"/>
    <row r="12" spans="1:10" ht="12.75" customHeight="1">
      <c r="A12" s="1577" t="s">
        <v>2127</v>
      </c>
      <c r="B12" s="1579"/>
      <c r="C12" s="1579"/>
      <c r="D12" s="1579"/>
      <c r="E12" s="1579"/>
      <c r="F12" s="1579"/>
      <c r="G12" s="1579"/>
      <c r="H12" s="1579"/>
      <c r="I12" s="1579"/>
      <c r="J12" s="1579"/>
    </row>
    <row r="13" spans="1:10" ht="12.75" customHeight="1">
      <c r="A13" s="1579"/>
      <c r="B13" s="1579"/>
      <c r="C13" s="1579"/>
      <c r="D13" s="1579"/>
      <c r="E13" s="1579"/>
      <c r="F13" s="1579"/>
      <c r="G13" s="1579"/>
      <c r="H13" s="1579"/>
      <c r="I13" s="1579"/>
      <c r="J13" s="1579"/>
    </row>
    <row r="14" spans="1:10">
      <c r="A14" s="1579"/>
      <c r="B14" s="1579"/>
      <c r="C14" s="1579"/>
      <c r="D14" s="1579"/>
      <c r="E14" s="1579"/>
      <c r="F14" s="1579"/>
      <c r="G14" s="1579"/>
      <c r="H14" s="1579"/>
      <c r="I14" s="1579"/>
      <c r="J14" s="1579"/>
    </row>
    <row r="15" spans="1:10">
      <c r="A15" s="1578"/>
      <c r="B15" s="1578"/>
      <c r="C15" s="1578"/>
      <c r="D15" s="1578"/>
      <c r="E15" s="1578"/>
      <c r="F15" s="1578"/>
      <c r="G15" s="1578"/>
      <c r="H15" s="1578"/>
      <c r="I15" s="1578"/>
      <c r="J15" s="1578"/>
    </row>
    <row r="16" spans="1:10">
      <c r="A16" s="1578"/>
      <c r="B16" s="1578"/>
      <c r="C16" s="1578"/>
      <c r="D16" s="1578"/>
      <c r="E16" s="1578"/>
      <c r="F16" s="1578"/>
      <c r="G16" s="1578"/>
      <c r="H16" s="1578"/>
      <c r="I16" s="1578"/>
      <c r="J16" s="1578"/>
    </row>
    <row r="17" spans="1:10">
      <c r="A17" s="1578"/>
      <c r="B17" s="1578"/>
      <c r="C17" s="1578"/>
      <c r="D17" s="1578"/>
      <c r="E17" s="1578"/>
      <c r="F17" s="1578"/>
      <c r="G17" s="1578"/>
      <c r="H17" s="1578"/>
      <c r="I17" s="1578"/>
      <c r="J17" s="1578"/>
    </row>
    <row r="18" spans="1:10">
      <c r="A18" s="40" t="s">
        <v>1147</v>
      </c>
      <c r="B18" s="1128"/>
      <c r="C18" s="1128"/>
      <c r="D18" s="1128"/>
      <c r="E18" s="1128"/>
      <c r="F18" s="1128"/>
      <c r="G18" s="1128"/>
      <c r="H18" s="1128"/>
      <c r="I18" s="1128"/>
      <c r="J18" s="1128"/>
    </row>
    <row r="19" spans="1:10">
      <c r="A19" s="1129" t="s">
        <v>255</v>
      </c>
      <c r="B19" s="1129"/>
      <c r="C19" s="1129"/>
      <c r="D19" s="1129"/>
      <c r="E19" s="1129"/>
      <c r="F19" s="1129"/>
      <c r="G19" s="1129"/>
      <c r="H19" s="1129"/>
      <c r="I19" s="1129"/>
      <c r="J19" s="1129"/>
    </row>
    <row r="20" spans="1:10">
      <c r="A20" s="1580" t="s">
        <v>1129</v>
      </c>
      <c r="B20" s="1575"/>
      <c r="C20" s="1575"/>
      <c r="D20" s="1575"/>
      <c r="E20" s="157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9" t="s">
        <v>1148</v>
      </c>
      <c r="B57" s="1578"/>
      <c r="C57" s="1578"/>
      <c r="D57" s="1578"/>
      <c r="E57" s="1578"/>
      <c r="F57" s="1578"/>
      <c r="G57" s="1578"/>
      <c r="H57" s="1578"/>
      <c r="I57" s="1578"/>
      <c r="J57" s="1578"/>
    </row>
    <row r="58" spans="1:10">
      <c r="A58" s="1578"/>
      <c r="B58" s="1578"/>
      <c r="C58" s="1578"/>
      <c r="D58" s="1578"/>
      <c r="E58" s="1578"/>
      <c r="F58" s="1578"/>
      <c r="G58" s="1578"/>
      <c r="H58" s="1578"/>
      <c r="I58" s="1578"/>
      <c r="J58" s="1578"/>
    </row>
    <row r="59" spans="1:10">
      <c r="A59" s="1578"/>
      <c r="B59" s="1578"/>
      <c r="C59" s="1578"/>
      <c r="D59" s="1578"/>
      <c r="E59" s="1578"/>
      <c r="F59" s="1578"/>
      <c r="G59" s="1578"/>
      <c r="H59" s="1578"/>
      <c r="I59" s="1578"/>
      <c r="J59" s="1578"/>
    </row>
    <row r="60" spans="1:10"/>
    <row r="61" spans="1:10">
      <c r="A61" s="8" t="s">
        <v>1129</v>
      </c>
    </row>
    <row r="62" spans="1:10"/>
    <row r="63" spans="1:10"/>
    <row r="64" spans="1:10"/>
    <row r="65" spans="1:9"/>
    <row r="66" spans="1:9"/>
    <row r="67" spans="1:9"/>
    <row r="68" spans="1:9"/>
    <row r="69" spans="1:9"/>
    <row r="70" spans="1:9"/>
    <row r="71" spans="1:9"/>
    <row r="72" spans="1:9" ht="13">
      <c r="A72" s="1573" t="s">
        <v>1264</v>
      </c>
      <c r="B72" s="1573"/>
      <c r="C72" s="1573"/>
      <c r="D72" s="1573"/>
      <c r="E72" s="1573"/>
      <c r="F72" s="1573"/>
      <c r="G72" s="1573"/>
      <c r="H72" s="1573"/>
      <c r="I72" s="1573"/>
    </row>
    <row r="73" spans="1:9">
      <c r="A73" s="1572" t="s">
        <v>1423</v>
      </c>
      <c r="B73" s="1572"/>
      <c r="C73" s="1572"/>
      <c r="D73" s="1572"/>
      <c r="E73" s="1572"/>
      <c r="F73" s="1127"/>
    </row>
    <row r="74" spans="1:9">
      <c r="A74" s="1572" t="s">
        <v>1422</v>
      </c>
      <c r="B74" s="1572"/>
      <c r="C74" s="1572"/>
      <c r="D74" s="1572"/>
      <c r="E74" s="1572"/>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130" zoomScaleNormal="130" zoomScaleSheetLayoutView="100" workbookViewId="0">
      <selection activeCell="D1186" sqref="D1186:F1186"/>
    </sheetView>
  </sheetViews>
  <sheetFormatPr defaultColWidth="0" defaultRowHeight="13.75" customHeight="1" zeroHeight="1"/>
  <cols>
    <col min="1" max="1" width="1.453125" style="402" customWidth="1"/>
    <col min="2" max="2" width="13.453125" style="402" customWidth="1"/>
    <col min="3" max="3" width="2.453125" style="402" customWidth="1"/>
    <col min="4" max="5" width="3.453125" style="329" customWidth="1"/>
    <col min="6" max="6" width="67" style="329" customWidth="1"/>
    <col min="7" max="7" width="3.36328125" style="329" customWidth="1"/>
    <col min="8" max="8" width="2.453125" style="2" hidden="1" customWidth="1"/>
    <col min="9" max="9" width="14" style="2" hidden="1" customWidth="1"/>
    <col min="10" max="16383" width="8.81640625" style="2" hidden="1"/>
    <col min="16384" max="16384" width="0.36328125" style="2" hidden="1" customWidth="1"/>
  </cols>
  <sheetData>
    <row r="1" spans="1:9" ht="13.75" customHeight="1">
      <c r="A1" s="14"/>
      <c r="B1" s="14"/>
      <c r="C1" s="14"/>
      <c r="D1" s="282"/>
      <c r="E1" s="282"/>
      <c r="F1" s="282"/>
    </row>
    <row r="2" spans="1:9" ht="13">
      <c r="A2" s="1619" t="s">
        <v>2303</v>
      </c>
      <c r="B2" s="1619"/>
      <c r="C2" s="1620"/>
      <c r="D2" s="1620"/>
      <c r="E2" s="1620"/>
      <c r="F2" s="1620"/>
      <c r="G2" s="1620"/>
      <c r="I2" s="2" t="s">
        <v>86</v>
      </c>
    </row>
    <row r="3" spans="1:9" ht="13">
      <c r="A3" s="298"/>
      <c r="B3" s="298"/>
      <c r="C3" s="13"/>
      <c r="D3" s="13"/>
      <c r="E3" s="13"/>
      <c r="F3" s="13"/>
      <c r="G3" s="709"/>
      <c r="I3" s="329" t="s">
        <v>1547</v>
      </c>
    </row>
    <row r="4" spans="1:9" ht="13">
      <c r="A4" s="1621" t="s">
        <v>1156</v>
      </c>
      <c r="B4" s="1621"/>
      <c r="C4" s="1622"/>
      <c r="D4" s="1622"/>
      <c r="E4" s="1622"/>
      <c r="F4" s="1622"/>
      <c r="G4" s="1622"/>
      <c r="I4" s="329" t="s">
        <v>1530</v>
      </c>
    </row>
    <row r="5" spans="1:9" ht="13">
      <c r="A5" s="1621" t="s">
        <v>1157</v>
      </c>
      <c r="B5" s="1621"/>
      <c r="C5" s="1622"/>
      <c r="D5" s="1622"/>
      <c r="E5" s="1622"/>
      <c r="F5" s="1622"/>
      <c r="G5" s="1622"/>
      <c r="I5" s="2" t="s">
        <v>136</v>
      </c>
    </row>
    <row r="6" spans="1:9" ht="13.75" customHeight="1">
      <c r="A6" s="14"/>
      <c r="B6" s="14"/>
      <c r="C6" s="14"/>
      <c r="D6" s="282"/>
      <c r="E6" s="282"/>
      <c r="F6" s="282"/>
    </row>
    <row r="7" spans="1:9" ht="13">
      <c r="A7" s="1623" t="s">
        <v>1585</v>
      </c>
      <c r="B7" s="1623"/>
      <c r="C7" s="1624"/>
      <c r="D7" s="1624"/>
      <c r="E7" s="1624"/>
      <c r="F7" s="1624"/>
      <c r="G7" s="1624"/>
    </row>
    <row r="8" spans="1:9" ht="13">
      <c r="A8" s="1623" t="s">
        <v>1586</v>
      </c>
      <c r="B8" s="1623"/>
      <c r="C8" s="1624"/>
      <c r="D8" s="1624"/>
      <c r="E8" s="1624"/>
      <c r="F8" s="1624"/>
      <c r="G8" s="1624"/>
    </row>
    <row r="9" spans="1:9" ht="13">
      <c r="A9" s="301"/>
      <c r="B9" s="301"/>
      <c r="C9" s="298"/>
      <c r="D9" s="298"/>
      <c r="E9" s="298"/>
      <c r="F9" s="298"/>
      <c r="G9" s="406"/>
    </row>
    <row r="10" spans="1:9" ht="13">
      <c r="A10" s="1625" t="s">
        <v>1734</v>
      </c>
      <c r="B10" s="1625"/>
      <c r="C10" s="1625"/>
      <c r="D10" s="1625"/>
      <c r="E10" s="1625"/>
      <c r="F10" s="1625"/>
      <c r="G10" s="1625"/>
    </row>
    <row r="11" spans="1:9" ht="13">
      <c r="A11" s="414"/>
      <c r="B11" s="414"/>
      <c r="C11" s="14"/>
      <c r="D11" s="282"/>
      <c r="E11" s="282"/>
      <c r="F11" s="282"/>
    </row>
    <row r="12" spans="1:9" ht="13.75" customHeight="1">
      <c r="A12" s="140"/>
      <c r="B12" s="140"/>
      <c r="C12" s="298"/>
      <c r="D12" s="1626" t="s">
        <v>1733</v>
      </c>
      <c r="E12" s="1626"/>
      <c r="F12" s="1626"/>
      <c r="G12" s="950"/>
    </row>
    <row r="13" spans="1:9" ht="13">
      <c r="A13" s="140"/>
      <c r="B13" s="140"/>
      <c r="C13" s="298"/>
      <c r="D13" s="1626"/>
      <c r="E13" s="1626"/>
      <c r="F13" s="1626"/>
      <c r="G13" s="950"/>
    </row>
    <row r="14" spans="1:9" ht="13">
      <c r="A14" s="415"/>
      <c r="B14" s="415"/>
      <c r="C14" s="299"/>
      <c r="D14" s="1585" t="s">
        <v>1572</v>
      </c>
      <c r="E14" s="1585"/>
      <c r="F14" s="1585"/>
      <c r="G14" s="484"/>
    </row>
    <row r="15" spans="1:9" ht="13">
      <c r="A15" s="415"/>
      <c r="B15" s="415"/>
      <c r="C15" s="299"/>
      <c r="D15" s="282"/>
      <c r="E15" s="282"/>
      <c r="F15" s="282"/>
    </row>
    <row r="16" spans="1:9" ht="14.5" customHeight="1">
      <c r="A16" s="413"/>
      <c r="B16" s="949" t="s">
        <v>136</v>
      </c>
      <c r="C16" s="299"/>
      <c r="D16" s="1583" t="s">
        <v>1529</v>
      </c>
      <c r="E16" s="1583"/>
      <c r="F16" s="1583"/>
      <c r="G16" s="568"/>
    </row>
    <row r="17" spans="1:7" ht="14.5" customHeight="1">
      <c r="A17" s="413"/>
      <c r="B17" s="14"/>
      <c r="C17" s="299"/>
      <c r="D17" s="1583"/>
      <c r="E17" s="1583"/>
      <c r="F17" s="1583"/>
      <c r="G17" s="568"/>
    </row>
    <row r="18" spans="1:7" ht="13">
      <c r="A18" s="415"/>
      <c r="B18" s="14"/>
      <c r="C18" s="299"/>
      <c r="D18" s="1583"/>
      <c r="E18" s="1583"/>
      <c r="F18" s="1583"/>
      <c r="G18" s="568"/>
    </row>
    <row r="19" spans="1:7" ht="13">
      <c r="A19" s="415"/>
      <c r="B19" s="415"/>
      <c r="C19" s="299"/>
      <c r="D19" s="282"/>
      <c r="E19" s="282"/>
      <c r="F19" s="282"/>
    </row>
    <row r="20" spans="1:7" ht="13">
      <c r="A20" s="413"/>
      <c r="B20" s="949" t="s">
        <v>1530</v>
      </c>
      <c r="C20" s="14"/>
      <c r="D20" s="1592" t="s">
        <v>1563</v>
      </c>
      <c r="E20" s="1592"/>
      <c r="F20" s="1592"/>
    </row>
    <row r="21" spans="1:7" ht="13">
      <c r="A21" s="413"/>
      <c r="B21" s="413"/>
      <c r="C21" s="14"/>
      <c r="D21" s="287"/>
      <c r="E21" s="282"/>
      <c r="F21" s="282"/>
    </row>
    <row r="22" spans="1:7" ht="13">
      <c r="A22" s="413"/>
      <c r="B22" s="949" t="s">
        <v>136</v>
      </c>
      <c r="C22" s="14"/>
      <c r="D22" s="1583" t="s">
        <v>1564</v>
      </c>
      <c r="E22" s="1583"/>
      <c r="F22" s="1583"/>
    </row>
    <row r="23" spans="1:7" ht="13">
      <c r="A23" s="413"/>
      <c r="B23" s="413"/>
      <c r="C23" s="14"/>
      <c r="D23" s="1583"/>
      <c r="E23" s="1583"/>
      <c r="F23" s="1583"/>
    </row>
    <row r="24" spans="1:7" ht="13">
      <c r="A24" s="413"/>
      <c r="B24" s="413"/>
      <c r="C24" s="14"/>
      <c r="D24" s="287"/>
      <c r="E24" s="282"/>
      <c r="F24" s="282"/>
    </row>
    <row r="25" spans="1:7" ht="14.25" customHeight="1">
      <c r="A25" s="570"/>
      <c r="B25" s="949" t="s">
        <v>1530</v>
      </c>
      <c r="D25" s="1616" t="s">
        <v>1566</v>
      </c>
      <c r="E25" s="1616"/>
      <c r="F25" s="1616"/>
    </row>
    <row r="26" spans="1:7" ht="13">
      <c r="A26" s="570"/>
      <c r="B26" s="570"/>
      <c r="D26" s="1616"/>
      <c r="E26" s="1616"/>
      <c r="F26" s="1616"/>
    </row>
    <row r="27" spans="1:7" ht="13">
      <c r="A27" s="570"/>
      <c r="B27" s="570"/>
      <c r="D27" s="1616"/>
      <c r="E27" s="1616"/>
      <c r="F27" s="1616"/>
    </row>
    <row r="28" spans="1:7" ht="13">
      <c r="A28" s="570"/>
      <c r="B28" s="570"/>
      <c r="D28" s="1616"/>
      <c r="E28" s="1616"/>
      <c r="F28" s="1616"/>
    </row>
    <row r="29" spans="1:7" ht="13">
      <c r="A29" s="570"/>
      <c r="B29" s="570"/>
      <c r="D29" s="1616"/>
      <c r="E29" s="1616"/>
      <c r="F29" s="1616"/>
    </row>
    <row r="30" spans="1:7" ht="13">
      <c r="A30" s="570"/>
      <c r="B30" s="570"/>
      <c r="D30" s="909"/>
      <c r="F30" s="954"/>
    </row>
    <row r="31" spans="1:7" ht="14.5" customHeight="1">
      <c r="A31" s="570"/>
      <c r="B31" s="949" t="s">
        <v>1530</v>
      </c>
      <c r="D31" s="1627" t="s">
        <v>1565</v>
      </c>
      <c r="E31" s="1627"/>
      <c r="F31" s="1627"/>
    </row>
    <row r="32" spans="1:7" ht="13">
      <c r="A32" s="570"/>
      <c r="B32" s="570"/>
      <c r="D32" s="1627"/>
      <c r="E32" s="1627"/>
      <c r="F32" s="1627"/>
    </row>
    <row r="33" spans="1:6" ht="13">
      <c r="A33" s="413"/>
      <c r="B33" s="413"/>
      <c r="C33" s="14"/>
      <c r="D33" s="953"/>
      <c r="E33" s="953"/>
      <c r="F33" s="953"/>
    </row>
    <row r="34" spans="1:6" ht="13">
      <c r="A34" s="413"/>
      <c r="B34" s="949" t="s">
        <v>1530</v>
      </c>
      <c r="C34" s="14"/>
      <c r="D34" s="1628" t="s">
        <v>1978</v>
      </c>
      <c r="E34" s="1627"/>
      <c r="F34" s="1627"/>
    </row>
    <row r="35" spans="1:6" ht="13">
      <c r="A35" s="413"/>
      <c r="B35" s="413"/>
      <c r="C35" s="14"/>
      <c r="D35" s="1627"/>
      <c r="E35" s="1627"/>
      <c r="F35" s="1627"/>
    </row>
    <row r="36" spans="1:6" ht="13">
      <c r="A36" s="413"/>
      <c r="B36" s="413"/>
      <c r="C36" s="14"/>
      <c r="D36" s="1627"/>
      <c r="E36" s="1627"/>
      <c r="F36" s="1627"/>
    </row>
    <row r="37" spans="1:6" ht="13">
      <c r="A37" s="413"/>
      <c r="B37" s="413"/>
      <c r="C37" s="14"/>
      <c r="D37" s="1627"/>
      <c r="E37" s="1627"/>
      <c r="F37" s="1627"/>
    </row>
    <row r="38" spans="1:6" ht="13">
      <c r="A38" s="413"/>
      <c r="B38" s="413"/>
      <c r="C38" s="14"/>
      <c r="D38" s="1627"/>
      <c r="E38" s="1627"/>
      <c r="F38" s="1627"/>
    </row>
    <row r="39" spans="1:6" ht="13">
      <c r="A39" s="413"/>
      <c r="B39" s="413"/>
      <c r="C39" s="14"/>
      <c r="D39" s="1627"/>
      <c r="E39" s="1627"/>
      <c r="F39" s="1627"/>
    </row>
    <row r="40" spans="1:6" ht="13">
      <c r="A40" s="413"/>
      <c r="B40" s="413"/>
      <c r="C40" s="14"/>
      <c r="D40" s="1627"/>
      <c r="E40" s="1627"/>
      <c r="F40" s="1627"/>
    </row>
    <row r="41" spans="1:6" ht="13">
      <c r="A41" s="413"/>
      <c r="B41" s="413"/>
      <c r="C41" s="14"/>
      <c r="D41" s="1627"/>
      <c r="E41" s="1627"/>
      <c r="F41" s="1627"/>
    </row>
    <row r="42" spans="1:6" ht="13">
      <c r="A42" s="413"/>
      <c r="B42" s="413"/>
      <c r="C42" s="14"/>
      <c r="D42" s="956"/>
      <c r="E42" s="956"/>
      <c r="F42" s="956"/>
    </row>
    <row r="43" spans="1:6" ht="14.5" customHeight="1">
      <c r="A43" s="413"/>
      <c r="B43" s="949" t="s">
        <v>1530</v>
      </c>
      <c r="C43" s="14"/>
      <c r="D43" s="1627" t="s">
        <v>1607</v>
      </c>
      <c r="E43" s="1627"/>
      <c r="F43" s="1627"/>
    </row>
    <row r="44" spans="1:6" ht="13">
      <c r="A44" s="413"/>
      <c r="B44" s="413"/>
      <c r="C44" s="14"/>
      <c r="D44" s="1627"/>
      <c r="E44" s="1627"/>
      <c r="F44" s="1627"/>
    </row>
    <row r="45" spans="1:6" ht="13">
      <c r="A45" s="413"/>
      <c r="B45" s="413"/>
      <c r="C45" s="14"/>
      <c r="D45" s="1627"/>
      <c r="E45" s="1627"/>
      <c r="F45" s="1627"/>
    </row>
    <row r="46" spans="1:6" ht="13">
      <c r="A46" s="413"/>
      <c r="B46" s="413"/>
      <c r="C46" s="14"/>
      <c r="D46" s="1627"/>
      <c r="E46" s="1627"/>
      <c r="F46" s="1627"/>
    </row>
    <row r="47" spans="1:6" ht="13">
      <c r="A47" s="413"/>
      <c r="B47" s="413"/>
      <c r="C47" s="14"/>
      <c r="D47" s="1627"/>
      <c r="E47" s="1627"/>
      <c r="F47" s="1627"/>
    </row>
    <row r="48" spans="1:6" ht="13">
      <c r="A48" s="413"/>
      <c r="B48" s="413"/>
      <c r="C48" s="14"/>
      <c r="D48" s="403"/>
    </row>
    <row r="49" spans="1:6" ht="13">
      <c r="A49" s="413"/>
      <c r="B49" s="949" t="s">
        <v>1530</v>
      </c>
      <c r="C49" s="14"/>
      <c r="D49" s="1628" t="s">
        <v>2147</v>
      </c>
      <c r="E49" s="1627"/>
      <c r="F49" s="1627"/>
    </row>
    <row r="50" spans="1:6" ht="13">
      <c r="A50" s="413"/>
      <c r="B50" s="413"/>
      <c r="C50" s="14"/>
      <c r="D50" s="1627"/>
      <c r="E50" s="1627"/>
      <c r="F50" s="1627"/>
    </row>
    <row r="51" spans="1:6" ht="13">
      <c r="A51" s="413"/>
      <c r="B51" s="413"/>
      <c r="C51" s="14"/>
      <c r="D51" s="1627"/>
      <c r="E51" s="1627"/>
      <c r="F51" s="1627"/>
    </row>
    <row r="52" spans="1:6" ht="13">
      <c r="A52" s="413"/>
      <c r="B52" s="413"/>
      <c r="C52" s="14"/>
      <c r="D52" s="1627"/>
      <c r="E52" s="1627"/>
      <c r="F52" s="1627"/>
    </row>
    <row r="53" spans="1:6" ht="13">
      <c r="A53" s="413"/>
      <c r="B53" s="413"/>
      <c r="C53" s="14"/>
      <c r="D53" s="1627"/>
      <c r="E53" s="1627"/>
      <c r="F53" s="1627"/>
    </row>
    <row r="54" spans="1:6" ht="15" customHeight="1">
      <c r="A54" s="413"/>
      <c r="B54" s="413"/>
      <c r="C54" s="14"/>
      <c r="D54" s="1627"/>
      <c r="E54" s="1627"/>
      <c r="F54" s="1627"/>
    </row>
    <row r="55" spans="1:6" ht="13">
      <c r="A55" s="413"/>
      <c r="B55" s="413"/>
      <c r="C55" s="14"/>
      <c r="D55" s="2"/>
    </row>
    <row r="56" spans="1:6" ht="13">
      <c r="A56" s="413"/>
      <c r="B56" s="949" t="s">
        <v>136</v>
      </c>
      <c r="C56" s="14"/>
      <c r="D56" s="1628" t="s">
        <v>2200</v>
      </c>
      <c r="E56" s="1627"/>
      <c r="F56" s="1627"/>
    </row>
    <row r="57" spans="1:6" ht="13">
      <c r="A57" s="413"/>
      <c r="B57" s="413"/>
      <c r="C57" s="14"/>
      <c r="D57" s="1627"/>
      <c r="E57" s="1627"/>
      <c r="F57" s="1627"/>
    </row>
    <row r="58" spans="1:6" ht="13">
      <c r="A58" s="413"/>
      <c r="B58" s="413"/>
      <c r="C58" s="14"/>
      <c r="D58" s="1627"/>
      <c r="E58" s="1627"/>
      <c r="F58" s="1627"/>
    </row>
    <row r="59" spans="1:6" ht="13">
      <c r="A59" s="413"/>
      <c r="B59" s="413"/>
      <c r="C59" s="14"/>
      <c r="D59" s="1627"/>
      <c r="E59" s="1627"/>
      <c r="F59" s="1627"/>
    </row>
    <row r="60" spans="1:6" ht="17.25" customHeight="1">
      <c r="A60" s="413"/>
      <c r="B60" s="413"/>
      <c r="C60" s="14"/>
      <c r="D60" s="1627"/>
      <c r="E60" s="1627"/>
      <c r="F60" s="1627"/>
    </row>
    <row r="61" spans="1:6" ht="14.25" customHeight="1">
      <c r="A61" s="413"/>
      <c r="B61" s="949" t="s">
        <v>136</v>
      </c>
      <c r="C61" s="14"/>
      <c r="D61" s="1581" t="s">
        <v>1612</v>
      </c>
      <c r="E61" s="1581"/>
      <c r="F61" s="1581"/>
    </row>
    <row r="62" spans="1:6" ht="15" customHeight="1">
      <c r="A62" s="413"/>
      <c r="B62" s="413"/>
      <c r="C62" s="14"/>
      <c r="D62" s="1581"/>
      <c r="E62" s="1581"/>
      <c r="F62" s="1581"/>
    </row>
    <row r="63" spans="1:6" ht="21.75" customHeight="1">
      <c r="A63" s="413"/>
      <c r="B63" s="413"/>
      <c r="C63" s="14"/>
      <c r="D63" s="1581"/>
      <c r="E63" s="1581"/>
      <c r="F63" s="1581"/>
    </row>
    <row r="64" spans="1:6" ht="13">
      <c r="A64" s="413"/>
      <c r="B64" s="413"/>
      <c r="C64" s="14"/>
      <c r="D64" s="136"/>
    </row>
    <row r="65" spans="1:6" ht="13">
      <c r="A65" s="570"/>
      <c r="B65" s="949" t="s">
        <v>1530</v>
      </c>
      <c r="D65" s="1627" t="s">
        <v>1613</v>
      </c>
      <c r="E65" s="1627"/>
      <c r="F65" s="1627"/>
    </row>
    <row r="66" spans="1:6" ht="13">
      <c r="A66" s="570"/>
      <c r="B66" s="570"/>
      <c r="D66" s="1627"/>
      <c r="E66" s="1627"/>
      <c r="F66" s="1627"/>
    </row>
    <row r="67" spans="1:6" ht="13">
      <c r="A67" s="413"/>
      <c r="B67" s="413"/>
      <c r="C67" s="14"/>
      <c r="D67" s="136"/>
    </row>
    <row r="68" spans="1:6" ht="13">
      <c r="A68" s="413"/>
      <c r="B68" s="949" t="s">
        <v>136</v>
      </c>
      <c r="C68" s="14"/>
      <c r="D68" s="1627" t="s">
        <v>1732</v>
      </c>
      <c r="E68" s="1627"/>
      <c r="F68" s="1627"/>
    </row>
    <row r="69" spans="1:6" ht="12.5">
      <c r="A69" s="140"/>
      <c r="B69" s="140"/>
      <c r="C69" s="14"/>
      <c r="D69" s="1627"/>
      <c r="E69" s="1627"/>
      <c r="F69" s="1627"/>
    </row>
    <row r="70" spans="1:6" ht="12.5">
      <c r="A70" s="140"/>
      <c r="B70" s="140"/>
      <c r="C70" s="14"/>
      <c r="D70" s="1627"/>
      <c r="E70" s="1627"/>
      <c r="F70" s="1627"/>
    </row>
    <row r="71" spans="1:6" ht="12.5">
      <c r="A71" s="140"/>
      <c r="B71" s="140"/>
      <c r="C71" s="14"/>
      <c r="D71" s="282"/>
      <c r="E71" s="282"/>
      <c r="F71" s="282"/>
    </row>
    <row r="72" spans="1:6" ht="13">
      <c r="A72" s="413" t="s">
        <v>255</v>
      </c>
      <c r="B72" s="949" t="s">
        <v>136</v>
      </c>
      <c r="C72" s="14"/>
      <c r="D72" s="1627" t="s">
        <v>1614</v>
      </c>
      <c r="E72" s="1627"/>
      <c r="F72" s="1627"/>
    </row>
    <row r="73" spans="1:6" ht="12.5">
      <c r="A73" s="140"/>
      <c r="B73" s="140"/>
      <c r="C73" s="14"/>
      <c r="D73" s="1627"/>
      <c r="E73" s="1627"/>
      <c r="F73" s="1627"/>
    </row>
    <row r="74" spans="1:6" ht="12.5">
      <c r="A74" s="140"/>
      <c r="B74" s="140"/>
      <c r="C74" s="14"/>
      <c r="D74" s="282"/>
      <c r="E74" s="282"/>
      <c r="F74" s="282"/>
    </row>
    <row r="75" spans="1:6" ht="13">
      <c r="A75" s="413" t="s">
        <v>255</v>
      </c>
      <c r="B75" s="949" t="s">
        <v>1530</v>
      </c>
      <c r="C75" s="14"/>
      <c r="D75" s="1627" t="s">
        <v>1615</v>
      </c>
      <c r="E75" s="1627"/>
      <c r="F75" s="1627"/>
    </row>
    <row r="76" spans="1:6" ht="12.5">
      <c r="A76" s="140"/>
      <c r="B76" s="140"/>
      <c r="C76" s="14"/>
      <c r="D76" s="1627"/>
      <c r="E76" s="1627"/>
      <c r="F76" s="1627"/>
    </row>
    <row r="77" spans="1:6" ht="12.5">
      <c r="A77" s="140"/>
      <c r="B77" s="140"/>
      <c r="C77" s="14"/>
      <c r="D77" s="1627"/>
      <c r="E77" s="1627"/>
      <c r="F77" s="1627"/>
    </row>
    <row r="78" spans="1:6" ht="12.5">
      <c r="A78" s="140"/>
      <c r="B78" s="140"/>
      <c r="C78" s="14"/>
      <c r="D78" s="403"/>
      <c r="E78" s="282"/>
      <c r="F78" s="282"/>
    </row>
    <row r="79" spans="1:6" ht="13">
      <c r="A79" s="413" t="s">
        <v>255</v>
      </c>
      <c r="B79" s="949" t="s">
        <v>1530</v>
      </c>
      <c r="C79" s="14"/>
      <c r="D79" s="1583" t="s">
        <v>1616</v>
      </c>
      <c r="E79" s="1583"/>
      <c r="F79" s="1583"/>
    </row>
    <row r="80" spans="1:6" ht="12.5">
      <c r="A80" s="140"/>
      <c r="B80" s="140"/>
      <c r="C80" s="14"/>
      <c r="D80" s="1583"/>
      <c r="E80" s="1583"/>
      <c r="F80" s="1583"/>
    </row>
    <row r="81" spans="1:7" ht="12.5">
      <c r="A81" s="140"/>
      <c r="B81" s="140"/>
      <c r="C81" s="14"/>
      <c r="D81" s="282"/>
      <c r="E81" s="282"/>
      <c r="F81" s="282"/>
    </row>
    <row r="82" spans="1:7" ht="13">
      <c r="A82" s="1599" t="s">
        <v>1535</v>
      </c>
      <c r="B82" s="1599"/>
      <c r="C82" s="1599"/>
      <c r="D82" s="1599"/>
      <c r="E82" s="1599"/>
      <c r="F82" s="1599"/>
      <c r="G82" s="1599"/>
    </row>
    <row r="83" spans="1:7" ht="12.5">
      <c r="A83" s="140"/>
      <c r="B83" s="140"/>
      <c r="C83" s="14"/>
      <c r="D83" s="282"/>
      <c r="E83" s="2"/>
      <c r="F83" s="2"/>
      <c r="G83" s="2"/>
    </row>
    <row r="84" spans="1:7" ht="13.75" customHeight="1">
      <c r="A84" s="140"/>
      <c r="B84" s="140"/>
      <c r="C84" s="925"/>
      <c r="D84" s="1618" t="s">
        <v>1536</v>
      </c>
      <c r="E84" s="1618"/>
      <c r="F84" s="1618"/>
      <c r="G84" s="2"/>
    </row>
    <row r="85" spans="1:7" ht="13.75" customHeight="1">
      <c r="A85" s="143"/>
      <c r="B85" s="143"/>
      <c r="C85" s="14"/>
      <c r="D85" s="1583" t="s">
        <v>1735</v>
      </c>
      <c r="E85" s="1583"/>
      <c r="F85" s="1583"/>
      <c r="G85" s="2"/>
    </row>
    <row r="86" spans="1:7" ht="12.5">
      <c r="A86" s="143"/>
      <c r="B86" s="143"/>
      <c r="C86" s="14"/>
      <c r="D86" s="282"/>
      <c r="E86" s="2"/>
      <c r="F86" s="2"/>
      <c r="G86" s="2"/>
    </row>
    <row r="87" spans="1:7" ht="14.25" customHeight="1">
      <c r="A87" s="413"/>
      <c r="B87" s="949" t="s">
        <v>1530</v>
      </c>
      <c r="C87" s="14"/>
      <c r="D87" s="1582" t="s">
        <v>2116</v>
      </c>
      <c r="E87" s="1582"/>
      <c r="F87" s="1582"/>
      <c r="G87" s="2"/>
    </row>
    <row r="88" spans="1:7" ht="14.5" customHeight="1">
      <c r="A88" s="413"/>
      <c r="B88" s="14"/>
      <c r="C88" s="14"/>
      <c r="D88" s="1582"/>
      <c r="E88" s="1582"/>
      <c r="F88" s="1582"/>
      <c r="G88" s="2"/>
    </row>
    <row r="89" spans="1:7" ht="13">
      <c r="A89" s="413"/>
      <c r="B89" s="413"/>
      <c r="C89" s="14"/>
      <c r="D89" s="1582"/>
      <c r="E89" s="1582"/>
      <c r="F89" s="1582"/>
      <c r="G89" s="2"/>
    </row>
    <row r="90" spans="1:7" ht="13">
      <c r="A90" s="413"/>
      <c r="B90" s="413"/>
      <c r="C90" s="14"/>
      <c r="D90" s="1582"/>
      <c r="E90" s="1582"/>
      <c r="F90" s="1582"/>
      <c r="G90" s="2"/>
    </row>
    <row r="91" spans="1:7" ht="13">
      <c r="A91" s="413"/>
      <c r="B91" s="413"/>
      <c r="C91" s="14"/>
      <c r="D91" s="1582"/>
      <c r="E91" s="1582"/>
      <c r="F91" s="1582"/>
      <c r="G91" s="2"/>
    </row>
    <row r="92" spans="1:7" ht="13">
      <c r="A92" s="413"/>
      <c r="B92" s="413"/>
      <c r="C92" s="14"/>
      <c r="D92" s="1582"/>
      <c r="E92" s="1582"/>
      <c r="F92" s="1582"/>
      <c r="G92" s="2"/>
    </row>
    <row r="93" spans="1:7" ht="13">
      <c r="A93" s="413"/>
      <c r="B93" s="413"/>
      <c r="C93" s="14"/>
      <c r="D93" s="1582"/>
      <c r="E93" s="1582"/>
      <c r="F93" s="1582"/>
      <c r="G93" s="2"/>
    </row>
    <row r="94" spans="1:7" ht="13">
      <c r="A94" s="413"/>
      <c r="B94" s="413"/>
      <c r="C94" s="14"/>
      <c r="D94" s="1582"/>
      <c r="E94" s="1582"/>
      <c r="F94" s="1582"/>
      <c r="G94" s="2"/>
    </row>
    <row r="95" spans="1:7" ht="13">
      <c r="A95" s="413"/>
      <c r="B95" s="413"/>
      <c r="C95" s="14"/>
      <c r="D95" s="1582"/>
      <c r="E95" s="1582"/>
      <c r="F95" s="1582"/>
      <c r="G95" s="2"/>
    </row>
    <row r="96" spans="1:7" ht="14.5" customHeight="1">
      <c r="A96" s="413"/>
      <c r="B96" s="982" t="s">
        <v>136</v>
      </c>
      <c r="C96" s="14"/>
      <c r="D96" s="1588" t="s">
        <v>2117</v>
      </c>
      <c r="E96" s="1588"/>
      <c r="F96" s="1588"/>
      <c r="G96" s="2"/>
    </row>
    <row r="97" spans="1:7" ht="13">
      <c r="A97" s="413"/>
      <c r="B97" s="413"/>
      <c r="C97" s="14"/>
      <c r="D97" s="1588"/>
      <c r="E97" s="1588"/>
      <c r="F97" s="1588"/>
      <c r="G97" s="2"/>
    </row>
    <row r="98" spans="1:7" ht="13">
      <c r="A98" s="413"/>
      <c r="B98" s="413"/>
      <c r="C98" s="14"/>
      <c r="D98" s="1588"/>
      <c r="E98" s="1588"/>
      <c r="F98" s="1588"/>
      <c r="G98" s="2"/>
    </row>
    <row r="99" spans="1:7" ht="13">
      <c r="A99" s="413"/>
      <c r="B99" s="413"/>
      <c r="C99" s="14"/>
      <c r="D99" s="1588"/>
      <c r="E99" s="1588"/>
      <c r="F99" s="1588"/>
      <c r="G99" s="2"/>
    </row>
    <row r="100" spans="1:7" ht="13">
      <c r="A100" s="413"/>
      <c r="B100" s="413"/>
      <c r="C100" s="14"/>
      <c r="D100" s="1588"/>
      <c r="E100" s="1588"/>
      <c r="F100" s="1588"/>
      <c r="G100" s="2"/>
    </row>
    <row r="101" spans="1:7" ht="13">
      <c r="A101" s="413"/>
      <c r="B101" s="413"/>
      <c r="C101" s="14"/>
      <c r="D101" s="1588"/>
      <c r="E101" s="1588"/>
      <c r="F101" s="1588"/>
      <c r="G101" s="2"/>
    </row>
    <row r="102" spans="1:7" ht="13">
      <c r="A102" s="413"/>
      <c r="B102" s="413"/>
      <c r="C102" s="14"/>
      <c r="D102" s="1588"/>
      <c r="E102" s="1588"/>
      <c r="F102" s="1588"/>
      <c r="G102" s="2"/>
    </row>
    <row r="103" spans="1:7" ht="13">
      <c r="A103" s="413"/>
      <c r="B103" s="413"/>
      <c r="C103" s="14"/>
      <c r="D103" s="1588"/>
      <c r="E103" s="1588"/>
      <c r="F103" s="1588"/>
      <c r="G103" s="2"/>
    </row>
    <row r="104" spans="1:7" ht="13">
      <c r="A104" s="413"/>
      <c r="B104" s="413"/>
      <c r="C104" s="14"/>
      <c r="D104" s="1588"/>
      <c r="E104" s="1588"/>
      <c r="F104" s="1588"/>
      <c r="G104" s="2"/>
    </row>
    <row r="105" spans="1:7" ht="13">
      <c r="A105" s="413"/>
      <c r="B105" s="413"/>
      <c r="C105" s="14"/>
      <c r="D105" s="1588"/>
      <c r="E105" s="1588"/>
      <c r="F105" s="1588"/>
      <c r="G105" s="2"/>
    </row>
    <row r="106" spans="1:7" ht="13">
      <c r="A106" s="413"/>
      <c r="B106" s="413"/>
      <c r="C106" s="14"/>
      <c r="D106" s="1588"/>
      <c r="E106" s="1588"/>
      <c r="F106" s="1588"/>
      <c r="G106" s="2"/>
    </row>
    <row r="107" spans="1:7" ht="13">
      <c r="A107" s="413"/>
      <c r="B107" s="413"/>
      <c r="C107" s="14"/>
      <c r="D107" s="1588"/>
      <c r="E107" s="1588"/>
      <c r="F107" s="1588"/>
      <c r="G107" s="2"/>
    </row>
    <row r="108" spans="1:7" ht="13">
      <c r="A108" s="413"/>
      <c r="B108" s="413"/>
      <c r="C108" s="14"/>
      <c r="D108" s="1588"/>
      <c r="E108" s="1588"/>
      <c r="F108" s="1588"/>
      <c r="G108" s="2"/>
    </row>
    <row r="109" spans="1:7" ht="13">
      <c r="A109" s="413"/>
      <c r="B109" s="982" t="s">
        <v>136</v>
      </c>
      <c r="C109" s="14"/>
      <c r="D109" s="1583" t="s">
        <v>1736</v>
      </c>
      <c r="E109" s="1583"/>
      <c r="F109" s="1583"/>
      <c r="G109" s="2"/>
    </row>
    <row r="110" spans="1:7" ht="13">
      <c r="A110" s="413"/>
      <c r="B110" s="413"/>
      <c r="C110" s="14"/>
      <c r="D110" s="1583"/>
      <c r="E110" s="1583"/>
      <c r="F110" s="1583"/>
      <c r="G110" s="2"/>
    </row>
    <row r="111" spans="1:7" ht="13">
      <c r="A111" s="413"/>
      <c r="B111" s="413"/>
      <c r="C111" s="14"/>
      <c r="D111" s="1583"/>
      <c r="E111" s="1583"/>
      <c r="F111" s="1583"/>
      <c r="G111" s="2"/>
    </row>
    <row r="112" spans="1:7" ht="13">
      <c r="A112" s="413"/>
      <c r="B112" s="413"/>
      <c r="C112" s="14"/>
      <c r="D112" s="1583"/>
      <c r="E112" s="1583"/>
      <c r="F112" s="1583"/>
      <c r="G112" s="2"/>
    </row>
    <row r="113" spans="1:7" ht="13">
      <c r="A113" s="413"/>
      <c r="B113" s="413"/>
      <c r="C113" s="14"/>
      <c r="D113" s="1583"/>
      <c r="E113" s="1583"/>
      <c r="F113" s="1583"/>
      <c r="G113" s="2"/>
    </row>
    <row r="114" spans="1:7" ht="13">
      <c r="A114" s="413"/>
      <c r="B114" s="413"/>
      <c r="C114" s="14"/>
      <c r="D114" s="1583"/>
      <c r="E114" s="1583"/>
      <c r="F114" s="1583"/>
      <c r="G114" s="2"/>
    </row>
    <row r="115" spans="1:7" ht="13">
      <c r="A115" s="413"/>
      <c r="B115" s="413"/>
      <c r="C115" s="14"/>
      <c r="D115" s="1583"/>
      <c r="E115" s="1583"/>
      <c r="F115" s="1583"/>
      <c r="G115" s="2"/>
    </row>
    <row r="116" spans="1:7" ht="13">
      <c r="A116" s="413"/>
      <c r="B116" s="413"/>
      <c r="C116" s="14"/>
      <c r="D116" s="1583"/>
      <c r="E116" s="1583"/>
      <c r="F116" s="1583"/>
      <c r="G116" s="2"/>
    </row>
    <row r="117" spans="1:7" ht="12.75" customHeight="1">
      <c r="A117" s="413"/>
      <c r="B117" s="949" t="s">
        <v>1530</v>
      </c>
      <c r="C117" s="14"/>
      <c r="D117" s="1583" t="s">
        <v>1737</v>
      </c>
      <c r="E117" s="1583"/>
      <c r="F117" s="1583"/>
    </row>
    <row r="118" spans="1:7" ht="12.5">
      <c r="A118" s="140"/>
      <c r="B118" s="140"/>
      <c r="C118" s="14"/>
      <c r="D118" s="1583"/>
      <c r="E118" s="1583"/>
      <c r="F118" s="1583"/>
    </row>
    <row r="119" spans="1:7" ht="12.5">
      <c r="A119" s="140"/>
      <c r="B119" s="140"/>
      <c r="C119" s="14"/>
      <c r="D119" s="1583"/>
      <c r="E119" s="1583"/>
      <c r="F119" s="1583"/>
    </row>
    <row r="120" spans="1:7" ht="12.5">
      <c r="A120" s="140"/>
      <c r="B120" s="140"/>
      <c r="C120" s="14"/>
      <c r="D120" s="1583"/>
      <c r="E120" s="1583"/>
      <c r="F120" s="1583"/>
    </row>
    <row r="121" spans="1:7" ht="27" customHeight="1">
      <c r="A121" s="140"/>
      <c r="B121" s="140"/>
      <c r="C121" s="14"/>
      <c r="D121" s="1583"/>
      <c r="E121" s="1583"/>
      <c r="F121" s="1583"/>
    </row>
    <row r="122" spans="1:7" ht="12.5">
      <c r="A122" s="140"/>
      <c r="B122" s="140"/>
      <c r="C122" s="14"/>
      <c r="D122" s="282"/>
      <c r="E122" s="282"/>
      <c r="F122" s="282"/>
    </row>
    <row r="123" spans="1:7" ht="13">
      <c r="A123" s="413"/>
      <c r="B123" s="949" t="s">
        <v>1530</v>
      </c>
      <c r="C123" s="14"/>
      <c r="D123" s="1627" t="s">
        <v>1738</v>
      </c>
      <c r="E123" s="1627"/>
      <c r="F123" s="1627"/>
    </row>
    <row r="124" spans="1:7" s="515" customFormat="1" ht="14" customHeight="1">
      <c r="A124" s="505"/>
      <c r="B124" s="505"/>
      <c r="C124" s="506"/>
      <c r="D124" s="1627"/>
      <c r="E124" s="1627"/>
      <c r="F124" s="1627"/>
      <c r="G124" s="576"/>
    </row>
    <row r="125" spans="1:7" ht="14" customHeight="1">
      <c r="A125" s="140"/>
      <c r="B125" s="140"/>
      <c r="C125" s="14"/>
      <c r="D125" s="1627"/>
      <c r="E125" s="1627"/>
      <c r="F125" s="1627"/>
    </row>
    <row r="126" spans="1:7" ht="14" customHeight="1">
      <c r="A126" s="140"/>
      <c r="B126" s="140"/>
      <c r="C126" s="14"/>
      <c r="D126" s="1627"/>
      <c r="E126" s="1627"/>
      <c r="F126" s="1627"/>
    </row>
    <row r="127" spans="1:7" ht="14" customHeight="1">
      <c r="A127" s="140"/>
      <c r="B127" s="140"/>
      <c r="C127" s="14"/>
      <c r="D127" s="1627"/>
      <c r="E127" s="1627"/>
      <c r="F127" s="1627"/>
    </row>
    <row r="128" spans="1:7" ht="14" customHeight="1">
      <c r="A128" s="140"/>
      <c r="B128" s="140"/>
      <c r="C128" s="14"/>
      <c r="D128" s="1627"/>
      <c r="E128" s="1627"/>
      <c r="F128" s="1627"/>
    </row>
    <row r="129" spans="1:7" ht="14" customHeight="1">
      <c r="A129" s="983"/>
      <c r="B129" s="983"/>
      <c r="C129" s="14"/>
      <c r="D129" s="1627"/>
      <c r="E129" s="1627"/>
      <c r="F129" s="1627"/>
      <c r="G129" s="2"/>
    </row>
    <row r="130" spans="1:7" ht="14" customHeight="1">
      <c r="A130" s="983"/>
      <c r="B130" s="983"/>
      <c r="C130" s="14"/>
      <c r="D130" s="1627"/>
      <c r="E130" s="1627"/>
      <c r="F130" s="1627"/>
      <c r="G130" s="2"/>
    </row>
    <row r="131" spans="1:7" ht="14" customHeight="1">
      <c r="A131" s="983"/>
      <c r="B131" s="983"/>
      <c r="C131" s="14"/>
      <c r="D131" s="1627"/>
      <c r="E131" s="1627"/>
      <c r="F131" s="1627"/>
      <c r="G131" s="2"/>
    </row>
    <row r="132" spans="1:7" ht="14" customHeight="1">
      <c r="A132" s="983"/>
      <c r="B132" s="983"/>
      <c r="C132" s="14"/>
      <c r="D132" s="1627"/>
      <c r="E132" s="1627"/>
      <c r="F132" s="1627"/>
      <c r="G132" s="2"/>
    </row>
    <row r="133" spans="1:7" ht="17.25" customHeight="1">
      <c r="A133" s="983"/>
      <c r="B133" s="983"/>
      <c r="C133" s="14"/>
      <c r="D133" s="1627"/>
      <c r="E133" s="1627"/>
      <c r="F133" s="1627"/>
      <c r="G133" s="2"/>
    </row>
    <row r="134" spans="1:7" ht="25.5" hidden="1" customHeight="1">
      <c r="A134" s="983"/>
      <c r="B134" s="983"/>
      <c r="C134" s="14"/>
      <c r="D134" s="1627"/>
      <c r="E134" s="1627"/>
      <c r="F134" s="1627"/>
      <c r="G134" s="2"/>
    </row>
    <row r="135" spans="1:7" ht="14" customHeight="1">
      <c r="A135" s="983"/>
      <c r="B135" s="983"/>
      <c r="C135" s="14"/>
      <c r="D135" s="282"/>
      <c r="E135" s="282"/>
      <c r="F135" s="282"/>
      <c r="G135" s="2"/>
    </row>
    <row r="136" spans="1:7" ht="14" customHeight="1">
      <c r="A136" s="140"/>
      <c r="B136" s="949" t="s">
        <v>1530</v>
      </c>
      <c r="C136" s="14"/>
      <c r="D136" s="1582" t="s">
        <v>1952</v>
      </c>
      <c r="E136" s="1583"/>
      <c r="F136" s="1583"/>
      <c r="G136" s="2"/>
    </row>
    <row r="137" spans="1:7" ht="14" customHeight="1">
      <c r="A137" s="140"/>
      <c r="B137" s="140"/>
      <c r="C137" s="14"/>
      <c r="D137" s="1583"/>
      <c r="E137" s="1583"/>
      <c r="F137" s="1583"/>
      <c r="G137" s="2"/>
    </row>
    <row r="138" spans="1:7" ht="14" customHeight="1">
      <c r="A138" s="140"/>
      <c r="B138" s="140"/>
      <c r="C138" s="14"/>
      <c r="D138" s="1583"/>
      <c r="E138" s="1583"/>
      <c r="F138" s="1583"/>
      <c r="G138" s="2"/>
    </row>
    <row r="139" spans="1:7" ht="14" customHeight="1">
      <c r="A139" s="150"/>
      <c r="B139" s="150"/>
      <c r="D139" s="1583"/>
      <c r="E139" s="1583"/>
      <c r="F139" s="1583"/>
      <c r="G139" s="2"/>
    </row>
    <row r="140" spans="1:7" ht="14" customHeight="1">
      <c r="A140" s="140"/>
      <c r="B140" s="140"/>
      <c r="C140" s="14"/>
      <c r="D140" s="1583"/>
      <c r="E140" s="1583"/>
      <c r="F140" s="1583"/>
      <c r="G140" s="2"/>
    </row>
    <row r="141" spans="1:7" ht="14" customHeight="1">
      <c r="A141" s="33"/>
      <c r="B141" s="33"/>
      <c r="C141" s="14"/>
      <c r="D141" s="1583"/>
      <c r="E141" s="1583"/>
      <c r="F141" s="1583"/>
      <c r="G141" s="2"/>
    </row>
    <row r="142" spans="1:7" ht="14" customHeight="1">
      <c r="A142" s="33"/>
      <c r="B142" s="33"/>
      <c r="C142" s="14"/>
      <c r="D142" s="1583"/>
      <c r="E142" s="1583"/>
      <c r="F142" s="1583"/>
      <c r="G142" s="2"/>
    </row>
    <row r="143" spans="1:7" ht="14" customHeight="1">
      <c r="A143" s="984"/>
      <c r="B143" s="984"/>
      <c r="C143" s="14"/>
      <c r="D143" s="1583"/>
      <c r="E143" s="1583"/>
      <c r="F143" s="1583"/>
      <c r="G143" s="2"/>
    </row>
    <row r="144" spans="1:7" ht="14" customHeight="1">
      <c r="A144" s="984"/>
      <c r="B144" s="984"/>
      <c r="C144" s="14"/>
      <c r="D144" s="1583"/>
      <c r="E144" s="1583"/>
      <c r="F144" s="1583"/>
      <c r="G144" s="2"/>
    </row>
    <row r="145" spans="1:7" ht="14" customHeight="1">
      <c r="A145" s="984"/>
      <c r="B145" s="984"/>
      <c r="C145" s="14"/>
      <c r="D145" s="1583"/>
      <c r="E145" s="1583"/>
      <c r="F145" s="1583"/>
      <c r="G145" s="2"/>
    </row>
    <row r="146" spans="1:7" ht="14" customHeight="1">
      <c r="A146" s="1088"/>
      <c r="B146" s="1088"/>
      <c r="C146" s="14"/>
      <c r="D146" s="1583"/>
      <c r="E146" s="1583"/>
      <c r="F146" s="1583"/>
      <c r="G146" s="2"/>
    </row>
    <row r="147" spans="1:7" ht="14" customHeight="1">
      <c r="A147" s="1088"/>
      <c r="B147" s="1088"/>
      <c r="C147" s="14"/>
      <c r="D147" s="1583"/>
      <c r="E147" s="1583"/>
      <c r="F147" s="1583"/>
      <c r="G147" s="2"/>
    </row>
    <row r="148" spans="1:7" ht="14" customHeight="1">
      <c r="A148" s="984"/>
      <c r="B148" s="984"/>
      <c r="C148" s="14"/>
      <c r="D148" s="1583"/>
      <c r="E148" s="1583"/>
      <c r="F148" s="1583"/>
      <c r="G148" s="2"/>
    </row>
    <row r="149" spans="1:7" ht="14" customHeight="1">
      <c r="A149" s="984"/>
      <c r="B149" s="984"/>
      <c r="C149" s="14"/>
      <c r="D149" s="1583"/>
      <c r="E149" s="1583"/>
      <c r="F149" s="1583"/>
      <c r="G149" s="2"/>
    </row>
    <row r="150" spans="1:7" ht="14" customHeight="1">
      <c r="A150" s="984"/>
      <c r="B150" s="984"/>
      <c r="C150" s="14"/>
      <c r="D150" s="1583"/>
      <c r="E150" s="1583"/>
      <c r="F150" s="1583"/>
      <c r="G150" s="2"/>
    </row>
    <row r="151" spans="1:7" ht="14" customHeight="1">
      <c r="A151" s="984"/>
      <c r="B151" s="984"/>
      <c r="C151" s="14"/>
      <c r="D151" s="1583"/>
      <c r="E151" s="1583"/>
      <c r="F151" s="1583"/>
      <c r="G151" s="2"/>
    </row>
    <row r="152" spans="1:7" ht="14" customHeight="1">
      <c r="A152" s="984"/>
      <c r="B152" s="984"/>
      <c r="C152" s="14"/>
      <c r="D152" s="1583"/>
      <c r="E152" s="1583"/>
      <c r="F152" s="1583"/>
      <c r="G152" s="2"/>
    </row>
    <row r="153" spans="1:7" ht="14" customHeight="1">
      <c r="A153" s="984"/>
      <c r="B153" s="984"/>
      <c r="C153" s="14"/>
      <c r="D153" s="1583"/>
      <c r="E153" s="1583"/>
      <c r="F153" s="1583"/>
      <c r="G153" s="2"/>
    </row>
    <row r="154" spans="1:7" ht="14" customHeight="1">
      <c r="A154" s="1103"/>
      <c r="B154" s="1103"/>
      <c r="C154" s="14"/>
      <c r="D154" s="1659" t="s">
        <v>1953</v>
      </c>
      <c r="E154" s="1659"/>
      <c r="F154" s="1659"/>
      <c r="G154" s="2"/>
    </row>
    <row r="155" spans="1:7" ht="14" customHeight="1">
      <c r="A155" s="984"/>
      <c r="B155" s="984"/>
      <c r="C155" s="14"/>
      <c r="D155" s="980"/>
      <c r="E155" s="282"/>
      <c r="F155" s="282"/>
      <c r="G155" s="2"/>
    </row>
    <row r="156" spans="1:7" ht="14" customHeight="1">
      <c r="A156" s="413"/>
      <c r="B156" s="949" t="s">
        <v>1530</v>
      </c>
      <c r="C156" s="14"/>
      <c r="D156" s="1661" t="s">
        <v>1986</v>
      </c>
      <c r="E156" s="1662"/>
      <c r="F156" s="1662"/>
      <c r="G156" s="2"/>
    </row>
    <row r="157" spans="1:7" ht="14" customHeight="1">
      <c r="A157" s="413"/>
      <c r="B157" s="1130"/>
      <c r="C157" s="14"/>
      <c r="D157" s="1662"/>
      <c r="E157" s="1662"/>
      <c r="F157" s="1662"/>
      <c r="G157" s="2"/>
    </row>
    <row r="158" spans="1:7" ht="14" customHeight="1">
      <c r="A158" s="33"/>
      <c r="B158" s="33"/>
      <c r="C158" s="14"/>
      <c r="D158" s="1662"/>
      <c r="E158" s="1662"/>
      <c r="F158" s="1662"/>
      <c r="G158" s="2"/>
    </row>
    <row r="159" spans="1:7" ht="14" customHeight="1">
      <c r="A159" s="33"/>
      <c r="B159" s="33"/>
      <c r="C159" s="14"/>
      <c r="D159" s="287"/>
      <c r="E159" s="282"/>
      <c r="F159" s="282"/>
      <c r="G159" s="2"/>
    </row>
    <row r="160" spans="1:7" ht="14" customHeight="1">
      <c r="A160" s="413"/>
      <c r="B160" s="949" t="s">
        <v>1530</v>
      </c>
      <c r="C160" s="14"/>
      <c r="D160" s="1663" t="s">
        <v>1739</v>
      </c>
      <c r="E160" s="1663"/>
      <c r="F160" s="1663"/>
      <c r="G160" s="2"/>
    </row>
    <row r="161" spans="1:7" ht="14" customHeight="1">
      <c r="A161" s="33"/>
      <c r="B161" s="33"/>
      <c r="C161" s="14"/>
      <c r="D161" s="1663"/>
      <c r="E161" s="1663"/>
      <c r="F161" s="1663"/>
    </row>
    <row r="162" spans="1:7" ht="14" customHeight="1">
      <c r="A162" s="33"/>
      <c r="B162" s="33"/>
      <c r="C162" s="14"/>
      <c r="D162" s="1663"/>
      <c r="E162" s="1663"/>
      <c r="F162" s="1663"/>
    </row>
    <row r="163" spans="1:7" ht="14" customHeight="1">
      <c r="A163" s="33"/>
      <c r="B163" s="33"/>
      <c r="C163" s="14"/>
      <c r="D163" s="1663"/>
      <c r="E163" s="1663"/>
      <c r="F163" s="1663"/>
    </row>
    <row r="164" spans="1:7" ht="14" customHeight="1">
      <c r="A164" s="33"/>
      <c r="B164" s="33"/>
      <c r="C164" s="14"/>
      <c r="D164" s="287"/>
      <c r="E164" s="282"/>
      <c r="F164" s="282"/>
    </row>
    <row r="165" spans="1:7" ht="14" customHeight="1">
      <c r="A165" s="592"/>
      <c r="B165" s="949" t="s">
        <v>1530</v>
      </c>
      <c r="C165" s="591"/>
      <c r="D165" s="1655" t="s">
        <v>1740</v>
      </c>
      <c r="E165" s="1655"/>
      <c r="F165" s="1655"/>
      <c r="G165" s="714"/>
    </row>
    <row r="166" spans="1:7" ht="14" customHeight="1">
      <c r="A166" s="592"/>
      <c r="B166" s="592"/>
      <c r="C166" s="591"/>
      <c r="D166" s="1655"/>
      <c r="E166" s="1655"/>
      <c r="F166" s="1655"/>
      <c r="G166" s="714"/>
    </row>
    <row r="167" spans="1:7" ht="14" customHeight="1">
      <c r="A167" s="592"/>
      <c r="B167" s="592"/>
      <c r="C167" s="591"/>
      <c r="D167" s="1655"/>
      <c r="E167" s="1655"/>
      <c r="F167" s="1655"/>
      <c r="G167" s="714"/>
    </row>
    <row r="168" spans="1:7" ht="12.5">
      <c r="A168" s="592"/>
      <c r="B168" s="592"/>
      <c r="C168" s="591"/>
      <c r="D168" s="594"/>
      <c r="E168" s="582"/>
      <c r="F168" s="582"/>
      <c r="G168" s="714"/>
    </row>
    <row r="169" spans="1:7" ht="13">
      <c r="A169" s="1599" t="s">
        <v>1538</v>
      </c>
      <c r="B169" s="1599"/>
      <c r="C169" s="1599"/>
      <c r="D169" s="1599"/>
      <c r="E169" s="1599"/>
      <c r="F169" s="1599"/>
      <c r="G169" s="1599"/>
    </row>
    <row r="170" spans="1:7" ht="12.5">
      <c r="A170" s="140"/>
      <c r="B170" s="140"/>
      <c r="C170" s="14"/>
      <c r="D170" s="287"/>
      <c r="E170" s="282"/>
      <c r="F170" s="282"/>
    </row>
    <row r="171" spans="1:7" ht="13">
      <c r="A171" s="140"/>
      <c r="B171" s="140"/>
      <c r="C171" s="925"/>
      <c r="D171" s="1649" t="s">
        <v>1537</v>
      </c>
      <c r="E171" s="1649"/>
      <c r="F171" s="1649"/>
    </row>
    <row r="172" spans="1:7" ht="13">
      <c r="A172" s="414"/>
      <c r="B172" s="414"/>
      <c r="C172" s="298"/>
      <c r="D172" s="1656" t="s">
        <v>1573</v>
      </c>
      <c r="E172" s="1656"/>
      <c r="F172" s="1656"/>
    </row>
    <row r="173" spans="1:7" ht="13">
      <c r="A173" s="415"/>
      <c r="B173" s="415"/>
      <c r="C173" s="299"/>
      <c r="D173" s="282"/>
      <c r="E173" s="282"/>
      <c r="F173" s="282"/>
    </row>
    <row r="174" spans="1:7" ht="13">
      <c r="A174" s="413"/>
      <c r="B174" s="949" t="s">
        <v>1530</v>
      </c>
      <c r="C174" s="302"/>
      <c r="D174" s="1657" t="s">
        <v>1955</v>
      </c>
      <c r="E174" s="1639"/>
      <c r="F174" s="1639"/>
      <c r="G174" s="288"/>
    </row>
    <row r="175" spans="1:7" ht="13">
      <c r="A175" s="413"/>
      <c r="B175" s="417"/>
      <c r="C175" s="302"/>
      <c r="D175" s="1293"/>
      <c r="E175" s="1292"/>
      <c r="F175" s="1292"/>
      <c r="G175" s="288"/>
    </row>
    <row r="176" spans="1:7" ht="13">
      <c r="A176" s="413"/>
      <c r="B176" s="949" t="s">
        <v>136</v>
      </c>
      <c r="C176" s="302"/>
      <c r="D176" s="1639" t="s">
        <v>1741</v>
      </c>
      <c r="E176" s="1639"/>
      <c r="F176" s="1639"/>
      <c r="G176" s="288"/>
    </row>
    <row r="177" spans="1:7" ht="13">
      <c r="A177" s="413"/>
      <c r="B177" s="417"/>
      <c r="C177" s="302"/>
      <c r="D177" s="1292"/>
      <c r="E177" s="1292"/>
      <c r="F177" s="1292"/>
      <c r="G177" s="288"/>
    </row>
    <row r="178" spans="1:7" ht="13">
      <c r="A178" s="413"/>
      <c r="B178" s="1294" t="s">
        <v>136</v>
      </c>
      <c r="C178" s="302"/>
      <c r="D178" s="1660" t="s">
        <v>2043</v>
      </c>
      <c r="E178" s="1660"/>
      <c r="F178" s="1660"/>
      <c r="G178" s="288"/>
    </row>
    <row r="179" spans="1:7" ht="13.75" customHeight="1">
      <c r="A179" s="413"/>
      <c r="B179" s="417"/>
      <c r="C179" s="302"/>
      <c r="D179" s="1296" t="s">
        <v>1003</v>
      </c>
      <c r="E179" s="1559" t="s">
        <v>2045</v>
      </c>
      <c r="F179" s="1559"/>
      <c r="G179" s="288"/>
    </row>
    <row r="180" spans="1:7" ht="13">
      <c r="A180" s="413"/>
      <c r="B180" s="417"/>
      <c r="C180" s="302"/>
      <c r="D180" s="1295"/>
      <c r="E180" s="1559"/>
      <c r="F180" s="1559"/>
      <c r="G180" s="288"/>
    </row>
    <row r="181" spans="1:7" ht="13">
      <c r="A181" s="413"/>
      <c r="B181" s="417"/>
      <c r="C181" s="302"/>
      <c r="D181" s="1295"/>
      <c r="E181" s="1559"/>
      <c r="F181" s="1559"/>
      <c r="G181" s="288"/>
    </row>
    <row r="182" spans="1:7" ht="13">
      <c r="A182" s="413"/>
      <c r="B182" s="417"/>
      <c r="C182" s="302"/>
      <c r="D182" s="2"/>
      <c r="E182" s="1559"/>
      <c r="F182" s="1559"/>
      <c r="G182" s="288"/>
    </row>
    <row r="183" spans="1:7" ht="13.75" customHeight="1">
      <c r="A183" s="413"/>
      <c r="B183" s="417"/>
      <c r="C183" s="302"/>
      <c r="D183" s="1295" t="s">
        <v>1004</v>
      </c>
      <c r="E183" s="1582" t="s">
        <v>2044</v>
      </c>
      <c r="F183" s="1582"/>
      <c r="G183" s="288"/>
    </row>
    <row r="184" spans="1:7" ht="13.75" customHeight="1">
      <c r="A184" s="413"/>
      <c r="B184" s="417"/>
      <c r="C184" s="302"/>
      <c r="D184" s="1295"/>
      <c r="E184" s="1582"/>
      <c r="F184" s="1582"/>
      <c r="G184" s="288"/>
    </row>
    <row r="185" spans="1:7" ht="13.75" customHeight="1">
      <c r="A185" s="413"/>
      <c r="B185" s="417"/>
      <c r="C185" s="302"/>
      <c r="D185" s="1295"/>
      <c r="E185" s="1582"/>
      <c r="F185" s="1582"/>
      <c r="G185" s="288"/>
    </row>
    <row r="186" spans="1:7" ht="13.75" customHeight="1">
      <c r="A186" s="413"/>
      <c r="B186" s="417"/>
      <c r="C186" s="302"/>
      <c r="D186" s="1295"/>
      <c r="E186" s="1582"/>
      <c r="F186" s="1582"/>
      <c r="G186" s="288"/>
    </row>
    <row r="187" spans="1:7" ht="13.75" customHeight="1">
      <c r="A187" s="413"/>
      <c r="B187" s="417"/>
      <c r="C187" s="302"/>
      <c r="D187" s="1295"/>
      <c r="E187" s="1582"/>
      <c r="F187" s="1582"/>
      <c r="G187" s="288"/>
    </row>
    <row r="188" spans="1:7" ht="13">
      <c r="A188" s="413"/>
      <c r="B188" s="417"/>
      <c r="C188" s="302"/>
      <c r="D188" s="2"/>
      <c r="E188" s="1582"/>
      <c r="F188" s="1582"/>
      <c r="G188" s="288"/>
    </row>
    <row r="189" spans="1:7" ht="13">
      <c r="A189" s="413"/>
      <c r="B189" s="417"/>
      <c r="C189" s="302"/>
      <c r="D189" s="2"/>
      <c r="E189" s="1582"/>
      <c r="F189" s="1582"/>
      <c r="G189" s="288"/>
    </row>
    <row r="190" spans="1:7" ht="12.5">
      <c r="A190" s="417"/>
      <c r="B190" s="417"/>
      <c r="C190" s="302"/>
      <c r="D190" s="282"/>
      <c r="E190" s="283"/>
      <c r="F190" s="283"/>
      <c r="G190" s="288"/>
    </row>
    <row r="191" spans="1:7" ht="13">
      <c r="A191" s="413"/>
      <c r="B191" s="949" t="s">
        <v>136</v>
      </c>
      <c r="C191" s="302"/>
      <c r="D191" s="1566" t="s">
        <v>1742</v>
      </c>
      <c r="E191" s="1566"/>
      <c r="F191" s="1566"/>
      <c r="G191" s="288"/>
    </row>
    <row r="192" spans="1:7" ht="13">
      <c r="A192" s="413"/>
      <c r="B192" s="413"/>
      <c r="C192" s="302"/>
      <c r="D192" s="1566"/>
      <c r="E192" s="1566"/>
      <c r="F192" s="1566"/>
      <c r="G192" s="288"/>
    </row>
    <row r="193" spans="1:7" ht="13">
      <c r="A193" s="413"/>
      <c r="B193" s="413"/>
      <c r="C193" s="302"/>
      <c r="D193" s="1566"/>
      <c r="E193" s="1566"/>
      <c r="F193" s="1566"/>
      <c r="G193" s="288"/>
    </row>
    <row r="194" spans="1:7" ht="13">
      <c r="A194" s="413"/>
      <c r="B194" s="413"/>
      <c r="C194" s="302"/>
      <c r="D194" s="1566"/>
      <c r="E194" s="1566"/>
      <c r="F194" s="1566"/>
      <c r="G194" s="288"/>
    </row>
    <row r="195" spans="1:7" ht="12.5">
      <c r="A195" s="417"/>
      <c r="B195" s="417"/>
      <c r="C195" s="302"/>
      <c r="D195" s="1659" t="s">
        <v>2042</v>
      </c>
      <c r="E195" s="1659"/>
      <c r="F195" s="1659"/>
      <c r="G195" s="288"/>
    </row>
    <row r="196" spans="1:7" ht="12.5">
      <c r="A196" s="417"/>
      <c r="B196" s="417"/>
      <c r="C196" s="302"/>
      <c r="D196" s="986"/>
      <c r="E196" s="986"/>
      <c r="F196" s="986"/>
      <c r="G196" s="288"/>
    </row>
    <row r="197" spans="1:7" ht="13">
      <c r="A197" s="413"/>
      <c r="B197" s="949" t="s">
        <v>136</v>
      </c>
      <c r="C197" s="302"/>
      <c r="D197" s="1658" t="s">
        <v>1743</v>
      </c>
      <c r="E197" s="1658"/>
      <c r="F197" s="1658"/>
      <c r="G197" s="288"/>
    </row>
    <row r="198" spans="1:7" ht="12.5">
      <c r="A198" s="417"/>
      <c r="B198" s="417"/>
      <c r="C198" s="302"/>
      <c r="D198" s="283"/>
      <c r="E198" s="283"/>
      <c r="F198" s="283"/>
      <c r="G198" s="288"/>
    </row>
    <row r="199" spans="1:7" ht="13">
      <c r="A199" s="1599" t="s">
        <v>1540</v>
      </c>
      <c r="B199" s="1599"/>
      <c r="C199" s="1599"/>
      <c r="D199" s="1599"/>
      <c r="E199" s="1599"/>
      <c r="F199" s="1599"/>
      <c r="G199" s="1599"/>
    </row>
    <row r="200" spans="1:7" ht="12.5">
      <c r="A200" s="417"/>
      <c r="B200" s="417"/>
      <c r="C200" s="302"/>
      <c r="D200" s="282"/>
      <c r="E200" s="283"/>
      <c r="F200" s="283"/>
      <c r="G200" s="288"/>
    </row>
    <row r="201" spans="1:7" ht="13">
      <c r="A201" s="140"/>
      <c r="B201" s="140"/>
      <c r="C201" s="926"/>
      <c r="D201" s="1605" t="s">
        <v>1539</v>
      </c>
      <c r="E201" s="1605"/>
      <c r="F201" s="1605"/>
      <c r="G201" s="288"/>
    </row>
    <row r="202" spans="1:7" ht="13">
      <c r="A202" s="927"/>
      <c r="B202" s="927"/>
      <c r="C202" s="926"/>
      <c r="D202" s="1605" t="s">
        <v>762</v>
      </c>
      <c r="E202" s="1605"/>
      <c r="F202" s="1605"/>
      <c r="G202" s="288"/>
    </row>
    <row r="203" spans="1:7" ht="13">
      <c r="A203" s="414"/>
      <c r="B203" s="414"/>
      <c r="C203" s="298"/>
      <c r="D203" s="1639" t="s">
        <v>1574</v>
      </c>
      <c r="E203" s="1639"/>
      <c r="F203" s="1639"/>
      <c r="G203" s="288"/>
    </row>
    <row r="204" spans="1:7" ht="13">
      <c r="A204" s="414"/>
      <c r="B204" s="414"/>
      <c r="C204" s="298"/>
      <c r="D204" s="283"/>
      <c r="E204" s="283"/>
      <c r="F204" s="283"/>
      <c r="G204" s="288"/>
    </row>
    <row r="205" spans="1:7" ht="13">
      <c r="A205" s="414"/>
      <c r="B205" s="414"/>
      <c r="C205" s="298"/>
      <c r="D205" s="1614" t="s">
        <v>1584</v>
      </c>
      <c r="E205" s="1614"/>
      <c r="F205" s="1614"/>
      <c r="G205" s="288"/>
    </row>
    <row r="206" spans="1:7" ht="13">
      <c r="A206" s="414"/>
      <c r="B206" s="414"/>
      <c r="C206" s="298"/>
      <c r="D206" s="1614"/>
      <c r="E206" s="1614"/>
      <c r="F206" s="1614"/>
      <c r="G206" s="288"/>
    </row>
    <row r="207" spans="1:7" ht="13">
      <c r="A207" s="414"/>
      <c r="B207" s="414"/>
      <c r="C207" s="298"/>
      <c r="D207" s="1614"/>
      <c r="E207" s="1614"/>
      <c r="F207" s="1614"/>
      <c r="G207" s="288"/>
    </row>
    <row r="208" spans="1:7" ht="13">
      <c r="A208" s="414"/>
      <c r="B208" s="414"/>
      <c r="C208" s="298"/>
      <c r="D208" s="1614"/>
      <c r="E208" s="1614"/>
      <c r="F208" s="1614"/>
      <c r="G208" s="288"/>
    </row>
    <row r="209" spans="1:7" ht="13">
      <c r="A209" s="414"/>
      <c r="B209" s="414"/>
      <c r="C209" s="298"/>
      <c r="D209" s="288"/>
      <c r="E209" s="283"/>
      <c r="F209" s="283"/>
      <c r="G209" s="288"/>
    </row>
    <row r="210" spans="1:7" ht="13">
      <c r="A210" s="414"/>
      <c r="B210" s="414"/>
      <c r="C210" s="298"/>
      <c r="D210" s="1613" t="s">
        <v>2047</v>
      </c>
      <c r="E210" s="1614"/>
      <c r="F210" s="1614"/>
      <c r="G210" s="288"/>
    </row>
    <row r="211" spans="1:7" ht="13">
      <c r="A211" s="414"/>
      <c r="B211" s="414"/>
      <c r="C211" s="298"/>
      <c r="D211" s="1614"/>
      <c r="E211" s="1614"/>
      <c r="F211" s="1614"/>
      <c r="G211" s="288"/>
    </row>
    <row r="212" spans="1:7" ht="13">
      <c r="A212" s="414"/>
      <c r="B212" s="414"/>
      <c r="C212" s="298"/>
      <c r="D212" s="1614"/>
      <c r="E212" s="1614"/>
      <c r="F212" s="1614"/>
      <c r="G212" s="288"/>
    </row>
    <row r="213" spans="1:7" ht="13">
      <c r="A213" s="414"/>
      <c r="B213" s="414"/>
      <c r="C213" s="298"/>
      <c r="D213" s="1614"/>
      <c r="E213" s="1614"/>
      <c r="F213" s="1614"/>
      <c r="G213" s="288"/>
    </row>
    <row r="214" spans="1:7" ht="13">
      <c r="A214" s="414"/>
      <c r="B214" s="414"/>
      <c r="C214" s="298"/>
      <c r="D214" s="1614"/>
      <c r="E214" s="1614"/>
      <c r="F214" s="1614"/>
      <c r="G214" s="288"/>
    </row>
    <row r="215" spans="1:7" ht="13">
      <c r="A215" s="414"/>
      <c r="B215" s="414"/>
      <c r="C215" s="298"/>
      <c r="D215" s="1614"/>
      <c r="E215" s="1614"/>
      <c r="F215" s="1614"/>
      <c r="G215" s="288"/>
    </row>
    <row r="216" spans="1:7" ht="13">
      <c r="A216" s="415"/>
      <c r="B216" s="415"/>
      <c r="C216" s="299"/>
      <c r="D216" s="282"/>
      <c r="E216" s="283"/>
      <c r="F216" s="283"/>
      <c r="G216" s="288"/>
    </row>
    <row r="217" spans="1:7" ht="14.5" customHeight="1">
      <c r="A217" s="413"/>
      <c r="B217" s="949" t="s">
        <v>136</v>
      </c>
      <c r="C217" s="299"/>
      <c r="D217" s="1585" t="s">
        <v>322</v>
      </c>
      <c r="E217" s="1585"/>
      <c r="F217" s="1585"/>
      <c r="G217" s="288"/>
    </row>
    <row r="218" spans="1:7" ht="13">
      <c r="A218" s="413"/>
      <c r="B218" s="14"/>
      <c r="C218" s="299"/>
      <c r="D218" s="1592" t="s">
        <v>1229</v>
      </c>
      <c r="E218" s="1592"/>
      <c r="F218" s="1592"/>
      <c r="G218" s="288"/>
    </row>
    <row r="219" spans="1:7" ht="13">
      <c r="A219" s="413"/>
      <c r="B219" s="413"/>
      <c r="C219" s="299"/>
      <c r="D219" s="955" t="s">
        <v>1592</v>
      </c>
      <c r="E219" s="1615" t="s">
        <v>1591</v>
      </c>
      <c r="F219" s="1615"/>
      <c r="G219" s="288"/>
    </row>
    <row r="220" spans="1:7" ht="12.5">
      <c r="A220" s="417"/>
      <c r="B220" s="417"/>
      <c r="C220" s="302"/>
      <c r="D220" s="1591" t="s">
        <v>1567</v>
      </c>
      <c r="E220" s="1592"/>
      <c r="F220" s="1592"/>
      <c r="G220" s="288"/>
    </row>
    <row r="221" spans="1:7" ht="12.5">
      <c r="A221" s="417"/>
      <c r="B221" s="417"/>
      <c r="C221" s="302"/>
      <c r="D221" s="283"/>
      <c r="E221" s="283"/>
      <c r="F221" s="283"/>
      <c r="G221" s="288"/>
    </row>
    <row r="222" spans="1:7" ht="13">
      <c r="A222" s="413"/>
      <c r="B222" s="949" t="s">
        <v>1530</v>
      </c>
      <c r="C222" s="302"/>
      <c r="D222" s="1592" t="s">
        <v>323</v>
      </c>
      <c r="E222" s="1592"/>
      <c r="F222" s="1592"/>
      <c r="G222" s="288"/>
    </row>
    <row r="223" spans="1:7" ht="13">
      <c r="A223" s="413"/>
      <c r="B223" s="14"/>
      <c r="C223" s="302"/>
      <c r="D223" s="1585" t="s">
        <v>1229</v>
      </c>
      <c r="E223" s="1585"/>
      <c r="F223" s="1585"/>
      <c r="G223" s="288"/>
    </row>
    <row r="224" spans="1:7" ht="13">
      <c r="A224" s="413"/>
      <c r="B224" s="413"/>
      <c r="C224" s="302"/>
      <c r="D224" s="300" t="s">
        <v>1593</v>
      </c>
      <c r="E224" s="1600" t="s">
        <v>1594</v>
      </c>
      <c r="F224" s="1600"/>
      <c r="G224" s="288"/>
    </row>
    <row r="225" spans="1:7" ht="12.5">
      <c r="A225" s="417"/>
      <c r="B225" s="417"/>
      <c r="C225" s="302"/>
      <c r="D225" s="1592" t="s">
        <v>1568</v>
      </c>
      <c r="E225" s="1592"/>
      <c r="F225" s="1592"/>
      <c r="G225" s="288"/>
    </row>
    <row r="226" spans="1:7" ht="12.5">
      <c r="A226" s="417"/>
      <c r="B226" s="417"/>
      <c r="C226" s="302"/>
      <c r="D226" s="283"/>
      <c r="E226" s="283"/>
      <c r="F226" s="283"/>
      <c r="G226" s="288"/>
    </row>
    <row r="227" spans="1:7" ht="13">
      <c r="A227" s="413"/>
      <c r="B227" s="949" t="s">
        <v>136</v>
      </c>
      <c r="C227" s="302"/>
      <c r="D227" s="1592" t="s">
        <v>706</v>
      </c>
      <c r="E227" s="1592"/>
      <c r="F227" s="1592"/>
      <c r="G227" s="288"/>
    </row>
    <row r="228" spans="1:7" ht="13">
      <c r="A228" s="413"/>
      <c r="B228" s="14"/>
      <c r="C228" s="302"/>
      <c r="D228" s="287" t="s">
        <v>1229</v>
      </c>
      <c r="E228" s="283"/>
      <c r="F228" s="283"/>
      <c r="G228" s="288"/>
    </row>
    <row r="229" spans="1:7" ht="13">
      <c r="A229" s="413"/>
      <c r="B229" s="413"/>
      <c r="C229" s="302"/>
      <c r="D229" s="300" t="s">
        <v>1592</v>
      </c>
      <c r="E229" s="1600" t="s">
        <v>1595</v>
      </c>
      <c r="F229" s="1600"/>
      <c r="G229" s="288"/>
    </row>
    <row r="230" spans="1:7" ht="13">
      <c r="A230" s="413"/>
      <c r="B230" s="413"/>
      <c r="C230" s="302"/>
      <c r="D230" s="1583" t="s">
        <v>1597</v>
      </c>
      <c r="E230" s="1583"/>
      <c r="F230" s="1583"/>
      <c r="G230" s="288"/>
    </row>
    <row r="231" spans="1:7" ht="12.5">
      <c r="A231" s="417"/>
      <c r="B231" s="417"/>
      <c r="C231" s="302"/>
      <c r="D231" s="1583"/>
      <c r="E231" s="1583"/>
      <c r="F231" s="1583"/>
      <c r="G231" s="288"/>
    </row>
    <row r="232" spans="1:7" ht="12.5">
      <c r="A232" s="417"/>
      <c r="B232" s="417"/>
      <c r="C232" s="302"/>
      <c r="D232" s="1583"/>
      <c r="E232" s="1583"/>
      <c r="F232" s="1583"/>
      <c r="G232" s="288"/>
    </row>
    <row r="233" spans="1:7" ht="12.5">
      <c r="A233" s="417"/>
      <c r="B233" s="417"/>
      <c r="C233" s="302"/>
      <c r="D233" s="1583"/>
      <c r="E233" s="1583"/>
      <c r="F233" s="1583"/>
      <c r="G233" s="288"/>
    </row>
    <row r="234" spans="1:7" ht="12.5">
      <c r="A234" s="417"/>
      <c r="B234" s="417"/>
      <c r="C234" s="302"/>
      <c r="D234" s="1583"/>
      <c r="E234" s="1583"/>
      <c r="F234" s="1583"/>
      <c r="G234" s="288"/>
    </row>
    <row r="235" spans="1:7" ht="12.5">
      <c r="A235" s="417"/>
      <c r="B235" s="417"/>
      <c r="C235" s="302"/>
      <c r="D235" s="1583" t="s">
        <v>1569</v>
      </c>
      <c r="E235" s="1583"/>
      <c r="F235" s="1583"/>
      <c r="G235" s="288"/>
    </row>
    <row r="236" spans="1:7" ht="12.5">
      <c r="A236" s="417"/>
      <c r="B236" s="417"/>
      <c r="C236" s="302"/>
      <c r="D236" s="287"/>
      <c r="E236" s="283"/>
      <c r="F236" s="283"/>
      <c r="G236" s="288"/>
    </row>
    <row r="237" spans="1:7" ht="13">
      <c r="A237" s="413"/>
      <c r="B237" s="949" t="s">
        <v>136</v>
      </c>
      <c r="C237" s="302"/>
      <c r="D237" s="1592" t="s">
        <v>707</v>
      </c>
      <c r="E237" s="1592"/>
      <c r="F237" s="1592"/>
      <c r="G237" s="288"/>
    </row>
    <row r="238" spans="1:7" ht="13">
      <c r="A238" s="413"/>
      <c r="B238" s="14"/>
      <c r="C238" s="302"/>
      <c r="D238" s="1592" t="s">
        <v>1229</v>
      </c>
      <c r="E238" s="1592"/>
      <c r="F238" s="1592"/>
      <c r="G238" s="288"/>
    </row>
    <row r="239" spans="1:7" ht="13">
      <c r="A239" s="413"/>
      <c r="B239" s="413"/>
      <c r="C239" s="302"/>
      <c r="D239" s="300" t="s">
        <v>1592</v>
      </c>
      <c r="E239" s="1600" t="s">
        <v>1598</v>
      </c>
      <c r="F239" s="1600"/>
      <c r="G239" s="288"/>
    </row>
    <row r="240" spans="1:7" ht="12.5">
      <c r="A240" s="417"/>
      <c r="B240" s="417"/>
      <c r="C240" s="302"/>
      <c r="D240" s="1591" t="s">
        <v>2204</v>
      </c>
      <c r="E240" s="1592"/>
      <c r="F240" s="1592"/>
      <c r="G240" s="288"/>
    </row>
    <row r="241" spans="1:7" ht="12.5">
      <c r="A241" s="417"/>
      <c r="B241" s="417"/>
      <c r="C241" s="302"/>
      <c r="D241" s="1377"/>
      <c r="E241" s="1377"/>
      <c r="F241" s="1377"/>
      <c r="G241" s="288"/>
    </row>
    <row r="242" spans="1:7" ht="13">
      <c r="A242" s="413"/>
      <c r="B242" s="1379" t="s">
        <v>136</v>
      </c>
      <c r="C242" s="302"/>
      <c r="D242" s="1591" t="s">
        <v>2203</v>
      </c>
      <c r="E242" s="1592"/>
      <c r="F242" s="1592"/>
      <c r="G242" s="288"/>
    </row>
    <row r="243" spans="1:7" ht="13">
      <c r="A243" s="413"/>
      <c r="B243" s="14"/>
      <c r="C243" s="302"/>
      <c r="D243" s="1592" t="s">
        <v>1229</v>
      </c>
      <c r="E243" s="1592"/>
      <c r="F243" s="1592"/>
      <c r="G243" s="288"/>
    </row>
    <row r="244" spans="1:7" ht="13">
      <c r="A244" s="413"/>
      <c r="B244" s="413"/>
      <c r="C244" s="302"/>
      <c r="D244" s="1378" t="s">
        <v>1592</v>
      </c>
      <c r="E244" s="1600" t="s">
        <v>2205</v>
      </c>
      <c r="F244" s="1600"/>
      <c r="G244" s="288"/>
    </row>
    <row r="245" spans="1:7" ht="12.5">
      <c r="A245" s="417"/>
      <c r="B245" s="417"/>
      <c r="C245" s="302"/>
      <c r="D245" s="1591" t="s">
        <v>2206</v>
      </c>
      <c r="E245" s="1592"/>
      <c r="F245" s="1592"/>
      <c r="G245" s="288"/>
    </row>
    <row r="246" spans="1:7" ht="12.5">
      <c r="A246" s="417"/>
      <c r="B246" s="417"/>
      <c r="C246" s="302"/>
      <c r="D246" s="403"/>
      <c r="E246" s="288"/>
      <c r="F246" s="288"/>
      <c r="G246" s="288"/>
    </row>
    <row r="247" spans="1:7" ht="13">
      <c r="A247" s="413"/>
      <c r="B247" s="949" t="s">
        <v>136</v>
      </c>
      <c r="D247" s="959" t="s">
        <v>1623</v>
      </c>
      <c r="E247" s="959"/>
      <c r="F247" s="959"/>
    </row>
    <row r="248" spans="1:7" ht="13">
      <c r="A248" s="413"/>
      <c r="B248" s="2"/>
      <c r="D248" s="1582" t="s">
        <v>1979</v>
      </c>
      <c r="E248" s="1583"/>
      <c r="F248" s="1583"/>
    </row>
    <row r="249" spans="1:7" ht="13">
      <c r="A249" s="413"/>
      <c r="B249" s="417"/>
      <c r="D249" s="1583"/>
      <c r="E249" s="1583"/>
      <c r="F249" s="1583"/>
    </row>
    <row r="250" spans="1:7" ht="13">
      <c r="A250" s="413"/>
      <c r="B250" s="417"/>
      <c r="D250" s="1583"/>
      <c r="E250" s="1583"/>
      <c r="F250" s="1583"/>
    </row>
    <row r="251" spans="1:7" ht="13">
      <c r="A251" s="413"/>
      <c r="B251" s="417"/>
      <c r="D251" s="958"/>
      <c r="E251" s="958"/>
      <c r="F251" s="958"/>
    </row>
    <row r="252" spans="1:7" ht="13">
      <c r="A252" s="413"/>
      <c r="B252" s="949" t="s">
        <v>136</v>
      </c>
      <c r="D252" s="1640" t="s">
        <v>1133</v>
      </c>
      <c r="E252" s="1640"/>
      <c r="F252" s="1640"/>
    </row>
    <row r="253" spans="1:7" ht="13">
      <c r="A253" s="413"/>
      <c r="B253" s="417"/>
      <c r="D253" s="959"/>
      <c r="E253" s="959"/>
      <c r="F253" s="959"/>
    </row>
    <row r="254" spans="1:7" ht="13">
      <c r="A254" s="1599" t="s">
        <v>1542</v>
      </c>
      <c r="B254" s="1599"/>
      <c r="C254" s="1599"/>
      <c r="D254" s="1599"/>
      <c r="E254" s="1599"/>
      <c r="F254" s="1599"/>
      <c r="G254" s="1599"/>
    </row>
    <row r="255" spans="1:7" ht="12.5">
      <c r="A255" s="140"/>
      <c r="B255" s="140"/>
      <c r="C255" s="14"/>
      <c r="D255" s="287"/>
      <c r="E255" s="282"/>
      <c r="F255" s="282"/>
    </row>
    <row r="256" spans="1:7" ht="13">
      <c r="A256" s="140"/>
      <c r="B256" s="140"/>
      <c r="C256" s="925"/>
      <c r="D256" s="1590" t="s">
        <v>1541</v>
      </c>
      <c r="E256" s="1590"/>
      <c r="F256" s="1590"/>
    </row>
    <row r="257" spans="1:7" ht="13">
      <c r="A257" s="414"/>
      <c r="B257" s="414"/>
      <c r="C257" s="298"/>
      <c r="D257" s="1585" t="s">
        <v>1575</v>
      </c>
      <c r="E257" s="1585"/>
      <c r="F257" s="1585"/>
    </row>
    <row r="258" spans="1:7" ht="13">
      <c r="A258" s="33"/>
      <c r="B258" s="33"/>
      <c r="C258" s="320"/>
      <c r="D258" s="6"/>
      <c r="E258" s="282"/>
      <c r="F258" s="282"/>
    </row>
    <row r="259" spans="1:7" ht="13">
      <c r="A259" s="33"/>
      <c r="B259" s="14"/>
      <c r="C259" s="320"/>
      <c r="D259" s="1590" t="s">
        <v>232</v>
      </c>
      <c r="E259" s="1590"/>
      <c r="F259" s="1590"/>
      <c r="G259" s="2"/>
    </row>
    <row r="260" spans="1:7" ht="14.5" customHeight="1">
      <c r="A260" s="413"/>
      <c r="B260" s="1395" t="s">
        <v>1530</v>
      </c>
      <c r="C260" s="1485"/>
      <c r="D260" s="1607" t="s">
        <v>2304</v>
      </c>
      <c r="E260" s="1607"/>
      <c r="F260" s="1607"/>
      <c r="G260" s="2"/>
    </row>
    <row r="261" spans="1:7" ht="13">
      <c r="A261" s="413"/>
      <c r="B261" s="1486"/>
      <c r="C261" s="1485"/>
      <c r="D261" s="1607"/>
      <c r="E261" s="1607"/>
      <c r="F261" s="1607"/>
      <c r="G261" s="2"/>
    </row>
    <row r="262" spans="1:7" ht="13">
      <c r="A262" s="413"/>
      <c r="B262" s="1486"/>
      <c r="C262" s="1485"/>
      <c r="D262" s="1607"/>
      <c r="E262" s="1607"/>
      <c r="F262" s="1607"/>
      <c r="G262" s="2"/>
    </row>
    <row r="263" spans="1:7" ht="14.5" customHeight="1">
      <c r="A263" s="413"/>
      <c r="B263" s="1486"/>
      <c r="C263" s="1485"/>
      <c r="D263" s="1607"/>
      <c r="E263" s="1607"/>
      <c r="F263" s="1607"/>
      <c r="G263" s="2"/>
    </row>
    <row r="264" spans="1:7" ht="13">
      <c r="A264" s="413"/>
      <c r="B264" s="1486"/>
      <c r="C264" s="1485"/>
      <c r="D264" s="1487"/>
      <c r="E264" s="1487"/>
      <c r="F264" s="1487"/>
      <c r="G264" s="2"/>
    </row>
    <row r="265" spans="1:7" ht="13">
      <c r="A265" s="413"/>
      <c r="B265" s="1395" t="s">
        <v>1530</v>
      </c>
      <c r="C265" s="1485"/>
      <c r="D265" s="1607" t="s">
        <v>2305</v>
      </c>
      <c r="E265" s="1607"/>
      <c r="F265" s="1607"/>
      <c r="G265" s="2"/>
    </row>
    <row r="266" spans="1:7" ht="13">
      <c r="A266" s="413"/>
      <c r="B266" s="1486"/>
      <c r="C266" s="1485"/>
      <c r="D266" s="1607"/>
      <c r="E266" s="1607"/>
      <c r="F266" s="1607"/>
      <c r="G266" s="2"/>
    </row>
    <row r="267" spans="1:7" ht="13">
      <c r="A267" s="413"/>
      <c r="B267" s="1486"/>
      <c r="C267" s="1485"/>
      <c r="D267" s="1607"/>
      <c r="E267" s="1607"/>
      <c r="F267" s="1607"/>
      <c r="G267" s="2"/>
    </row>
    <row r="268" spans="1:7" ht="13">
      <c r="A268" s="413"/>
      <c r="B268" s="1486"/>
      <c r="C268" s="1485"/>
      <c r="D268" s="1607"/>
      <c r="E268" s="1607"/>
      <c r="F268" s="1607"/>
      <c r="G268" s="2"/>
    </row>
    <row r="269" spans="1:7" ht="13">
      <c r="A269" s="413"/>
      <c r="B269" s="1486"/>
      <c r="C269" s="1485"/>
      <c r="D269" s="1607"/>
      <c r="E269" s="1607"/>
      <c r="F269" s="1607"/>
      <c r="G269" s="2"/>
    </row>
    <row r="270" spans="1:7" ht="13">
      <c r="A270" s="413"/>
      <c r="B270" s="1486"/>
      <c r="C270" s="1485"/>
      <c r="D270" s="1487"/>
      <c r="E270" s="1487"/>
      <c r="F270" s="1487"/>
      <c r="G270" s="2"/>
    </row>
    <row r="271" spans="1:7" ht="13">
      <c r="A271" s="413"/>
      <c r="B271" s="1486"/>
      <c r="C271" s="1485"/>
      <c r="D271" s="1607" t="s">
        <v>1754</v>
      </c>
      <c r="E271" s="1607"/>
      <c r="F271" s="1607"/>
      <c r="G271" s="2"/>
    </row>
    <row r="272" spans="1:7" ht="13">
      <c r="A272" s="413"/>
      <c r="B272" s="1486"/>
      <c r="C272" s="1485"/>
      <c r="D272" s="1607"/>
      <c r="E272" s="1607"/>
      <c r="F272" s="1607"/>
      <c r="G272" s="2"/>
    </row>
    <row r="273" spans="1:7" ht="13">
      <c r="A273" s="413"/>
      <c r="B273" s="1486"/>
      <c r="C273" s="1485"/>
      <c r="D273" s="1607"/>
      <c r="E273" s="1607"/>
      <c r="F273" s="1607"/>
      <c r="G273" s="2"/>
    </row>
    <row r="274" spans="1:7" ht="13">
      <c r="A274" s="413"/>
      <c r="B274" s="1486"/>
      <c r="C274" s="1485"/>
      <c r="D274" s="1607"/>
      <c r="E274" s="1607"/>
      <c r="F274" s="1607"/>
      <c r="G274" s="2"/>
    </row>
    <row r="275" spans="1:7" ht="13">
      <c r="A275" s="413"/>
      <c r="B275" s="1486"/>
      <c r="C275" s="1485"/>
      <c r="D275" s="1607"/>
      <c r="E275" s="1607"/>
      <c r="F275" s="1607"/>
      <c r="G275" s="2"/>
    </row>
    <row r="276" spans="1:7" ht="13">
      <c r="A276" s="413"/>
      <c r="B276" s="413"/>
      <c r="C276" s="14"/>
      <c r="D276" s="979"/>
      <c r="E276" s="979"/>
      <c r="F276" s="979"/>
      <c r="G276" s="2"/>
    </row>
    <row r="277" spans="1:7" s="769" customFormat="1" ht="14.5" customHeight="1">
      <c r="A277" s="1365"/>
      <c r="B277" s="1364" t="s">
        <v>136</v>
      </c>
      <c r="C277" s="1366"/>
      <c r="D277" s="1601" t="s">
        <v>2196</v>
      </c>
      <c r="E277" s="1601"/>
      <c r="F277" s="1601"/>
      <c r="G277" s="1367"/>
    </row>
    <row r="278" spans="1:7" s="769" customFormat="1" ht="13">
      <c r="A278" s="1365"/>
      <c r="B278" s="1366"/>
      <c r="C278" s="1366"/>
      <c r="D278" s="1601"/>
      <c r="E278" s="1601"/>
      <c r="F278" s="1601"/>
      <c r="G278" s="1367"/>
    </row>
    <row r="279" spans="1:7" s="769" customFormat="1" ht="13">
      <c r="A279" s="1365"/>
      <c r="B279" s="1366"/>
      <c r="C279" s="1366"/>
      <c r="D279" s="1601"/>
      <c r="E279" s="1601"/>
      <c r="F279" s="1601"/>
      <c r="G279" s="1367"/>
    </row>
    <row r="280" spans="1:7" s="769" customFormat="1" ht="13">
      <c r="A280" s="1366"/>
      <c r="B280" s="1366"/>
      <c r="C280" s="1366"/>
      <c r="D280" s="1602" t="s">
        <v>2197</v>
      </c>
      <c r="E280" s="1602"/>
      <c r="F280" s="1602"/>
      <c r="G280" s="1367"/>
    </row>
    <row r="281" spans="1:7" ht="13">
      <c r="A281" s="413"/>
      <c r="B281" s="413"/>
      <c r="C281" s="14"/>
      <c r="D281" s="287"/>
      <c r="E281" s="2"/>
      <c r="F281" s="2"/>
      <c r="G281" s="2"/>
    </row>
    <row r="282" spans="1:7" ht="13">
      <c r="A282" s="413"/>
      <c r="B282" s="949" t="s">
        <v>1530</v>
      </c>
      <c r="C282" s="14"/>
      <c r="D282" s="1585" t="s">
        <v>1230</v>
      </c>
      <c r="E282" s="1585"/>
      <c r="F282" s="1585"/>
      <c r="G282" s="2"/>
    </row>
    <row r="283" spans="1:7" ht="13">
      <c r="A283" s="413"/>
      <c r="B283" s="413"/>
      <c r="C283" s="14"/>
      <c r="D283" s="1585" t="s">
        <v>1755</v>
      </c>
      <c r="E283" s="1585"/>
      <c r="F283" s="1585"/>
      <c r="G283" s="2"/>
    </row>
    <row r="284" spans="1:7" ht="13">
      <c r="A284" s="413"/>
      <c r="B284" s="413"/>
      <c r="C284" s="14"/>
      <c r="D284" s="988" t="s">
        <v>1158</v>
      </c>
      <c r="E284" s="988"/>
      <c r="F284" s="988"/>
    </row>
    <row r="285" spans="1:7" ht="12.5">
      <c r="A285" s="140"/>
      <c r="B285" s="140"/>
      <c r="C285" s="14"/>
      <c r="D285" s="321"/>
      <c r="E285" s="282"/>
      <c r="F285" s="282"/>
    </row>
    <row r="286" spans="1:7" ht="13">
      <c r="A286" s="413"/>
      <c r="B286" s="949" t="s">
        <v>1530</v>
      </c>
      <c r="C286" s="14"/>
      <c r="D286" s="1583" t="s">
        <v>1756</v>
      </c>
      <c r="E286" s="1583"/>
      <c r="F286" s="1583"/>
    </row>
    <row r="287" spans="1:7" ht="13">
      <c r="A287" s="413"/>
      <c r="B287" s="413"/>
      <c r="C287" s="14"/>
      <c r="D287" s="1583"/>
      <c r="E287" s="1583"/>
      <c r="F287" s="1583"/>
    </row>
    <row r="288" spans="1:7" ht="12.5">
      <c r="A288" s="140"/>
      <c r="B288" s="140"/>
      <c r="C288" s="14"/>
      <c r="D288" s="321"/>
      <c r="E288" s="282"/>
      <c r="F288" s="282"/>
    </row>
    <row r="289" spans="1:7" ht="13">
      <c r="A289" s="1599" t="s">
        <v>1544</v>
      </c>
      <c r="B289" s="1599"/>
      <c r="C289" s="1599"/>
      <c r="D289" s="1599"/>
      <c r="E289" s="1599"/>
      <c r="F289" s="1599"/>
      <c r="G289" s="1599"/>
    </row>
    <row r="290" spans="1:7" ht="12.5">
      <c r="A290" s="140"/>
      <c r="B290" s="140"/>
      <c r="C290" s="14"/>
      <c r="D290" s="321"/>
      <c r="E290" s="282"/>
      <c r="F290" s="282"/>
    </row>
    <row r="291" spans="1:7" ht="13">
      <c r="A291" s="140"/>
      <c r="B291" s="140"/>
      <c r="C291" s="925"/>
      <c r="D291" s="1590" t="s">
        <v>1543</v>
      </c>
      <c r="E291" s="1590"/>
      <c r="F291" s="1590"/>
    </row>
    <row r="292" spans="1:7" ht="13">
      <c r="A292" s="414"/>
      <c r="B292" s="414"/>
      <c r="C292" s="298"/>
      <c r="D292" s="287"/>
      <c r="E292" s="282"/>
      <c r="F292" s="282"/>
    </row>
    <row r="293" spans="1:7" ht="13">
      <c r="A293" s="415"/>
      <c r="B293" s="415"/>
      <c r="C293" s="299"/>
      <c r="D293" s="1590" t="s">
        <v>234</v>
      </c>
      <c r="E293" s="1590"/>
      <c r="F293" s="1590"/>
    </row>
    <row r="294" spans="1:7" ht="14.5" customHeight="1">
      <c r="A294" s="413"/>
      <c r="B294" s="949" t="s">
        <v>1530</v>
      </c>
      <c r="C294" s="14"/>
      <c r="D294" s="1582" t="s">
        <v>2144</v>
      </c>
      <c r="E294" s="1583"/>
      <c r="F294" s="1583"/>
    </row>
    <row r="295" spans="1:7" ht="12.5">
      <c r="A295" s="140"/>
      <c r="B295" s="140"/>
      <c r="C295" s="14"/>
      <c r="D295" s="1583"/>
      <c r="E295" s="1583"/>
      <c r="F295" s="1583"/>
    </row>
    <row r="296" spans="1:7" ht="12.5">
      <c r="A296" s="140"/>
      <c r="B296" s="140"/>
      <c r="C296" s="14"/>
      <c r="D296" s="1583"/>
      <c r="E296" s="1583"/>
      <c r="F296" s="1583"/>
    </row>
    <row r="297" spans="1:7" ht="12.5">
      <c r="A297" s="1027"/>
      <c r="B297" s="1027"/>
      <c r="C297" s="14"/>
      <c r="D297" s="1363"/>
      <c r="E297" s="1363"/>
      <c r="F297" s="1363"/>
    </row>
    <row r="298" spans="1:7" s="769" customFormat="1" ht="14.5" customHeight="1">
      <c r="A298" s="1365"/>
      <c r="B298" s="1364" t="s">
        <v>136</v>
      </c>
      <c r="C298" s="1366"/>
      <c r="D298" s="1601" t="s">
        <v>2198</v>
      </c>
      <c r="E298" s="1601"/>
      <c r="F298" s="1601"/>
      <c r="G298" s="1367"/>
    </row>
    <row r="299" spans="1:7" s="769" customFormat="1" ht="12.5">
      <c r="A299" s="1366"/>
      <c r="B299" s="1366"/>
      <c r="C299" s="1366"/>
      <c r="D299" s="1601"/>
      <c r="E299" s="1601"/>
      <c r="F299" s="1601"/>
      <c r="G299" s="1367"/>
    </row>
    <row r="300" spans="1:7" s="769" customFormat="1" ht="12.5">
      <c r="A300" s="1366"/>
      <c r="B300" s="1366"/>
      <c r="C300" s="1366"/>
      <c r="D300" s="1601"/>
      <c r="E300" s="1601"/>
      <c r="F300" s="1601"/>
      <c r="G300" s="1367"/>
    </row>
    <row r="301" spans="1:7" s="769" customFormat="1" ht="13">
      <c r="A301" s="1366"/>
      <c r="B301" s="1366"/>
      <c r="C301" s="1366"/>
      <c r="D301" s="1603" t="s">
        <v>2199</v>
      </c>
      <c r="E301" s="1603"/>
      <c r="F301" s="1603"/>
      <c r="G301" s="1367"/>
    </row>
    <row r="302" spans="1:7" ht="12.5">
      <c r="A302" s="140"/>
      <c r="B302" s="140"/>
      <c r="C302" s="14"/>
      <c r="D302" s="332"/>
      <c r="E302" s="282"/>
      <c r="F302" s="282"/>
    </row>
    <row r="303" spans="1:7" ht="13">
      <c r="A303" s="1599" t="s">
        <v>1545</v>
      </c>
      <c r="B303" s="1599"/>
      <c r="C303" s="1599"/>
      <c r="D303" s="1599"/>
      <c r="E303" s="1599"/>
      <c r="F303" s="1599"/>
      <c r="G303" s="1599"/>
    </row>
    <row r="304" spans="1:7" ht="12.5">
      <c r="A304" s="140"/>
      <c r="B304" s="140"/>
      <c r="C304" s="14"/>
      <c r="D304" s="332"/>
      <c r="E304" s="282"/>
      <c r="F304" s="282"/>
    </row>
    <row r="305" spans="1:7" ht="13">
      <c r="A305" s="140"/>
      <c r="B305" s="140"/>
      <c r="C305" s="298"/>
      <c r="D305" s="1618" t="s">
        <v>1757</v>
      </c>
      <c r="E305" s="1618"/>
      <c r="F305" s="1618"/>
    </row>
    <row r="306" spans="1:7" ht="13">
      <c r="A306" s="140"/>
      <c r="B306" s="140"/>
      <c r="C306" s="298"/>
      <c r="D306" s="1618"/>
      <c r="E306" s="1618"/>
      <c r="F306" s="1618"/>
    </row>
    <row r="307" spans="1:7" ht="13">
      <c r="A307" s="415"/>
      <c r="B307" s="415"/>
      <c r="C307" s="299"/>
      <c r="D307" s="6"/>
      <c r="E307" s="282"/>
      <c r="F307" s="282"/>
    </row>
    <row r="308" spans="1:7" ht="13">
      <c r="A308" s="140"/>
      <c r="B308" s="140"/>
      <c r="C308" s="299"/>
      <c r="D308" s="1590" t="s">
        <v>179</v>
      </c>
      <c r="E308" s="1590"/>
      <c r="F308" s="1590"/>
    </row>
    <row r="309" spans="1:7" ht="13">
      <c r="A309" s="413"/>
      <c r="B309" s="413"/>
      <c r="C309" s="14"/>
      <c r="D309" s="1609" t="s">
        <v>1758</v>
      </c>
      <c r="E309" s="1609"/>
      <c r="F309" s="1609"/>
    </row>
    <row r="310" spans="1:7" ht="12" customHeight="1">
      <c r="A310" s="140"/>
      <c r="B310" s="140"/>
      <c r="C310" s="14"/>
      <c r="D310" s="282"/>
      <c r="E310" s="282"/>
      <c r="F310" s="282"/>
    </row>
    <row r="311" spans="1:7" ht="14.5" customHeight="1">
      <c r="A311" s="413"/>
      <c r="B311" s="949" t="s">
        <v>136</v>
      </c>
      <c r="C311" s="14"/>
      <c r="D311" s="1583" t="s">
        <v>1759</v>
      </c>
      <c r="E311" s="1583"/>
      <c r="F311" s="1583"/>
    </row>
    <row r="312" spans="1:7" ht="13">
      <c r="A312" s="413"/>
      <c r="B312" s="413"/>
      <c r="C312" s="14"/>
      <c r="D312" s="1583"/>
      <c r="E312" s="1583"/>
      <c r="F312" s="1583"/>
    </row>
    <row r="313" spans="1:7" ht="12.5">
      <c r="A313" s="140"/>
      <c r="B313" s="140"/>
      <c r="C313" s="14"/>
      <c r="D313" s="282"/>
      <c r="E313" s="282"/>
      <c r="F313" s="282"/>
    </row>
    <row r="314" spans="1:7" ht="14.5" customHeight="1">
      <c r="A314" s="413"/>
      <c r="B314" s="949" t="s">
        <v>136</v>
      </c>
      <c r="C314" s="14"/>
      <c r="D314" s="1581" t="s">
        <v>1760</v>
      </c>
      <c r="E314" s="1581"/>
      <c r="F314" s="1581"/>
    </row>
    <row r="315" spans="1:7" ht="13">
      <c r="A315" s="413"/>
      <c r="B315" s="413"/>
      <c r="C315" s="14"/>
      <c r="D315" s="1581"/>
      <c r="E315" s="1581"/>
      <c r="F315" s="1581"/>
    </row>
    <row r="316" spans="1:7" ht="13">
      <c r="A316" s="413"/>
      <c r="B316" s="413"/>
      <c r="C316" s="14"/>
      <c r="D316" s="1581"/>
      <c r="E316" s="1581"/>
      <c r="F316" s="1581"/>
    </row>
    <row r="317" spans="1:7" ht="12.5">
      <c r="A317" s="140"/>
      <c r="B317" s="140"/>
      <c r="C317" s="14"/>
      <c r="D317" s="143"/>
      <c r="E317"/>
      <c r="F317"/>
      <c r="G317"/>
    </row>
    <row r="318" spans="1:7" ht="13">
      <c r="A318" s="413"/>
      <c r="B318" s="949" t="s">
        <v>136</v>
      </c>
      <c r="C318" s="14"/>
      <c r="D318" s="1583" t="s">
        <v>1761</v>
      </c>
      <c r="E318" s="1583"/>
      <c r="F318" s="1583"/>
    </row>
    <row r="319" spans="1:7" ht="13">
      <c r="A319" s="413"/>
      <c r="B319" s="413"/>
      <c r="C319" s="14"/>
      <c r="D319" s="1583"/>
      <c r="E319" s="1583"/>
      <c r="F319" s="1583"/>
    </row>
    <row r="320" spans="1:7" ht="13">
      <c r="A320" s="33"/>
      <c r="B320" s="33"/>
      <c r="C320" s="14"/>
      <c r="D320" s="287"/>
      <c r="E320" s="282"/>
      <c r="F320" s="282"/>
    </row>
    <row r="321" spans="1:7" ht="13">
      <c r="A321" s="1599" t="s">
        <v>1532</v>
      </c>
      <c r="B321" s="1599"/>
      <c r="C321" s="1599"/>
      <c r="D321" s="1599"/>
      <c r="E321" s="1599"/>
      <c r="F321" s="1599"/>
      <c r="G321" s="1599"/>
    </row>
    <row r="322" spans="1:7" ht="13">
      <c r="A322" s="33"/>
      <c r="B322" s="33"/>
      <c r="C322" s="14"/>
      <c r="D322" s="287"/>
      <c r="E322" s="282"/>
      <c r="F322" s="282"/>
      <c r="G322" s="2"/>
    </row>
    <row r="323" spans="1:7" ht="13">
      <c r="A323" s="140"/>
      <c r="B323" s="140"/>
      <c r="C323" s="320"/>
      <c r="D323" s="1590" t="s">
        <v>180</v>
      </c>
      <c r="E323" s="1590"/>
      <c r="F323" s="1590"/>
      <c r="G323" s="2"/>
    </row>
    <row r="324" spans="1:7" ht="13">
      <c r="A324" s="140"/>
      <c r="B324" s="140"/>
      <c r="C324" s="320"/>
      <c r="D324" s="1585" t="s">
        <v>1576</v>
      </c>
      <c r="E324" s="1585"/>
      <c r="F324" s="1585"/>
      <c r="G324" s="2"/>
    </row>
    <row r="325" spans="1:7" ht="13">
      <c r="A325" s="140"/>
      <c r="B325" s="140"/>
      <c r="C325" s="320"/>
      <c r="D325" s="290"/>
      <c r="E325" s="282"/>
      <c r="F325" s="282"/>
      <c r="G325" s="2"/>
    </row>
    <row r="326" spans="1:7" ht="12.5">
      <c r="A326" s="140"/>
      <c r="B326" s="949" t="s">
        <v>136</v>
      </c>
      <c r="C326" s="14"/>
      <c r="D326" s="1585" t="s">
        <v>1762</v>
      </c>
      <c r="E326" s="1585"/>
      <c r="F326" s="1585"/>
      <c r="G326" s="2"/>
    </row>
    <row r="327" spans="1:7" ht="13">
      <c r="A327" s="570"/>
      <c r="B327" s="570"/>
      <c r="D327" s="702"/>
      <c r="G327" s="2"/>
    </row>
    <row r="328" spans="1:7" ht="13">
      <c r="A328" s="413"/>
      <c r="B328" s="949" t="s">
        <v>136</v>
      </c>
      <c r="C328" s="14"/>
      <c r="D328" s="1585" t="s">
        <v>1763</v>
      </c>
      <c r="E328" s="1585"/>
      <c r="F328" s="1585"/>
      <c r="G328" s="2"/>
    </row>
    <row r="329" spans="1:7" ht="12.5">
      <c r="A329" s="140"/>
      <c r="B329" s="140"/>
      <c r="C329" s="14"/>
      <c r="D329" s="282"/>
      <c r="E329" s="282"/>
      <c r="F329" s="282"/>
      <c r="G329" s="2"/>
    </row>
    <row r="330" spans="1:7" ht="14.5" customHeight="1">
      <c r="A330" s="413"/>
      <c r="B330" s="949" t="s">
        <v>136</v>
      </c>
      <c r="C330" s="14"/>
      <c r="D330" s="1581" t="s">
        <v>1769</v>
      </c>
      <c r="E330" s="1581"/>
      <c r="F330" s="1581"/>
      <c r="G330" s="2"/>
    </row>
    <row r="331" spans="1:7" ht="13">
      <c r="A331" s="413"/>
      <c r="B331" s="413"/>
      <c r="C331" s="14"/>
      <c r="D331" s="1581"/>
      <c r="E331" s="1581"/>
      <c r="F331" s="1581"/>
      <c r="G331" s="2"/>
    </row>
    <row r="332" spans="1:7" ht="13">
      <c r="A332" s="413"/>
      <c r="B332" s="413"/>
      <c r="C332" s="14"/>
      <c r="D332" s="1581"/>
      <c r="E332" s="1581"/>
      <c r="F332" s="1581"/>
      <c r="G332" s="2"/>
    </row>
    <row r="333" spans="1:7" ht="13">
      <c r="A333" s="413"/>
      <c r="B333" s="413"/>
      <c r="C333" s="14"/>
      <c r="D333" s="1581"/>
      <c r="E333" s="1581"/>
      <c r="F333" s="1581"/>
      <c r="G333" s="2"/>
    </row>
    <row r="334" spans="1:7" ht="13">
      <c r="A334" s="413"/>
      <c r="B334" s="413"/>
      <c r="C334" s="14"/>
      <c r="D334" s="1581"/>
      <c r="E334" s="1581"/>
      <c r="F334" s="1581"/>
      <c r="G334" s="2"/>
    </row>
    <row r="335" spans="1:7" ht="13">
      <c r="A335" s="413"/>
      <c r="B335" s="413"/>
      <c r="C335" s="14"/>
      <c r="D335" s="1581"/>
      <c r="E335" s="1581"/>
      <c r="F335" s="1581"/>
      <c r="G335" s="2"/>
    </row>
    <row r="336" spans="1:7" ht="13">
      <c r="A336" s="413"/>
      <c r="B336" s="413"/>
      <c r="C336" s="14"/>
      <c r="D336" s="1581"/>
      <c r="E336" s="1581"/>
      <c r="F336" s="1581"/>
      <c r="G336" s="2"/>
    </row>
    <row r="337" spans="1:8" ht="13">
      <c r="A337" s="413"/>
      <c r="B337" s="413"/>
      <c r="C337" s="14"/>
      <c r="D337" s="1581"/>
      <c r="E337" s="1581"/>
      <c r="F337" s="1581"/>
      <c r="G337" s="2"/>
    </row>
    <row r="338" spans="1:8" ht="13">
      <c r="A338" s="413"/>
      <c r="B338" s="413"/>
      <c r="C338" s="14"/>
      <c r="D338" s="1581"/>
      <c r="E338" s="1581"/>
      <c r="F338" s="1581"/>
    </row>
    <row r="339" spans="1:8" ht="13">
      <c r="A339" s="413"/>
      <c r="B339" s="413"/>
      <c r="C339" s="14"/>
      <c r="D339" s="1581"/>
      <c r="E339" s="1581"/>
      <c r="F339" s="1581"/>
    </row>
    <row r="340" spans="1:8" ht="13">
      <c r="A340" s="413"/>
      <c r="B340" s="413"/>
      <c r="C340" s="14"/>
      <c r="D340" s="1581"/>
      <c r="E340" s="1581"/>
      <c r="F340" s="1581"/>
    </row>
    <row r="341" spans="1:8" ht="13">
      <c r="A341" s="413"/>
      <c r="B341" s="413"/>
      <c r="C341" s="14"/>
      <c r="D341" s="1581"/>
      <c r="E341" s="1581"/>
      <c r="F341" s="1581"/>
    </row>
    <row r="342" spans="1:8" ht="13">
      <c r="A342" s="413"/>
      <c r="B342" s="413"/>
      <c r="C342" s="14"/>
      <c r="D342" s="1581"/>
      <c r="E342" s="1581"/>
      <c r="F342" s="1581"/>
    </row>
    <row r="343" spans="1:8" ht="13">
      <c r="A343" s="413"/>
      <c r="B343" s="413"/>
      <c r="C343" s="14"/>
      <c r="D343" s="1581"/>
      <c r="E343" s="1581"/>
      <c r="F343" s="1581"/>
    </row>
    <row r="344" spans="1:8" ht="13">
      <c r="A344" s="413"/>
      <c r="B344" s="413"/>
      <c r="C344" s="14"/>
      <c r="D344" s="1581"/>
      <c r="E344" s="1581"/>
      <c r="F344" s="1581"/>
    </row>
    <row r="345" spans="1:8" ht="12.5">
      <c r="A345" s="140"/>
      <c r="B345" s="140"/>
      <c r="C345" s="14"/>
      <c r="D345" s="282"/>
      <c r="E345" s="282"/>
      <c r="F345" s="282"/>
    </row>
    <row r="346" spans="1:8" s="50" customFormat="1" ht="14.5" customHeight="1">
      <c r="A346" s="413"/>
      <c r="B346" s="949" t="s">
        <v>136</v>
      </c>
      <c r="C346" s="140"/>
      <c r="D346" s="1581" t="s">
        <v>1764</v>
      </c>
      <c r="E346" s="1581"/>
      <c r="F346" s="1581"/>
      <c r="G346" s="8"/>
      <c r="H346" s="16"/>
    </row>
    <row r="347" spans="1:8" s="50" customFormat="1" ht="12.5">
      <c r="A347" s="140"/>
      <c r="B347" s="140"/>
      <c r="C347" s="140"/>
      <c r="D347" s="1581"/>
      <c r="E347" s="1581"/>
      <c r="F347" s="1581"/>
      <c r="G347" s="8"/>
      <c r="H347" s="16"/>
    </row>
    <row r="348" spans="1:8" s="50" customFormat="1" ht="12.5">
      <c r="A348" s="140"/>
      <c r="B348" s="140"/>
      <c r="C348" s="140"/>
      <c r="D348" s="1581"/>
      <c r="E348" s="1581"/>
      <c r="F348" s="1581"/>
      <c r="G348" s="8"/>
      <c r="H348" s="16"/>
    </row>
    <row r="349" spans="1:8" s="50" customFormat="1" ht="12.5">
      <c r="A349" s="140"/>
      <c r="B349" s="140"/>
      <c r="C349" s="140"/>
      <c r="D349" s="1581"/>
      <c r="E349" s="1581"/>
      <c r="F349" s="1581"/>
      <c r="G349" s="8"/>
      <c r="H349" s="16"/>
    </row>
    <row r="350" spans="1:8" s="50" customFormat="1" ht="12.5">
      <c r="A350" s="140"/>
      <c r="B350" s="140"/>
      <c r="C350" s="140"/>
      <c r="D350" s="1581"/>
      <c r="E350" s="1581"/>
      <c r="F350" s="1581"/>
      <c r="G350" s="8"/>
      <c r="H350" s="16"/>
    </row>
    <row r="351" spans="1:8" s="50" customFormat="1" ht="12.5">
      <c r="A351" s="140"/>
      <c r="B351" s="140"/>
      <c r="C351" s="140"/>
      <c r="D351" s="1581"/>
      <c r="E351" s="1581"/>
      <c r="F351" s="1581"/>
      <c r="G351" s="8"/>
      <c r="H351" s="16"/>
    </row>
    <row r="352" spans="1:8" s="50" customFormat="1" ht="12.5">
      <c r="A352" s="140"/>
      <c r="B352" s="140"/>
      <c r="C352" s="140"/>
      <c r="D352" s="1581"/>
      <c r="E352" s="1581"/>
      <c r="F352" s="1581"/>
      <c r="G352" s="8"/>
      <c r="H352" s="16"/>
    </row>
    <row r="353" spans="1:8" s="50" customFormat="1" ht="12.5">
      <c r="A353" s="140"/>
      <c r="B353" s="140"/>
      <c r="C353" s="140"/>
      <c r="D353" s="1581"/>
      <c r="E353" s="1581"/>
      <c r="F353" s="1581"/>
      <c r="G353" s="8"/>
      <c r="H353" s="16"/>
    </row>
    <row r="354" spans="1:8" s="50" customFormat="1" ht="12.5">
      <c r="A354" s="140"/>
      <c r="B354" s="140"/>
      <c r="C354" s="140"/>
      <c r="D354" s="1581"/>
      <c r="E354" s="1581"/>
      <c r="F354" s="1581"/>
      <c r="G354" s="8"/>
      <c r="H354" s="16"/>
    </row>
    <row r="355" spans="1:8" ht="12.5">
      <c r="A355" s="150"/>
      <c r="B355" s="150"/>
      <c r="E355" s="403"/>
      <c r="F355" s="403"/>
    </row>
    <row r="356" spans="1:8" ht="13">
      <c r="A356" s="413"/>
      <c r="B356" s="949" t="s">
        <v>136</v>
      </c>
      <c r="C356" s="14"/>
      <c r="D356" s="1582" t="s">
        <v>2136</v>
      </c>
      <c r="E356" s="1583"/>
      <c r="F356" s="1583"/>
    </row>
    <row r="357" spans="1:8" ht="12.5">
      <c r="A357" s="140"/>
      <c r="B357" s="140"/>
      <c r="C357" s="14"/>
      <c r="D357" s="1583"/>
      <c r="E357" s="1583"/>
      <c r="F357" s="1583"/>
    </row>
    <row r="358" spans="1:8" ht="12.5">
      <c r="A358" s="140"/>
      <c r="B358" s="140"/>
      <c r="C358" s="14"/>
      <c r="D358" s="1583"/>
      <c r="E358" s="1583"/>
      <c r="F358" s="1583"/>
    </row>
    <row r="359" spans="1:8" ht="12.5">
      <c r="A359" s="140"/>
      <c r="B359" s="140"/>
      <c r="C359" s="14"/>
      <c r="D359" s="1583"/>
      <c r="E359" s="1583"/>
      <c r="F359" s="1583"/>
    </row>
    <row r="360" spans="1:8" ht="12.5">
      <c r="A360" s="985"/>
      <c r="B360" s="985"/>
      <c r="C360" s="14"/>
      <c r="D360" s="1583"/>
      <c r="E360" s="1583"/>
      <c r="F360" s="1583"/>
    </row>
    <row r="361" spans="1:8" ht="12.5">
      <c r="A361" s="140"/>
      <c r="B361" s="140"/>
      <c r="C361" s="14"/>
      <c r="D361" s="1583"/>
      <c r="E361" s="1583"/>
      <c r="F361" s="1583"/>
    </row>
    <row r="362" spans="1:8" ht="13" thickBot="1">
      <c r="A362" s="140"/>
      <c r="B362" s="140"/>
      <c r="C362" s="14"/>
      <c r="D362" s="1297"/>
      <c r="E362" s="810"/>
      <c r="F362" s="810"/>
      <c r="G362" s="288"/>
    </row>
    <row r="363" spans="1:8" ht="14" thickTop="1" thickBot="1">
      <c r="A363" s="140"/>
      <c r="B363" s="140"/>
      <c r="C363" s="140"/>
      <c r="D363" s="1608" t="s">
        <v>1399</v>
      </c>
      <c r="E363" s="1608"/>
      <c r="F363" s="1608"/>
      <c r="G363" s="71"/>
    </row>
    <row r="364" spans="1:8" ht="13" thickTop="1">
      <c r="A364" s="140"/>
      <c r="B364" s="140"/>
      <c r="C364" s="140"/>
      <c r="D364" s="1612" t="s">
        <v>1765</v>
      </c>
      <c r="E364" s="1612"/>
      <c r="F364" s="1612"/>
      <c r="G364" s="8"/>
    </row>
    <row r="365" spans="1:8" ht="12.5">
      <c r="A365" s="140"/>
      <c r="B365" s="140"/>
      <c r="C365" s="140"/>
      <c r="D365" s="287"/>
      <c r="E365" s="8"/>
      <c r="F365" s="8"/>
      <c r="G365" s="8"/>
    </row>
    <row r="366" spans="1:8" ht="13">
      <c r="A366" s="413"/>
      <c r="B366" s="949" t="s">
        <v>136</v>
      </c>
      <c r="C366" s="597"/>
      <c r="D366" s="1606" t="s">
        <v>1770</v>
      </c>
      <c r="E366" s="1606"/>
      <c r="F366" s="1606"/>
      <c r="G366" s="8"/>
    </row>
    <row r="367" spans="1:8" ht="13">
      <c r="A367" s="413"/>
      <c r="B367" s="413"/>
      <c r="C367" s="597"/>
      <c r="D367" s="666"/>
      <c r="E367" s="8"/>
      <c r="F367" s="8"/>
      <c r="G367" s="8"/>
    </row>
    <row r="368" spans="1:8" ht="13">
      <c r="A368" s="413"/>
      <c r="B368" s="949" t="s">
        <v>136</v>
      </c>
      <c r="C368" s="597"/>
      <c r="D368" s="1610" t="s">
        <v>1773</v>
      </c>
      <c r="E368" s="1611"/>
      <c r="F368" s="1611"/>
      <c r="G368" s="8"/>
    </row>
    <row r="369" spans="1:7" ht="13">
      <c r="A369" s="413"/>
      <c r="B369" s="413"/>
      <c r="C369" s="597"/>
      <c r="D369" s="1611"/>
      <c r="E369" s="1611"/>
      <c r="F369" s="1611"/>
      <c r="G369" s="8"/>
    </row>
    <row r="370" spans="1:7" ht="13">
      <c r="A370" s="413"/>
      <c r="B370" s="413"/>
      <c r="C370" s="597"/>
      <c r="D370" s="1611"/>
      <c r="E370" s="1611"/>
      <c r="F370" s="1611"/>
      <c r="G370" s="8"/>
    </row>
    <row r="371" spans="1:7" ht="13">
      <c r="A371" s="413"/>
      <c r="B371" s="413"/>
      <c r="C371" s="597"/>
      <c r="D371" s="1611"/>
      <c r="E371" s="1611"/>
      <c r="F371" s="1611"/>
      <c r="G371" s="8"/>
    </row>
    <row r="372" spans="1:7" ht="13">
      <c r="A372" s="413"/>
      <c r="B372" s="413"/>
      <c r="C372" s="597"/>
      <c r="D372" s="1611"/>
      <c r="E372" s="1611"/>
      <c r="F372" s="1611"/>
      <c r="G372" s="8"/>
    </row>
    <row r="373" spans="1:7" ht="13">
      <c r="A373" s="413"/>
      <c r="B373" s="413"/>
      <c r="C373" s="597"/>
      <c r="D373" s="1611"/>
      <c r="E373" s="1611"/>
      <c r="F373" s="1611"/>
      <c r="G373" s="8"/>
    </row>
    <row r="374" spans="1:7" ht="13">
      <c r="A374" s="413"/>
      <c r="B374" s="413"/>
      <c r="C374" s="597"/>
      <c r="D374" s="1611"/>
      <c r="E374" s="1611"/>
      <c r="F374" s="1611"/>
      <c r="G374" s="8"/>
    </row>
    <row r="375" spans="1:7" ht="13">
      <c r="A375" s="413"/>
      <c r="B375" s="413"/>
      <c r="C375" s="597"/>
      <c r="D375" s="1611"/>
      <c r="E375" s="1611"/>
      <c r="F375" s="1611"/>
      <c r="G375" s="8"/>
    </row>
    <row r="376" spans="1:7" ht="13">
      <c r="A376" s="413"/>
      <c r="B376" s="413"/>
      <c r="C376" s="597"/>
      <c r="D376" s="1611"/>
      <c r="E376" s="1611"/>
      <c r="F376" s="1611"/>
      <c r="G376" s="8"/>
    </row>
    <row r="377" spans="1:7" ht="13">
      <c r="A377" s="413"/>
      <c r="B377" s="413"/>
      <c r="C377" s="597"/>
      <c r="D377" s="1611"/>
      <c r="E377" s="1611"/>
      <c r="F377" s="1611"/>
      <c r="G377" s="8"/>
    </row>
    <row r="378" spans="1:7" ht="13">
      <c r="A378" s="413"/>
      <c r="B378" s="413"/>
      <c r="C378" s="597"/>
      <c r="D378" s="990"/>
      <c r="E378" s="990"/>
      <c r="F378" s="990"/>
      <c r="G378" s="8"/>
    </row>
    <row r="379" spans="1:7" ht="13">
      <c r="A379" s="413"/>
      <c r="B379" s="949" t="s">
        <v>136</v>
      </c>
      <c r="C379" s="597"/>
      <c r="D379" s="1604" t="s">
        <v>1766</v>
      </c>
      <c r="E379" s="1604"/>
      <c r="F379" s="1604"/>
      <c r="G379" s="8"/>
    </row>
    <row r="380" spans="1:7" ht="12.5">
      <c r="A380" s="597"/>
      <c r="B380" s="597"/>
      <c r="C380" s="597"/>
      <c r="D380" s="1604"/>
      <c r="E380" s="1604"/>
      <c r="F380" s="1604"/>
      <c r="G380" s="8"/>
    </row>
    <row r="381" spans="1:7" ht="12.5">
      <c r="A381" s="597"/>
      <c r="B381" s="597"/>
      <c r="C381" s="597"/>
      <c r="D381" s="1604"/>
      <c r="E381" s="1604"/>
      <c r="F381" s="1604"/>
      <c r="G381" s="8"/>
    </row>
    <row r="382" spans="1:7" ht="12.5">
      <c r="A382" s="597"/>
      <c r="B382" s="597"/>
      <c r="C382" s="597"/>
      <c r="D382" s="1604"/>
      <c r="E382" s="1604"/>
      <c r="F382" s="1604"/>
      <c r="G382" s="8"/>
    </row>
    <row r="383" spans="1:7" ht="12.5">
      <c r="A383" s="597"/>
      <c r="B383" s="597"/>
      <c r="C383" s="597"/>
      <c r="D383" s="994"/>
      <c r="E383" s="994"/>
      <c r="F383" s="994"/>
      <c r="G383" s="8"/>
    </row>
    <row r="384" spans="1:7" ht="12.5">
      <c r="A384" s="597"/>
      <c r="B384" s="597"/>
      <c r="C384" s="597"/>
      <c r="D384" s="1604" t="s">
        <v>1767</v>
      </c>
      <c r="E384" s="1604"/>
      <c r="F384" s="1604"/>
      <c r="G384" s="8"/>
    </row>
    <row r="385" spans="1:7" ht="12.5">
      <c r="A385" s="597"/>
      <c r="B385" s="597"/>
      <c r="C385" s="597"/>
      <c r="D385" s="1604"/>
      <c r="E385" s="1604"/>
      <c r="F385" s="1604"/>
      <c r="G385" s="8"/>
    </row>
    <row r="386" spans="1:7" ht="12.5">
      <c r="A386" s="597"/>
      <c r="B386" s="597"/>
      <c r="C386" s="597"/>
      <c r="D386" s="1604"/>
      <c r="E386" s="1604"/>
      <c r="F386" s="1604"/>
      <c r="G386" s="8"/>
    </row>
    <row r="387" spans="1:7" ht="12.5">
      <c r="A387" s="597"/>
      <c r="B387" s="597"/>
      <c r="C387" s="597"/>
      <c r="D387" s="1604"/>
      <c r="E387" s="1604"/>
      <c r="F387" s="1604"/>
      <c r="G387" s="8"/>
    </row>
    <row r="388" spans="1:7" ht="12.5">
      <c r="A388" s="597"/>
      <c r="B388" s="597"/>
      <c r="C388" s="597"/>
      <c r="D388" s="1604"/>
      <c r="E388" s="1604"/>
      <c r="F388" s="1604"/>
      <c r="G388" s="8"/>
    </row>
    <row r="389" spans="1:7" ht="12.5">
      <c r="A389" s="597"/>
      <c r="B389" s="597"/>
      <c r="C389" s="597"/>
      <c r="D389" s="1604"/>
      <c r="E389" s="1604"/>
      <c r="F389" s="1604"/>
      <c r="G389" s="8"/>
    </row>
    <row r="390" spans="1:7" ht="12.5">
      <c r="A390" s="597"/>
      <c r="B390" s="597"/>
      <c r="C390" s="597"/>
      <c r="D390" s="1604"/>
      <c r="E390" s="1604"/>
      <c r="F390" s="1604"/>
      <c r="G390" s="8"/>
    </row>
    <row r="391" spans="1:7" ht="12.5">
      <c r="A391" s="597"/>
      <c r="B391" s="597"/>
      <c r="C391" s="597"/>
      <c r="D391" s="1604"/>
      <c r="E391" s="1604"/>
      <c r="F391" s="1604"/>
      <c r="G391" s="8"/>
    </row>
    <row r="392" spans="1:7" ht="12.5">
      <c r="A392" s="597"/>
      <c r="B392" s="597"/>
      <c r="C392" s="597"/>
      <c r="D392" s="1604"/>
      <c r="E392" s="1604"/>
      <c r="F392" s="1604"/>
      <c r="G392" s="8"/>
    </row>
    <row r="393" spans="1:7" ht="13.75" customHeight="1">
      <c r="A393" s="597"/>
      <c r="B393" s="597"/>
      <c r="C393" s="597"/>
      <c r="D393" s="1584" t="s">
        <v>1771</v>
      </c>
      <c r="E393" s="1584"/>
      <c r="F393" s="1584"/>
      <c r="G393" s="8"/>
    </row>
    <row r="394" spans="1:7" ht="13.75" customHeight="1">
      <c r="A394" s="597"/>
      <c r="B394" s="597"/>
      <c r="C394" s="597"/>
      <c r="D394" s="1584"/>
      <c r="E394" s="1584"/>
      <c r="F394" s="1584"/>
      <c r="G394" s="8"/>
    </row>
    <row r="395" spans="1:7" ht="13.75" customHeight="1">
      <c r="A395" s="597"/>
      <c r="B395" s="597"/>
      <c r="C395" s="597"/>
      <c r="D395" s="1584"/>
      <c r="E395" s="1584"/>
      <c r="F395" s="1584"/>
      <c r="G395" s="8"/>
    </row>
    <row r="396" spans="1:7" ht="13.75" customHeight="1">
      <c r="A396" s="597"/>
      <c r="B396" s="597"/>
      <c r="C396" s="597"/>
      <c r="D396" s="1584"/>
      <c r="E396" s="1584"/>
      <c r="F396" s="1584"/>
      <c r="G396" s="8"/>
    </row>
    <row r="397" spans="1:7" ht="13.75" customHeight="1">
      <c r="A397" s="597"/>
      <c r="B397" s="597"/>
      <c r="C397" s="597"/>
      <c r="D397" s="1584"/>
      <c r="E397" s="1584"/>
      <c r="F397" s="1584"/>
      <c r="G397" s="8"/>
    </row>
    <row r="398" spans="1:7" ht="13.75" customHeight="1">
      <c r="A398" s="597"/>
      <c r="B398" s="597"/>
      <c r="C398" s="597"/>
      <c r="D398" s="1584"/>
      <c r="E398" s="1584"/>
      <c r="F398" s="1584"/>
      <c r="G398" s="8"/>
    </row>
    <row r="399" spans="1:7" ht="13.75" customHeight="1">
      <c r="A399" s="597"/>
      <c r="B399" s="597"/>
      <c r="C399" s="597"/>
      <c r="D399" s="1584"/>
      <c r="E399" s="1584"/>
      <c r="F399" s="1584"/>
      <c r="G399" s="8"/>
    </row>
    <row r="400" spans="1:7" ht="13.75" customHeight="1">
      <c r="A400" s="597"/>
      <c r="B400" s="597"/>
      <c r="C400" s="597"/>
      <c r="D400" s="1584"/>
      <c r="E400" s="1584"/>
      <c r="F400" s="1584"/>
      <c r="G400" s="8"/>
    </row>
    <row r="401" spans="1:7" ht="13.75" customHeight="1">
      <c r="A401" s="597"/>
      <c r="B401" s="597"/>
      <c r="C401" s="597"/>
      <c r="D401" s="1584"/>
      <c r="E401" s="1584"/>
      <c r="F401" s="1584"/>
      <c r="G401" s="8"/>
    </row>
    <row r="402" spans="1:7" ht="13.75" customHeight="1">
      <c r="A402" s="597"/>
      <c r="B402" s="597"/>
      <c r="C402" s="597"/>
      <c r="D402" s="1584"/>
      <c r="E402" s="1584"/>
      <c r="F402" s="1584"/>
      <c r="G402" s="8"/>
    </row>
    <row r="403" spans="1:7" ht="13.75" customHeight="1">
      <c r="A403" s="597"/>
      <c r="B403" s="597"/>
      <c r="C403" s="597"/>
      <c r="D403" s="1584"/>
      <c r="E403" s="1584"/>
      <c r="F403" s="1584"/>
      <c r="G403" s="8"/>
    </row>
    <row r="404" spans="1:7" ht="13.75" customHeight="1">
      <c r="A404" s="597"/>
      <c r="B404" s="597"/>
      <c r="C404" s="597"/>
      <c r="D404" s="1584"/>
      <c r="E404" s="1584"/>
      <c r="F404" s="1584"/>
      <c r="G404" s="8"/>
    </row>
    <row r="405" spans="1:7" ht="13.75" customHeight="1">
      <c r="A405" s="597"/>
      <c r="B405" s="597"/>
      <c r="C405" s="597"/>
      <c r="D405" s="1584"/>
      <c r="E405" s="1584"/>
      <c r="F405" s="1584"/>
      <c r="G405" s="8"/>
    </row>
    <row r="406" spans="1:7" ht="13.75" customHeight="1">
      <c r="A406" s="597"/>
      <c r="B406" s="597"/>
      <c r="C406" s="597"/>
      <c r="D406" s="1584"/>
      <c r="E406" s="1584"/>
      <c r="F406" s="1584"/>
      <c r="G406" s="8"/>
    </row>
    <row r="407" spans="1:7" ht="13.75" customHeight="1">
      <c r="A407" s="597"/>
      <c r="B407" s="597"/>
      <c r="C407" s="597"/>
      <c r="D407" s="1584"/>
      <c r="E407" s="1584"/>
      <c r="F407" s="1584"/>
      <c r="G407" s="8"/>
    </row>
    <row r="408" spans="1:7" ht="13.75" customHeight="1">
      <c r="A408" s="597"/>
      <c r="B408" s="597"/>
      <c r="C408" s="597"/>
      <c r="D408" s="1584"/>
      <c r="E408" s="1584"/>
      <c r="F408" s="1584"/>
      <c r="G408" s="8"/>
    </row>
    <row r="409" spans="1:7" ht="13.75" customHeight="1">
      <c r="A409" s="597"/>
      <c r="B409" s="597"/>
      <c r="C409" s="597"/>
      <c r="D409" s="1584"/>
      <c r="E409" s="1584"/>
      <c r="F409" s="1584"/>
      <c r="G409" s="8"/>
    </row>
    <row r="410" spans="1:7" ht="13.75" customHeight="1">
      <c r="A410" s="597"/>
      <c r="B410" s="597"/>
      <c r="C410" s="597"/>
      <c r="D410" s="1584"/>
      <c r="E410" s="1584"/>
      <c r="F410" s="1584"/>
      <c r="G410" s="8"/>
    </row>
    <row r="411" spans="1:7" ht="12.5">
      <c r="A411" s="597"/>
      <c r="B411" s="597"/>
      <c r="C411" s="597"/>
      <c r="D411" s="807"/>
      <c r="E411" s="8"/>
      <c r="F411" s="8"/>
      <c r="G411" s="8"/>
    </row>
    <row r="412" spans="1:7" ht="13.75" customHeight="1">
      <c r="A412" s="597"/>
      <c r="B412" s="949" t="s">
        <v>136</v>
      </c>
      <c r="C412" s="597"/>
      <c r="D412" s="1584" t="s">
        <v>1768</v>
      </c>
      <c r="E412" s="1584"/>
      <c r="F412" s="1584"/>
      <c r="G412" s="8"/>
    </row>
    <row r="413" spans="1:7" ht="12.5">
      <c r="A413" s="597"/>
      <c r="B413" s="597"/>
      <c r="C413" s="597"/>
      <c r="D413" s="1584"/>
      <c r="E413" s="1584"/>
      <c r="F413" s="1584"/>
      <c r="G413" s="8"/>
    </row>
    <row r="414" spans="1:7" ht="12.5">
      <c r="A414" s="597"/>
      <c r="B414" s="597"/>
      <c r="C414" s="597"/>
      <c r="D414" s="1352"/>
      <c r="E414" s="1352"/>
      <c r="F414" s="1352"/>
      <c r="G414" s="8"/>
    </row>
    <row r="415" spans="1:7" ht="12.5">
      <c r="A415" s="597"/>
      <c r="B415" s="1354" t="s">
        <v>136</v>
      </c>
      <c r="C415" s="597"/>
      <c r="D415" s="1588" t="s">
        <v>2141</v>
      </c>
      <c r="E415" s="1588"/>
      <c r="F415" s="1588"/>
      <c r="G415" s="8"/>
    </row>
    <row r="416" spans="1:7" ht="12.5">
      <c r="A416" s="597"/>
      <c r="B416" s="597"/>
      <c r="C416" s="597"/>
      <c r="D416" s="1588"/>
      <c r="E416" s="1588"/>
      <c r="F416" s="1588"/>
      <c r="G416" s="8"/>
    </row>
    <row r="417" spans="1:7" ht="12.5">
      <c r="A417" s="597"/>
      <c r="B417" s="597"/>
      <c r="C417" s="597"/>
      <c r="D417" s="1588"/>
      <c r="E417" s="1588"/>
      <c r="F417" s="1588"/>
      <c r="G417" s="8"/>
    </row>
    <row r="418" spans="1:7" ht="12.5">
      <c r="A418" s="597"/>
      <c r="B418" s="597"/>
      <c r="C418" s="597"/>
      <c r="D418" s="1588"/>
      <c r="E418" s="1588"/>
      <c r="F418" s="1588"/>
      <c r="G418" s="8"/>
    </row>
    <row r="419" spans="1:7" ht="12.5">
      <c r="A419" s="597"/>
      <c r="B419" s="597"/>
      <c r="C419" s="597"/>
      <c r="D419" s="1588"/>
      <c r="E419" s="1588"/>
      <c r="F419" s="1588"/>
      <c r="G419" s="8"/>
    </row>
    <row r="420" spans="1:7" ht="12.5">
      <c r="A420" s="597"/>
      <c r="B420" s="597"/>
      <c r="C420" s="597"/>
      <c r="D420" s="1588"/>
      <c r="E420" s="1588"/>
      <c r="F420" s="1588"/>
      <c r="G420" s="8"/>
    </row>
    <row r="421" spans="1:7" ht="14.5" customHeight="1">
      <c r="A421" s="413"/>
      <c r="B421" s="949" t="s">
        <v>136</v>
      </c>
      <c r="C421" s="597"/>
      <c r="D421" s="1588" t="s">
        <v>2118</v>
      </c>
      <c r="E421" s="1588"/>
      <c r="F421" s="1588"/>
      <c r="G421" s="8"/>
    </row>
    <row r="422" spans="1:7" ht="13">
      <c r="A422" s="808"/>
      <c r="B422" s="808"/>
      <c r="C422" s="597"/>
      <c r="D422" s="1588"/>
      <c r="E422" s="1588"/>
      <c r="F422" s="1588"/>
      <c r="G422" s="8"/>
    </row>
    <row r="423" spans="1:7" ht="13">
      <c r="A423" s="808"/>
      <c r="B423" s="808"/>
      <c r="C423" s="597"/>
      <c r="D423" s="1588"/>
      <c r="E423" s="1588"/>
      <c r="F423" s="1588"/>
      <c r="G423" s="8"/>
    </row>
    <row r="424" spans="1:7" ht="13">
      <c r="A424" s="808"/>
      <c r="B424" s="808"/>
      <c r="C424" s="597"/>
      <c r="D424" s="1588"/>
      <c r="E424" s="1588"/>
      <c r="F424" s="1588"/>
      <c r="G424" s="8"/>
    </row>
    <row r="425" spans="1:7" ht="14.25" customHeight="1">
      <c r="A425" s="808"/>
      <c r="B425" s="808"/>
      <c r="C425" s="597"/>
      <c r="D425" s="1589" t="s">
        <v>2137</v>
      </c>
      <c r="E425" s="1589"/>
      <c r="F425" s="1589"/>
      <c r="G425" s="8"/>
    </row>
    <row r="426" spans="1:7" ht="12.5">
      <c r="A426" s="140"/>
      <c r="B426" s="140"/>
      <c r="C426" s="140"/>
      <c r="D426" s="143"/>
      <c r="E426" s="8"/>
      <c r="F426" s="8"/>
      <c r="G426" s="8"/>
    </row>
    <row r="427" spans="1:7" ht="14.5" customHeight="1">
      <c r="A427" s="413"/>
      <c r="B427" s="949" t="s">
        <v>136</v>
      </c>
      <c r="C427" s="355"/>
      <c r="D427" s="1583" t="s">
        <v>1774</v>
      </c>
      <c r="E427" s="1583"/>
      <c r="F427" s="1583"/>
      <c r="G427" s="8"/>
    </row>
    <row r="428" spans="1:7" ht="13">
      <c r="A428" s="413"/>
      <c r="B428" s="413"/>
      <c r="C428" s="140"/>
      <c r="D428" s="1583"/>
      <c r="E428" s="1583"/>
      <c r="F428" s="1583"/>
      <c r="G428" s="8"/>
    </row>
    <row r="429" spans="1:7" ht="13">
      <c r="A429" s="413"/>
      <c r="B429" s="413"/>
      <c r="C429" s="991"/>
      <c r="D429" s="1583"/>
      <c r="E429" s="1583"/>
      <c r="F429" s="1583"/>
      <c r="G429" s="8"/>
    </row>
    <row r="430" spans="1:7" ht="13">
      <c r="A430" s="413"/>
      <c r="B430" s="413"/>
      <c r="C430" s="991"/>
      <c r="D430" s="1583"/>
      <c r="E430" s="1583"/>
      <c r="F430" s="1583"/>
      <c r="G430" s="8"/>
    </row>
    <row r="431" spans="1:7" ht="13">
      <c r="A431" s="413"/>
      <c r="B431" s="413"/>
      <c r="C431" s="991"/>
      <c r="D431" s="1583"/>
      <c r="E431" s="1583"/>
      <c r="F431" s="1583"/>
      <c r="G431" s="8"/>
    </row>
    <row r="432" spans="1:7" ht="13">
      <c r="A432" s="413"/>
      <c r="B432" s="413"/>
      <c r="C432" s="991"/>
      <c r="D432" s="1583"/>
      <c r="E432" s="1583"/>
      <c r="F432" s="1583"/>
      <c r="G432" s="8"/>
    </row>
    <row r="433" spans="1:7" ht="13">
      <c r="A433" s="413"/>
      <c r="B433" s="413"/>
      <c r="C433" s="991"/>
      <c r="D433" s="1583"/>
      <c r="E433" s="1583"/>
      <c r="F433" s="1583"/>
      <c r="G433" s="8"/>
    </row>
    <row r="434" spans="1:7" ht="13">
      <c r="A434" s="413"/>
      <c r="B434" s="413"/>
      <c r="C434" s="991"/>
      <c r="D434" s="1583"/>
      <c r="E434" s="1583"/>
      <c r="F434" s="1583"/>
      <c r="G434" s="8"/>
    </row>
    <row r="435" spans="1:7" ht="13">
      <c r="A435" s="413"/>
      <c r="B435" s="413"/>
      <c r="C435" s="991"/>
      <c r="D435" s="1583"/>
      <c r="E435" s="1583"/>
      <c r="F435" s="1583"/>
      <c r="G435" s="8"/>
    </row>
    <row r="436" spans="1:7" ht="13">
      <c r="A436" s="413"/>
      <c r="B436" s="413"/>
      <c r="C436" s="991"/>
      <c r="D436" s="1583"/>
      <c r="E436" s="1583"/>
      <c r="F436" s="1583"/>
      <c r="G436" s="8"/>
    </row>
    <row r="437" spans="1:7" ht="13">
      <c r="A437" s="413"/>
      <c r="B437" s="413"/>
      <c r="C437" s="991"/>
      <c r="D437" s="1583"/>
      <c r="E437" s="1583"/>
      <c r="F437" s="1583"/>
      <c r="G437" s="8"/>
    </row>
    <row r="438" spans="1:7" ht="13">
      <c r="A438" s="413"/>
      <c r="B438" s="413"/>
      <c r="C438" s="991"/>
      <c r="D438" s="1583"/>
      <c r="E438" s="1583"/>
      <c r="F438" s="1583"/>
      <c r="G438" s="8"/>
    </row>
    <row r="439" spans="1:7" ht="13">
      <c r="A439" s="413"/>
      <c r="B439" s="413"/>
      <c r="C439" s="991"/>
      <c r="D439" s="1583"/>
      <c r="E439" s="1583"/>
      <c r="F439" s="1583"/>
      <c r="G439" s="8"/>
    </row>
    <row r="440" spans="1:7" ht="13">
      <c r="A440" s="413"/>
      <c r="B440" s="413"/>
      <c r="C440" s="991"/>
      <c r="D440" s="1583"/>
      <c r="E440" s="1583"/>
      <c r="F440" s="1583"/>
      <c r="G440" s="8"/>
    </row>
    <row r="441" spans="1:7" ht="13">
      <c r="A441" s="413"/>
      <c r="B441" s="413"/>
      <c r="C441" s="991"/>
      <c r="D441" s="1583"/>
      <c r="E441" s="1583"/>
      <c r="F441" s="1583"/>
      <c r="G441" s="8"/>
    </row>
    <row r="442" spans="1:7" ht="13">
      <c r="A442" s="413"/>
      <c r="B442" s="413"/>
      <c r="C442" s="991"/>
      <c r="D442" s="1583"/>
      <c r="E442" s="1583"/>
      <c r="F442" s="1583"/>
      <c r="G442" s="8"/>
    </row>
    <row r="443" spans="1:7" ht="13">
      <c r="A443" s="413"/>
      <c r="B443" s="413"/>
      <c r="C443" s="991"/>
      <c r="D443" s="1583"/>
      <c r="E443" s="1583"/>
      <c r="F443" s="1583"/>
      <c r="G443" s="8"/>
    </row>
    <row r="444" spans="1:7" ht="13">
      <c r="A444" s="413"/>
      <c r="B444" s="413"/>
      <c r="C444" s="991"/>
      <c r="D444" s="1583"/>
      <c r="E444" s="1583"/>
      <c r="F444" s="1583"/>
      <c r="G444" s="8"/>
    </row>
    <row r="445" spans="1:7" ht="13">
      <c r="A445" s="413"/>
      <c r="B445" s="413"/>
      <c r="C445" s="991"/>
      <c r="D445" s="1583"/>
      <c r="E445" s="1583"/>
      <c r="F445" s="1583"/>
      <c r="G445" s="8"/>
    </row>
    <row r="446" spans="1:7" ht="13">
      <c r="A446" s="413"/>
      <c r="B446" s="413"/>
      <c r="C446" s="991"/>
      <c r="D446" s="1583"/>
      <c r="E446" s="1583"/>
      <c r="F446" s="1583"/>
      <c r="G446" s="8"/>
    </row>
    <row r="447" spans="1:7" ht="13">
      <c r="A447" s="413"/>
      <c r="B447" s="413"/>
      <c r="C447" s="991"/>
      <c r="D447" s="1583"/>
      <c r="E447" s="1583"/>
      <c r="F447" s="1583"/>
      <c r="G447" s="8"/>
    </row>
    <row r="448" spans="1:7" ht="13">
      <c r="A448" s="413"/>
      <c r="B448" s="413"/>
      <c r="C448" s="991"/>
      <c r="D448" s="1583"/>
      <c r="E448" s="1583"/>
      <c r="F448" s="1583"/>
      <c r="G448" s="8"/>
    </row>
    <row r="449" spans="1:7" ht="13">
      <c r="A449" s="413"/>
      <c r="B449" s="413"/>
      <c r="C449" s="991"/>
      <c r="D449" s="1583"/>
      <c r="E449" s="1583"/>
      <c r="F449" s="1583"/>
      <c r="G449" s="8"/>
    </row>
    <row r="450" spans="1:7" ht="13">
      <c r="A450" s="413"/>
      <c r="B450" s="413"/>
      <c r="C450" s="991"/>
      <c r="D450" s="1583"/>
      <c r="E450" s="1583"/>
      <c r="F450" s="1583"/>
      <c r="G450" s="8"/>
    </row>
    <row r="451" spans="1:7" ht="13">
      <c r="A451" s="413"/>
      <c r="B451" s="413"/>
      <c r="C451" s="991"/>
      <c r="D451" s="1583"/>
      <c r="E451" s="1583"/>
      <c r="F451" s="1583"/>
      <c r="G451" s="8"/>
    </row>
    <row r="452" spans="1:7" ht="13">
      <c r="A452" s="413"/>
      <c r="B452" s="413"/>
      <c r="C452" s="991"/>
      <c r="D452" s="1583"/>
      <c r="E452" s="1583"/>
      <c r="F452" s="1583"/>
      <c r="G452" s="8"/>
    </row>
    <row r="453" spans="1:7" ht="13">
      <c r="A453" s="413"/>
      <c r="B453" s="413"/>
      <c r="C453" s="991"/>
      <c r="D453" s="1583"/>
      <c r="E453" s="1583"/>
      <c r="F453" s="1583"/>
      <c r="G453" s="8"/>
    </row>
    <row r="454" spans="1:7" ht="13">
      <c r="A454" s="413"/>
      <c r="B454" s="413"/>
      <c r="C454" s="991"/>
      <c r="D454" s="1583"/>
      <c r="E454" s="1583"/>
      <c r="F454" s="1583"/>
      <c r="G454" s="8"/>
    </row>
    <row r="455" spans="1:7" ht="13">
      <c r="A455" s="413"/>
      <c r="B455" s="413"/>
      <c r="C455" s="991"/>
      <c r="D455" s="1583"/>
      <c r="E455" s="1583"/>
      <c r="F455" s="1583"/>
      <c r="G455" s="8"/>
    </row>
    <row r="456" spans="1:7" ht="13">
      <c r="A456" s="413"/>
      <c r="B456" s="413"/>
      <c r="C456" s="991"/>
      <c r="D456" s="1583"/>
      <c r="E456" s="1583"/>
      <c r="F456" s="1583"/>
      <c r="G456" s="8"/>
    </row>
    <row r="457" spans="1:7" ht="12.5" hidden="1">
      <c r="A457" s="140"/>
      <c r="B457" s="140"/>
      <c r="C457" s="140"/>
      <c r="D457" s="1583"/>
      <c r="E457" s="1583"/>
      <c r="F457" s="1583"/>
      <c r="G457" s="8"/>
    </row>
    <row r="458" spans="1:7" ht="12.5" hidden="1">
      <c r="A458" s="140"/>
      <c r="B458" s="140"/>
      <c r="C458" s="140"/>
      <c r="D458" s="143"/>
      <c r="E458" s="40"/>
      <c r="F458" s="40"/>
      <c r="G458" s="40"/>
    </row>
    <row r="459" spans="1:7" ht="13">
      <c r="A459" s="413"/>
      <c r="B459" s="949" t="s">
        <v>136</v>
      </c>
      <c r="C459" s="355"/>
      <c r="D459" s="1585" t="s">
        <v>1772</v>
      </c>
      <c r="E459" s="1585"/>
      <c r="F459" s="1585"/>
      <c r="G459" s="8"/>
    </row>
    <row r="460" spans="1:7" ht="12.5">
      <c r="A460" s="140"/>
      <c r="B460" s="140"/>
      <c r="C460" s="140"/>
      <c r="D460" s="1586" t="s">
        <v>2114</v>
      </c>
      <c r="E460" s="1586"/>
      <c r="F460" s="1586"/>
      <c r="G460" s="8"/>
    </row>
    <row r="461" spans="1:7" ht="13.75" customHeight="1">
      <c r="A461" s="140"/>
      <c r="B461" s="140"/>
      <c r="C461" s="140"/>
      <c r="D461" s="1587" t="s">
        <v>2115</v>
      </c>
      <c r="E461" s="1581"/>
      <c r="F461" s="1581"/>
      <c r="G461" s="8"/>
    </row>
    <row r="462" spans="1:7" ht="13.75" customHeight="1">
      <c r="A462" s="991"/>
      <c r="B462" s="991"/>
      <c r="C462" s="991"/>
      <c r="D462" s="1581"/>
      <c r="E462" s="1581"/>
      <c r="F462" s="1581"/>
      <c r="G462" s="8"/>
    </row>
    <row r="463" spans="1:7" ht="13.75" customHeight="1">
      <c r="A463" s="991"/>
      <c r="B463" s="991"/>
      <c r="C463" s="991"/>
      <c r="D463" s="1581"/>
      <c r="E463" s="1581"/>
      <c r="F463" s="1581"/>
      <c r="G463" s="8"/>
    </row>
    <row r="464" spans="1:7" ht="12.5">
      <c r="A464" s="140"/>
      <c r="B464" s="140"/>
      <c r="C464" s="140"/>
      <c r="D464" s="143"/>
      <c r="E464" s="8"/>
      <c r="F464" s="8"/>
      <c r="G464" s="8"/>
    </row>
    <row r="465" spans="1:7" ht="14.5" customHeight="1">
      <c r="A465" s="413"/>
      <c r="B465" s="949" t="s">
        <v>136</v>
      </c>
      <c r="C465" s="355"/>
      <c r="D465" s="1583" t="s">
        <v>1775</v>
      </c>
      <c r="E465" s="1583"/>
      <c r="F465" s="1583"/>
      <c r="G465" s="8"/>
    </row>
    <row r="466" spans="1:7" ht="12.5">
      <c r="A466" s="140"/>
      <c r="B466" s="140"/>
      <c r="C466" s="140"/>
      <c r="D466" s="1583"/>
      <c r="E466" s="1583"/>
      <c r="F466" s="1583"/>
      <c r="G466" s="8"/>
    </row>
    <row r="467" spans="1:7" ht="12.5">
      <c r="A467" s="140"/>
      <c r="B467" s="140"/>
      <c r="C467" s="140"/>
      <c r="D467" s="1583"/>
      <c r="E467" s="1583"/>
      <c r="F467" s="1583"/>
      <c r="G467" s="8"/>
    </row>
    <row r="468" spans="1:7" ht="12.5">
      <c r="A468" s="991"/>
      <c r="B468" s="991"/>
      <c r="C468" s="991"/>
      <c r="D468" s="989"/>
      <c r="E468" s="989"/>
      <c r="F468" s="989"/>
      <c r="G468" s="8"/>
    </row>
    <row r="469" spans="1:7" ht="13">
      <c r="A469" s="140"/>
      <c r="B469" s="949" t="s">
        <v>136</v>
      </c>
      <c r="C469" s="413"/>
      <c r="D469" s="1587" t="s">
        <v>1934</v>
      </c>
      <c r="E469" s="1581"/>
      <c r="F469" s="1581"/>
      <c r="G469" s="8"/>
    </row>
    <row r="470" spans="1:7" ht="12.5">
      <c r="A470" s="140"/>
      <c r="B470" s="140"/>
      <c r="C470" s="140"/>
      <c r="D470" s="1581"/>
      <c r="E470" s="1581"/>
      <c r="F470" s="1581"/>
      <c r="G470" s="8"/>
    </row>
    <row r="471" spans="1:7" ht="12.5">
      <c r="A471" s="140"/>
      <c r="B471" s="140"/>
      <c r="C471" s="140"/>
      <c r="D471" s="143"/>
      <c r="E471" s="701"/>
      <c r="F471" s="8"/>
      <c r="G471" s="8"/>
    </row>
    <row r="472" spans="1:7" ht="13">
      <c r="A472" s="140"/>
      <c r="B472" s="949" t="s">
        <v>136</v>
      </c>
      <c r="C472" s="413"/>
      <c r="D472" s="1581" t="s">
        <v>1776</v>
      </c>
      <c r="E472" s="1581"/>
      <c r="F472" s="1581"/>
      <c r="G472" s="8"/>
    </row>
    <row r="473" spans="1:7" ht="12.5">
      <c r="A473" s="140"/>
      <c r="B473" s="140"/>
      <c r="C473" s="140"/>
      <c r="D473" s="1581"/>
      <c r="E473" s="1581"/>
      <c r="F473" s="1581"/>
      <c r="G473" s="8"/>
    </row>
    <row r="474" spans="1:7" ht="12.5">
      <c r="A474" s="140"/>
      <c r="B474" s="140"/>
      <c r="C474" s="140"/>
      <c r="D474" s="1581"/>
      <c r="E474" s="1581"/>
      <c r="F474" s="1581"/>
      <c r="G474" s="8"/>
    </row>
    <row r="475" spans="1:7" ht="12.5">
      <c r="A475" s="991"/>
      <c r="B475" s="991"/>
      <c r="C475" s="991"/>
      <c r="D475" s="1581"/>
      <c r="E475" s="1581"/>
      <c r="F475" s="1581"/>
      <c r="G475" s="8"/>
    </row>
    <row r="476" spans="1:7" ht="12.5">
      <c r="A476" s="991"/>
      <c r="B476" s="949" t="s">
        <v>136</v>
      </c>
      <c r="C476" s="991"/>
      <c r="D476" s="1581"/>
      <c r="E476" s="1581"/>
      <c r="F476" s="1581"/>
      <c r="G476" s="8"/>
    </row>
    <row r="477" spans="1:7" ht="12.5">
      <c r="A477" s="991"/>
      <c r="B477" s="991"/>
      <c r="C477" s="991"/>
      <c r="D477" s="1581"/>
      <c r="E477" s="1581"/>
      <c r="F477" s="1581"/>
      <c r="G477" s="8"/>
    </row>
    <row r="478" spans="1:7" ht="12.5">
      <c r="A478" s="991"/>
      <c r="B478" s="991"/>
      <c r="C478" s="991"/>
      <c r="D478" s="1581"/>
      <c r="E478" s="1581"/>
      <c r="F478" s="1581"/>
      <c r="G478" s="8"/>
    </row>
    <row r="479" spans="1:7" ht="12.5">
      <c r="A479" s="991"/>
      <c r="B479" s="949" t="s">
        <v>136</v>
      </c>
      <c r="C479" s="991"/>
      <c r="D479" s="1581"/>
      <c r="E479" s="1581"/>
      <c r="F479" s="1581"/>
      <c r="G479" s="8"/>
    </row>
    <row r="480" spans="1:7" ht="12.5">
      <c r="A480" s="991"/>
      <c r="B480" s="991"/>
      <c r="C480" s="991"/>
      <c r="D480" s="1581"/>
      <c r="E480" s="1581"/>
      <c r="F480" s="1581"/>
      <c r="G480" s="8"/>
    </row>
    <row r="481" spans="1:7" ht="12.5">
      <c r="A481" s="991"/>
      <c r="B481" s="991"/>
      <c r="C481" s="991"/>
      <c r="D481" s="1581"/>
      <c r="E481" s="1581"/>
      <c r="F481" s="1581"/>
      <c r="G481" s="8"/>
    </row>
    <row r="482" spans="1:7" ht="12.5">
      <c r="A482" s="991"/>
      <c r="B482" s="991"/>
      <c r="C482" s="991"/>
      <c r="D482" s="1581"/>
      <c r="E482" s="1581"/>
      <c r="F482" s="1581"/>
      <c r="G482" s="8"/>
    </row>
    <row r="483" spans="1:7" ht="12.5">
      <c r="A483" s="991"/>
      <c r="B483" s="949" t="s">
        <v>136</v>
      </c>
      <c r="C483" s="991"/>
      <c r="D483" s="1581"/>
      <c r="E483" s="1581"/>
      <c r="F483" s="1581"/>
      <c r="G483" s="8"/>
    </row>
    <row r="484" spans="1:7" ht="12.5">
      <c r="A484" s="991"/>
      <c r="B484" s="991"/>
      <c r="C484" s="991"/>
      <c r="D484" s="1581"/>
      <c r="E484" s="1581"/>
      <c r="F484" s="1581"/>
      <c r="G484" s="8"/>
    </row>
    <row r="485" spans="1:7" ht="12.5">
      <c r="A485" s="991"/>
      <c r="B485" s="949" t="s">
        <v>136</v>
      </c>
      <c r="C485" s="991"/>
      <c r="D485" s="1581"/>
      <c r="E485" s="1581"/>
      <c r="F485" s="1581"/>
      <c r="G485" s="8"/>
    </row>
    <row r="486" spans="1:7" ht="12.5">
      <c r="A486" s="991"/>
      <c r="B486" s="14"/>
      <c r="C486" s="991"/>
      <c r="D486" s="1581"/>
      <c r="E486" s="1581"/>
      <c r="F486" s="1581"/>
      <c r="G486" s="8"/>
    </row>
    <row r="487" spans="1:7" ht="13.75" customHeight="1">
      <c r="A487" s="140"/>
      <c r="B487" s="992" t="s">
        <v>136</v>
      </c>
      <c r="C487" s="140"/>
      <c r="D487" s="1581" t="s">
        <v>1777</v>
      </c>
      <c r="E487" s="1581"/>
      <c r="F487" s="1581"/>
      <c r="G487" s="8"/>
    </row>
    <row r="488" spans="1:7" ht="12.5">
      <c r="A488" s="140"/>
      <c r="B488" s="140"/>
      <c r="C488" s="140"/>
      <c r="D488" s="1581"/>
      <c r="E488" s="1581"/>
      <c r="F488" s="1581"/>
      <c r="G488" s="8"/>
    </row>
    <row r="489" spans="1:7" ht="12.5">
      <c r="A489" s="140"/>
      <c r="B489" s="140"/>
      <c r="C489" s="140"/>
      <c r="D489" s="1581"/>
      <c r="E489" s="1581"/>
      <c r="F489" s="1581"/>
      <c r="G489" s="8"/>
    </row>
    <row r="490" spans="1:7" ht="12.5">
      <c r="A490" s="140"/>
      <c r="B490" s="140"/>
      <c r="C490" s="140"/>
      <c r="D490" s="1581"/>
      <c r="E490" s="1581"/>
      <c r="F490" s="1581"/>
      <c r="G490" s="8"/>
    </row>
    <row r="491" spans="1:7" ht="12.5">
      <c r="A491" s="140"/>
      <c r="B491" s="140"/>
      <c r="C491" s="140"/>
      <c r="D491" s="1581"/>
      <c r="E491" s="1581"/>
      <c r="F491" s="1581"/>
      <c r="G491" s="8"/>
    </row>
    <row r="492" spans="1:7" ht="12.5">
      <c r="A492" s="140"/>
      <c r="B492" s="140"/>
      <c r="C492" s="140"/>
      <c r="D492" s="143"/>
      <c r="E492" s="8"/>
      <c r="F492" s="8"/>
      <c r="G492" s="8"/>
    </row>
    <row r="493" spans="1:7" ht="12.5">
      <c r="A493" s="140"/>
      <c r="B493" s="949" t="s">
        <v>136</v>
      </c>
      <c r="C493" s="140"/>
      <c r="D493" s="1593" t="s">
        <v>1577</v>
      </c>
      <c r="E493" s="1593"/>
      <c r="F493" s="1593"/>
      <c r="G493" s="8"/>
    </row>
    <row r="494" spans="1:7" ht="12.5">
      <c r="A494" s="143"/>
      <c r="B494" s="143"/>
      <c r="C494" s="14"/>
      <c r="D494" s="282"/>
      <c r="E494" s="282"/>
      <c r="F494" s="282"/>
    </row>
    <row r="495" spans="1:7" ht="13">
      <c r="A495" s="1599" t="s">
        <v>1533</v>
      </c>
      <c r="B495" s="1599"/>
      <c r="C495" s="1599"/>
      <c r="D495" s="1599"/>
      <c r="E495" s="1599"/>
      <c r="F495" s="1599"/>
      <c r="G495" s="1599"/>
    </row>
    <row r="496" spans="1:7" ht="12.5">
      <c r="A496" s="143"/>
      <c r="B496" s="143"/>
      <c r="C496" s="14"/>
      <c r="D496" s="282"/>
      <c r="E496" s="282"/>
      <c r="F496" s="282"/>
    </row>
    <row r="497" spans="1:7" ht="13">
      <c r="A497" s="140"/>
      <c r="B497" s="140"/>
      <c r="C497" s="14"/>
      <c r="D497" s="1594" t="s">
        <v>1238</v>
      </c>
      <c r="E497" s="1594"/>
      <c r="F497" s="1594"/>
    </row>
    <row r="498" spans="1:7" ht="12.5">
      <c r="D498" s="1595" t="s">
        <v>1570</v>
      </c>
      <c r="E498" s="1595"/>
      <c r="F498" s="1595"/>
    </row>
    <row r="499" spans="1:7" ht="13">
      <c r="A499" s="413"/>
      <c r="B499" s="413"/>
      <c r="C499" s="14"/>
      <c r="D499" s="667"/>
      <c r="E499" s="282"/>
      <c r="F499" s="282"/>
    </row>
    <row r="500" spans="1:7" ht="13">
      <c r="A500" s="413"/>
      <c r="B500" s="949" t="s">
        <v>1530</v>
      </c>
      <c r="C500" s="14"/>
      <c r="D500" s="1596" t="s">
        <v>1778</v>
      </c>
      <c r="E500" s="1596"/>
      <c r="F500" s="1596"/>
    </row>
    <row r="501" spans="1:7" ht="13">
      <c r="A501" s="413"/>
      <c r="B501" s="413"/>
      <c r="C501" s="14"/>
      <c r="D501" s="1596"/>
      <c r="E501" s="1596"/>
      <c r="F501" s="1596"/>
    </row>
    <row r="502" spans="1:7" ht="13">
      <c r="A502" s="413"/>
      <c r="B502" s="413"/>
      <c r="C502" s="14"/>
      <c r="D502" s="287"/>
      <c r="E502" s="282"/>
      <c r="F502" s="282"/>
    </row>
    <row r="503" spans="1:7" ht="13">
      <c r="A503" s="570"/>
      <c r="B503" s="949" t="s">
        <v>1530</v>
      </c>
      <c r="D503" s="1597" t="s">
        <v>2138</v>
      </c>
      <c r="E503" s="1598"/>
      <c r="F503" s="1598"/>
    </row>
    <row r="504" spans="1:7" ht="13">
      <c r="A504" s="570"/>
      <c r="B504" s="570"/>
      <c r="D504" s="1598"/>
      <c r="E504" s="1598"/>
      <c r="F504" s="1598"/>
    </row>
    <row r="505" spans="1:7" ht="13">
      <c r="A505" s="570"/>
      <c r="B505" s="570"/>
      <c r="D505" s="1598"/>
      <c r="E505" s="1598"/>
      <c r="F505" s="1598"/>
      <c r="G505" s="2"/>
    </row>
    <row r="506" spans="1:7" ht="13">
      <c r="A506" s="570"/>
      <c r="B506" s="570"/>
      <c r="D506" s="1598"/>
      <c r="E506" s="1598"/>
      <c r="F506" s="1598"/>
      <c r="G506" s="2"/>
    </row>
    <row r="507" spans="1:7" ht="12.5">
      <c r="A507" s="150"/>
      <c r="B507" s="150"/>
      <c r="G507" s="2"/>
    </row>
    <row r="508" spans="1:7" ht="13">
      <c r="A508" s="413"/>
      <c r="B508" s="949" t="s">
        <v>1530</v>
      </c>
      <c r="C508" s="14"/>
      <c r="D508" s="1585" t="s">
        <v>1780</v>
      </c>
      <c r="E508" s="1585"/>
      <c r="F508" s="1585"/>
      <c r="G508" s="2"/>
    </row>
    <row r="509" spans="1:7" ht="12.5">
      <c r="A509" s="140"/>
      <c r="B509" s="140"/>
      <c r="C509" s="14"/>
      <c r="D509" s="287"/>
      <c r="E509" s="282"/>
      <c r="F509" s="282"/>
      <c r="G509" s="2"/>
    </row>
    <row r="510" spans="1:7" ht="13">
      <c r="A510" s="413"/>
      <c r="B510" s="949" t="s">
        <v>1530</v>
      </c>
      <c r="C510" s="14"/>
      <c r="D510" s="1583" t="s">
        <v>1781</v>
      </c>
      <c r="E510" s="1583"/>
      <c r="F510" s="1583"/>
      <c r="G510" s="2"/>
    </row>
    <row r="511" spans="1:7" ht="12.5">
      <c r="A511" s="140"/>
      <c r="B511" s="140"/>
      <c r="C511" s="14"/>
      <c r="D511" s="1583"/>
      <c r="E511" s="1583"/>
      <c r="F511" s="1583"/>
      <c r="G511" s="2"/>
    </row>
    <row r="512" spans="1:7" ht="12.5">
      <c r="A512" s="140"/>
      <c r="B512" s="140"/>
      <c r="C512" s="14"/>
      <c r="D512" s="702"/>
      <c r="E512" s="282"/>
      <c r="F512" s="282"/>
      <c r="G512" s="2"/>
    </row>
    <row r="513" spans="1:7" ht="13">
      <c r="A513" s="413"/>
      <c r="B513" s="949" t="s">
        <v>136</v>
      </c>
      <c r="C513" s="14"/>
      <c r="D513" s="1585" t="s">
        <v>1779</v>
      </c>
      <c r="E513" s="1585"/>
      <c r="F513" s="1585"/>
    </row>
    <row r="514" spans="1:7" ht="13">
      <c r="A514" s="413"/>
      <c r="B514" s="413"/>
      <c r="C514" s="14"/>
      <c r="D514" s="287"/>
      <c r="E514" s="282"/>
      <c r="F514" s="282"/>
    </row>
    <row r="515" spans="1:7" ht="13">
      <c r="A515" s="1599" t="s">
        <v>1534</v>
      </c>
      <c r="B515" s="1599"/>
      <c r="C515" s="1599"/>
      <c r="D515" s="1599"/>
      <c r="E515" s="1599"/>
      <c r="F515" s="1599"/>
      <c r="G515" s="1599"/>
    </row>
    <row r="516" spans="1:7" ht="12" customHeight="1">
      <c r="A516" s="413"/>
      <c r="B516" s="413"/>
      <c r="C516" s="14"/>
      <c r="D516" s="287"/>
      <c r="E516" s="282"/>
      <c r="F516" s="282"/>
    </row>
    <row r="517" spans="1:7" ht="13">
      <c r="A517" s="150"/>
      <c r="B517" s="949" t="s">
        <v>1530</v>
      </c>
      <c r="C517" s="406"/>
      <c r="D517" s="1641" t="s">
        <v>1709</v>
      </c>
      <c r="E517" s="1641"/>
      <c r="F517" s="1641"/>
    </row>
    <row r="518" spans="1:7" ht="13">
      <c r="A518" s="150"/>
      <c r="C518" s="406"/>
      <c r="D518" s="1641"/>
      <c r="E518" s="1641"/>
      <c r="F518" s="1641"/>
    </row>
    <row r="519" spans="1:7" ht="13">
      <c r="A519" s="573"/>
      <c r="B519" s="573"/>
      <c r="C519" s="571"/>
      <c r="D519" s="1641"/>
      <c r="E519" s="1641"/>
      <c r="F519" s="1641"/>
    </row>
    <row r="520" spans="1:7" ht="13">
      <c r="A520" s="573"/>
      <c r="B520" s="573"/>
      <c r="C520" s="571"/>
      <c r="D520" s="1641"/>
      <c r="E520" s="1641"/>
      <c r="F520" s="1641"/>
    </row>
    <row r="521" spans="1:7" ht="13">
      <c r="A521" s="573"/>
      <c r="B521" s="573"/>
      <c r="C521" s="571"/>
    </row>
    <row r="522" spans="1:7" ht="13">
      <c r="A522" s="413"/>
      <c r="B522" s="949" t="s">
        <v>136</v>
      </c>
      <c r="C522" s="322"/>
      <c r="D522" s="1617" t="s">
        <v>1725</v>
      </c>
      <c r="E522" s="1617"/>
      <c r="F522" s="1617"/>
      <c r="G522" s="2"/>
    </row>
    <row r="523" spans="1:7" ht="12.5">
      <c r="A523" s="355"/>
      <c r="B523" s="355"/>
      <c r="C523" s="322"/>
      <c r="D523" s="1617"/>
      <c r="E523" s="1617"/>
      <c r="F523" s="1617"/>
      <c r="G523" s="2"/>
    </row>
    <row r="524" spans="1:7" ht="13">
      <c r="A524" s="573"/>
      <c r="B524" s="573"/>
      <c r="C524" s="571"/>
      <c r="D524" s="403"/>
      <c r="G524" s="2"/>
    </row>
    <row r="525" spans="1:7" ht="13">
      <c r="A525" s="570"/>
      <c r="B525" s="949" t="s">
        <v>136</v>
      </c>
      <c r="D525" s="1642" t="s">
        <v>1699</v>
      </c>
      <c r="E525" s="1642"/>
      <c r="F525" s="1642"/>
      <c r="G525" s="2"/>
    </row>
    <row r="526" spans="1:7" ht="13">
      <c r="A526" s="570"/>
      <c r="B526" s="570"/>
      <c r="D526" s="1642"/>
      <c r="E526" s="1642"/>
      <c r="F526" s="1642"/>
      <c r="G526" s="2"/>
    </row>
    <row r="527" spans="1:7" ht="12.5">
      <c r="A527" s="150"/>
      <c r="B527" s="150"/>
      <c r="D527" s="1642"/>
      <c r="E527" s="1642"/>
      <c r="F527" s="1642"/>
    </row>
    <row r="528" spans="1:7" ht="12" customHeight="1">
      <c r="A528" s="701"/>
      <c r="B528" s="701"/>
      <c r="C528" s="405"/>
      <c r="E528" s="403"/>
    </row>
    <row r="529" spans="1:7" ht="13">
      <c r="A529" s="1599" t="s">
        <v>1546</v>
      </c>
      <c r="B529" s="1599"/>
      <c r="C529" s="1599"/>
      <c r="D529" s="1599"/>
      <c r="E529" s="1599"/>
      <c r="F529" s="1599"/>
      <c r="G529" s="1599"/>
    </row>
    <row r="530" spans="1:7" ht="12" customHeight="1">
      <c r="A530" s="143"/>
      <c r="B530" s="143"/>
      <c r="C530" s="322"/>
      <c r="D530" s="282"/>
      <c r="E530" s="287"/>
      <c r="F530" s="282"/>
    </row>
    <row r="531" spans="1:7" ht="13">
      <c r="A531" s="140"/>
      <c r="B531" s="140"/>
      <c r="C531" s="322"/>
      <c r="D531" s="1590" t="s">
        <v>1578</v>
      </c>
      <c r="E531" s="1590"/>
      <c r="F531" s="1590"/>
    </row>
    <row r="532" spans="1:7" ht="12.5">
      <c r="A532" s="140"/>
      <c r="B532" s="140"/>
      <c r="C532" s="14"/>
      <c r="D532" s="282"/>
      <c r="E532" s="282"/>
      <c r="F532" s="282"/>
    </row>
    <row r="533" spans="1:7" ht="12.5">
      <c r="A533" s="140"/>
      <c r="B533" s="949" t="s">
        <v>136</v>
      </c>
      <c r="C533" s="14"/>
      <c r="D533" s="1583" t="s">
        <v>1744</v>
      </c>
      <c r="E533" s="1583"/>
      <c r="F533" s="1583"/>
    </row>
    <row r="534" spans="1:7" ht="12.5">
      <c r="A534" s="140"/>
      <c r="B534" s="140"/>
      <c r="C534" s="14"/>
      <c r="D534" s="1583"/>
      <c r="E534" s="1583"/>
      <c r="F534" s="1583"/>
    </row>
    <row r="535" spans="1:7" ht="12" customHeight="1">
      <c r="A535" s="355"/>
      <c r="B535" s="355"/>
      <c r="C535" s="322"/>
      <c r="D535" s="287"/>
      <c r="E535" s="282"/>
      <c r="F535" s="282"/>
    </row>
    <row r="536" spans="1:7" ht="13">
      <c r="A536" s="413"/>
      <c r="B536" s="949" t="s">
        <v>136</v>
      </c>
      <c r="C536" s="322"/>
      <c r="D536" s="1583" t="s">
        <v>1745</v>
      </c>
      <c r="E536" s="1583"/>
      <c r="F536" s="1583"/>
    </row>
    <row r="537" spans="1:7" ht="12.5">
      <c r="A537" s="355"/>
      <c r="B537" s="355"/>
      <c r="C537" s="322"/>
      <c r="D537" s="1583"/>
      <c r="E537" s="1583"/>
      <c r="F537" s="1583"/>
    </row>
    <row r="538" spans="1:7" ht="12" customHeight="1">
      <c r="A538" s="355"/>
      <c r="B538" s="355"/>
      <c r="C538" s="322"/>
      <c r="D538" s="287"/>
      <c r="E538" s="282"/>
      <c r="F538" s="282"/>
    </row>
    <row r="539" spans="1:7" ht="13">
      <c r="A539" s="1634" t="s">
        <v>1587</v>
      </c>
      <c r="B539" s="1634"/>
      <c r="C539" s="1634"/>
      <c r="D539" s="1634"/>
      <c r="E539" s="1634"/>
      <c r="F539" s="1634"/>
      <c r="G539" s="1634"/>
    </row>
    <row r="540" spans="1:7" ht="12" customHeight="1">
      <c r="A540" s="143"/>
      <c r="B540" s="143"/>
      <c r="C540" s="322"/>
      <c r="D540" s="287"/>
      <c r="E540" s="282"/>
      <c r="F540" s="282"/>
    </row>
    <row r="541" spans="1:7" ht="13">
      <c r="A541" s="140"/>
      <c r="B541" s="140"/>
      <c r="C541" s="322"/>
      <c r="D541" s="1590" t="s">
        <v>181</v>
      </c>
      <c r="E541" s="1590"/>
      <c r="F541" s="1590"/>
    </row>
    <row r="542" spans="1:7" ht="12.5">
      <c r="A542" s="140"/>
      <c r="B542" s="140"/>
      <c r="C542" s="322"/>
      <c r="D542" s="1585" t="s">
        <v>1721</v>
      </c>
      <c r="E542" s="1585"/>
      <c r="F542" s="1585"/>
    </row>
    <row r="543" spans="1:7" ht="12.5">
      <c r="A543" s="140"/>
      <c r="B543" s="140"/>
      <c r="C543" s="322"/>
      <c r="D543" s="287"/>
      <c r="E543" s="287"/>
      <c r="F543" s="287"/>
    </row>
    <row r="544" spans="1:7" ht="13">
      <c r="A544" s="413"/>
      <c r="B544" s="949" t="s">
        <v>1530</v>
      </c>
      <c r="C544" s="322"/>
      <c r="D544" s="1585" t="s">
        <v>1231</v>
      </c>
      <c r="E544" s="1585"/>
      <c r="F544" s="1585"/>
    </row>
    <row r="545" spans="1:7" ht="12" customHeight="1">
      <c r="A545" s="355"/>
      <c r="B545" s="355"/>
      <c r="C545" s="322"/>
      <c r="D545" s="287"/>
      <c r="E545" s="2"/>
      <c r="F545" s="2"/>
      <c r="G545" s="2"/>
    </row>
    <row r="546" spans="1:7" ht="14.5" customHeight="1">
      <c r="A546" s="413"/>
      <c r="B546" s="949" t="s">
        <v>1530</v>
      </c>
      <c r="C546" s="322"/>
      <c r="D546" s="1583" t="s">
        <v>1720</v>
      </c>
      <c r="E546" s="1583"/>
      <c r="F546" s="1583"/>
      <c r="G546" s="2"/>
    </row>
    <row r="547" spans="1:7" ht="12.5">
      <c r="A547" s="355"/>
      <c r="B547" s="355"/>
      <c r="C547" s="322"/>
      <c r="D547" s="1583"/>
      <c r="E547" s="1583"/>
      <c r="F547" s="1583"/>
      <c r="G547" s="2"/>
    </row>
    <row r="548" spans="1:7" ht="12" customHeight="1">
      <c r="A548" s="355"/>
      <c r="B548" s="355"/>
      <c r="C548" s="322"/>
      <c r="D548" s="287"/>
      <c r="E548" s="2"/>
      <c r="F548" s="2"/>
      <c r="G548" s="2"/>
    </row>
    <row r="549" spans="1:7" ht="13">
      <c r="A549" s="413"/>
      <c r="B549" s="949" t="s">
        <v>1530</v>
      </c>
      <c r="C549" s="322"/>
      <c r="D549" s="1583" t="s">
        <v>1722</v>
      </c>
      <c r="E549" s="1583"/>
      <c r="F549" s="1583"/>
      <c r="G549" s="2"/>
    </row>
    <row r="550" spans="1:7" ht="12.5">
      <c r="A550" s="355"/>
      <c r="B550" s="355"/>
      <c r="C550" s="322"/>
      <c r="D550" s="1583"/>
      <c r="E550" s="1583"/>
      <c r="F550" s="1583"/>
      <c r="G550" s="2"/>
    </row>
    <row r="551" spans="1:7" ht="12" customHeight="1">
      <c r="A551" s="355"/>
      <c r="B551" s="355"/>
      <c r="C551" s="322"/>
      <c r="D551" s="287"/>
      <c r="E551" s="2"/>
      <c r="F551" s="2"/>
      <c r="G551" s="2"/>
    </row>
    <row r="552" spans="1:7" ht="13">
      <c r="A552" s="413"/>
      <c r="B552" s="949" t="s">
        <v>1530</v>
      </c>
      <c r="C552" s="322"/>
      <c r="D552" s="1583" t="s">
        <v>1723</v>
      </c>
      <c r="E552" s="1583"/>
      <c r="F552" s="1583"/>
      <c r="G552" s="2"/>
    </row>
    <row r="553" spans="1:7" ht="12.5">
      <c r="A553" s="355"/>
      <c r="B553" s="355"/>
      <c r="C553" s="322"/>
      <c r="D553" s="1583"/>
      <c r="E553" s="1583"/>
      <c r="F553" s="1583"/>
      <c r="G553" s="2"/>
    </row>
    <row r="554" spans="1:7" ht="12" customHeight="1">
      <c r="A554" s="355"/>
      <c r="B554" s="355"/>
      <c r="C554" s="322"/>
      <c r="D554" s="287"/>
      <c r="E554" s="2"/>
      <c r="F554" s="2"/>
      <c r="G554" s="2"/>
    </row>
    <row r="555" spans="1:7" ht="14.5" customHeight="1">
      <c r="A555" s="413"/>
      <c r="B555" s="949" t="s">
        <v>1530</v>
      </c>
      <c r="C555" s="322"/>
      <c r="D555" s="1583" t="s">
        <v>1724</v>
      </c>
      <c r="E555" s="1583"/>
      <c r="F555" s="1583"/>
      <c r="G555" s="2"/>
    </row>
    <row r="556" spans="1:7" ht="12.5">
      <c r="A556" s="355"/>
      <c r="B556" s="355"/>
      <c r="C556" s="322"/>
      <c r="D556" s="1583"/>
      <c r="E556" s="1583"/>
      <c r="F556" s="1583"/>
      <c r="G556" s="2"/>
    </row>
    <row r="557" spans="1:7" ht="12.5">
      <c r="A557" s="355"/>
      <c r="B557" s="355"/>
      <c r="C557" s="322"/>
      <c r="D557" s="1583"/>
      <c r="E557" s="1583"/>
      <c r="F557" s="1583"/>
      <c r="G557" s="2"/>
    </row>
    <row r="558" spans="1:7" ht="12.5">
      <c r="A558" s="355"/>
      <c r="B558" s="355"/>
      <c r="C558" s="322"/>
      <c r="D558" s="287"/>
      <c r="E558" s="2"/>
      <c r="F558" s="2"/>
      <c r="G558" s="2"/>
    </row>
    <row r="559" spans="1:7" ht="13">
      <c r="A559" s="413"/>
      <c r="B559" s="949" t="s">
        <v>136</v>
      </c>
      <c r="C559" s="322"/>
      <c r="D559" s="1616" t="s">
        <v>1836</v>
      </c>
      <c r="E559" s="1617"/>
      <c r="F559" s="1617"/>
      <c r="G559" s="2"/>
    </row>
    <row r="560" spans="1:7" ht="12.5">
      <c r="A560" s="355"/>
      <c r="B560" s="355"/>
      <c r="C560" s="322"/>
      <c r="D560" s="1617"/>
      <c r="E560" s="1617"/>
      <c r="F560" s="1617"/>
      <c r="G560" s="2"/>
    </row>
    <row r="561" spans="1:7" ht="12.5">
      <c r="A561" s="355"/>
      <c r="B561" s="355"/>
      <c r="C561" s="322"/>
      <c r="D561" s="701"/>
      <c r="E561" s="282"/>
      <c r="F561" s="282"/>
      <c r="G561" s="2"/>
    </row>
    <row r="562" spans="1:7" ht="13">
      <c r="A562" s="413"/>
      <c r="B562" s="949" t="s">
        <v>136</v>
      </c>
      <c r="C562" s="322"/>
      <c r="D562" s="1583" t="s">
        <v>1726</v>
      </c>
      <c r="E562" s="1583"/>
      <c r="F562" s="1583"/>
      <c r="G562" s="2"/>
    </row>
    <row r="563" spans="1:7" ht="12.5">
      <c r="A563" s="355"/>
      <c r="B563" s="355"/>
      <c r="C563" s="322"/>
      <c r="D563" s="1583"/>
      <c r="E563" s="1583"/>
      <c r="F563" s="1583"/>
      <c r="G563" s="2"/>
    </row>
    <row r="564" spans="1:7" ht="12" customHeight="1">
      <c r="A564" s="355"/>
      <c r="B564" s="355"/>
      <c r="C564" s="322"/>
      <c r="D564" s="287"/>
      <c r="E564" s="282"/>
      <c r="F564" s="282"/>
      <c r="G564" s="2"/>
    </row>
    <row r="565" spans="1:7" ht="13">
      <c r="A565" s="413"/>
      <c r="B565" s="949" t="s">
        <v>1530</v>
      </c>
      <c r="C565" s="322"/>
      <c r="D565" s="1585" t="s">
        <v>1727</v>
      </c>
      <c r="E565" s="1585"/>
      <c r="F565" s="1585"/>
      <c r="G565" s="2"/>
    </row>
    <row r="566" spans="1:7" ht="13">
      <c r="A566" s="413"/>
      <c r="B566" s="413"/>
      <c r="C566" s="322"/>
      <c r="D566" s="1585" t="s">
        <v>1134</v>
      </c>
      <c r="E566" s="1585"/>
      <c r="F566" s="1585"/>
      <c r="G566" s="2"/>
    </row>
    <row r="567" spans="1:7" ht="13">
      <c r="A567" s="410"/>
      <c r="B567" s="410"/>
      <c r="C567" s="405"/>
      <c r="D567" s="282"/>
      <c r="E567" s="1609" t="s">
        <v>1728</v>
      </c>
      <c r="F567" s="1609"/>
      <c r="G567" s="2"/>
    </row>
    <row r="568" spans="1:7" ht="15" customHeight="1">
      <c r="A568" s="410"/>
      <c r="B568" s="410"/>
      <c r="C568" s="405"/>
      <c r="D568" s="1628" t="s">
        <v>1977</v>
      </c>
      <c r="E568" s="1627"/>
      <c r="F568" s="1627"/>
      <c r="G568" s="2"/>
    </row>
    <row r="569" spans="1:7" ht="13">
      <c r="A569" s="410"/>
      <c r="B569" s="410"/>
      <c r="C569" s="405"/>
      <c r="D569" s="1627"/>
      <c r="E569" s="1627"/>
      <c r="F569" s="1627"/>
      <c r="G569" s="2"/>
    </row>
    <row r="570" spans="1:7" ht="13">
      <c r="A570" s="410"/>
      <c r="B570" s="410"/>
      <c r="C570" s="405"/>
      <c r="D570" s="1627"/>
      <c r="E570" s="1627"/>
      <c r="F570" s="1627"/>
      <c r="G570" s="2"/>
    </row>
    <row r="571" spans="1:7" ht="13">
      <c r="A571" s="410"/>
      <c r="B571" s="410"/>
      <c r="C571" s="405"/>
      <c r="D571" s="1627"/>
      <c r="E571" s="1627"/>
      <c r="F571" s="1627"/>
      <c r="G571" s="2"/>
    </row>
    <row r="572" spans="1:7" ht="13">
      <c r="A572" s="410"/>
      <c r="B572" s="410"/>
      <c r="C572" s="405"/>
      <c r="D572" s="1627"/>
      <c r="E572" s="1627"/>
      <c r="F572" s="1627"/>
      <c r="G572" s="2"/>
    </row>
    <row r="573" spans="1:7" ht="13">
      <c r="A573" s="410"/>
      <c r="B573" s="410"/>
      <c r="C573" s="405"/>
      <c r="D573" s="1627"/>
      <c r="E573" s="1627"/>
      <c r="F573" s="1627"/>
      <c r="G573" s="2"/>
    </row>
    <row r="574" spans="1:7" ht="13">
      <c r="A574" s="410"/>
      <c r="B574" s="410"/>
      <c r="C574" s="405"/>
      <c r="D574" s="1627"/>
      <c r="E574" s="1627"/>
      <c r="F574" s="1627"/>
      <c r="G574" s="2"/>
    </row>
    <row r="575" spans="1:7" ht="13">
      <c r="A575" s="410"/>
      <c r="B575" s="410"/>
      <c r="C575" s="405"/>
      <c r="D575" s="1627"/>
      <c r="E575" s="1627"/>
      <c r="F575" s="1627"/>
      <c r="G575" s="2"/>
    </row>
    <row r="576" spans="1:7" ht="13">
      <c r="A576" s="410"/>
      <c r="B576" s="410"/>
      <c r="C576" s="405"/>
      <c r="D576" s="1627"/>
      <c r="E576" s="1627"/>
      <c r="F576" s="1627"/>
      <c r="G576" s="2"/>
    </row>
    <row r="577" spans="1:7" ht="13">
      <c r="A577" s="410"/>
      <c r="B577" s="410"/>
      <c r="C577" s="405"/>
      <c r="D577" s="953"/>
      <c r="E577" s="953"/>
      <c r="F577" s="953"/>
      <c r="G577" s="2"/>
    </row>
    <row r="578" spans="1:7" ht="13">
      <c r="A578" s="570"/>
      <c r="B578" s="949" t="s">
        <v>1530</v>
      </c>
      <c r="C578" s="405"/>
      <c r="D578" s="1645" t="s">
        <v>1729</v>
      </c>
      <c r="E578" s="1645"/>
      <c r="F578" s="1645"/>
      <c r="G578" s="2"/>
    </row>
    <row r="579" spans="1:7" ht="13.75" customHeight="1">
      <c r="A579" s="140"/>
      <c r="B579" s="140"/>
      <c r="C579" s="322"/>
      <c r="D579" s="1583" t="s">
        <v>1730</v>
      </c>
      <c r="E579" s="1583"/>
      <c r="F579" s="1583"/>
      <c r="G579" s="2"/>
    </row>
    <row r="580" spans="1:7" ht="12.5">
      <c r="A580" s="355"/>
      <c r="B580" s="355"/>
      <c r="C580" s="322"/>
      <c r="D580" s="1583"/>
      <c r="E580" s="1583"/>
      <c r="F580" s="1583"/>
      <c r="G580" s="2"/>
    </row>
    <row r="581" spans="1:7" ht="12.5">
      <c r="A581" s="355"/>
      <c r="B581" s="355"/>
      <c r="C581" s="322"/>
      <c r="D581" s="1583"/>
      <c r="E581" s="1583"/>
      <c r="F581" s="1583"/>
      <c r="G581" s="2"/>
    </row>
    <row r="582" spans="1:7" ht="12.5">
      <c r="A582" s="355"/>
      <c r="B582" s="355"/>
      <c r="C582" s="322"/>
      <c r="D582" s="979"/>
      <c r="E582" s="979"/>
      <c r="F582" s="979"/>
      <c r="G582" s="2"/>
    </row>
    <row r="583" spans="1:7" ht="14.5" customHeight="1">
      <c r="A583" s="413"/>
      <c r="B583" s="949" t="s">
        <v>1530</v>
      </c>
      <c r="C583" s="322"/>
      <c r="D583" s="1583" t="s">
        <v>1731</v>
      </c>
      <c r="E583" s="1583"/>
      <c r="F583" s="1583"/>
      <c r="G583" s="2"/>
    </row>
    <row r="584" spans="1:7" ht="13">
      <c r="A584" s="413"/>
      <c r="B584" s="413"/>
      <c r="C584" s="322"/>
      <c r="D584" s="1583"/>
      <c r="E584" s="1583"/>
      <c r="F584" s="1583"/>
      <c r="G584" s="2"/>
    </row>
    <row r="585" spans="1:7" ht="13">
      <c r="A585" s="413"/>
      <c r="B585" s="413"/>
      <c r="C585" s="322"/>
      <c r="D585" s="1583"/>
      <c r="E585" s="1583"/>
      <c r="F585" s="1583"/>
    </row>
    <row r="586" spans="1:7" ht="12.5">
      <c r="A586" s="355"/>
      <c r="B586" s="355"/>
      <c r="C586" s="322"/>
      <c r="D586" s="1583"/>
      <c r="E586" s="1583"/>
      <c r="F586" s="1583"/>
    </row>
    <row r="587" spans="1:7" ht="12.5">
      <c r="A587" s="355"/>
      <c r="B587" s="355"/>
      <c r="C587" s="322"/>
      <c r="D587" s="287"/>
      <c r="E587" s="282"/>
      <c r="F587" s="282"/>
    </row>
    <row r="588" spans="1:7" ht="13">
      <c r="A588" s="415"/>
      <c r="B588" s="949" t="s">
        <v>136</v>
      </c>
      <c r="C588" s="299"/>
      <c r="D588" s="1591" t="s">
        <v>2048</v>
      </c>
      <c r="E588" s="1592"/>
      <c r="F588" s="1592"/>
      <c r="G588" s="288"/>
    </row>
    <row r="589" spans="1:7" ht="13">
      <c r="A589" s="415"/>
      <c r="B589" s="415"/>
      <c r="C589" s="299"/>
      <c r="D589" s="282"/>
      <c r="E589" s="282"/>
      <c r="F589" s="282"/>
      <c r="G589" s="288"/>
    </row>
    <row r="590" spans="1:7" ht="12.5">
      <c r="A590" s="355"/>
      <c r="B590" s="355"/>
      <c r="C590" s="322"/>
      <c r="D590" s="958"/>
      <c r="E590" s="958"/>
      <c r="F590" s="958"/>
    </row>
    <row r="591" spans="1:7" ht="13">
      <c r="A591" s="1599" t="s">
        <v>1548</v>
      </c>
      <c r="B591" s="1599"/>
      <c r="C591" s="1599"/>
      <c r="D591" s="1599"/>
      <c r="E591" s="1599"/>
      <c r="F591" s="1599"/>
      <c r="G591" s="1599"/>
    </row>
    <row r="592" spans="1:7" ht="12.5">
      <c r="A592" s="355"/>
      <c r="B592" s="355"/>
      <c r="C592" s="322"/>
      <c r="D592" s="282"/>
      <c r="E592" s="282"/>
      <c r="F592" s="282"/>
    </row>
    <row r="593" spans="1:7" ht="13">
      <c r="A593" s="140"/>
      <c r="B593" s="140"/>
      <c r="C593" s="298"/>
      <c r="D593" s="1618" t="s">
        <v>182</v>
      </c>
      <c r="E593" s="1618"/>
      <c r="F593" s="1618"/>
      <c r="G593" s="288"/>
    </row>
    <row r="594" spans="1:7" ht="13">
      <c r="A594" s="140"/>
      <c r="B594" s="140"/>
      <c r="C594" s="298"/>
      <c r="D594" s="1648" t="s">
        <v>1608</v>
      </c>
      <c r="E594" s="1648"/>
      <c r="F594" s="1648"/>
      <c r="G594" s="288"/>
    </row>
    <row r="595" spans="1:7" ht="13">
      <c r="A595" s="140"/>
      <c r="B595" s="140"/>
      <c r="C595" s="298"/>
      <c r="D595" s="593"/>
      <c r="E595" s="282"/>
      <c r="F595" s="282"/>
      <c r="G595" s="288"/>
    </row>
    <row r="596" spans="1:7" ht="13">
      <c r="A596" s="413"/>
      <c r="B596" s="949" t="s">
        <v>1530</v>
      </c>
      <c r="C596" s="14"/>
      <c r="D596" s="1648" t="s">
        <v>1232</v>
      </c>
      <c r="E596" s="1648"/>
      <c r="F596" s="1648"/>
      <c r="G596" s="288"/>
    </row>
    <row r="597" spans="1:7" ht="13">
      <c r="A597" s="33"/>
      <c r="B597" s="33"/>
      <c r="C597" s="14"/>
      <c r="D597" s="597"/>
      <c r="E597" s="282"/>
      <c r="F597" s="282"/>
      <c r="G597" s="288"/>
    </row>
    <row r="598" spans="1:7" ht="14.5" customHeight="1">
      <c r="A598" s="413"/>
      <c r="B598" s="949" t="s">
        <v>1530</v>
      </c>
      <c r="C598" s="14"/>
      <c r="D598" s="1598" t="s">
        <v>1610</v>
      </c>
      <c r="E598" s="1598"/>
      <c r="F598" s="1598"/>
      <c r="G598" s="288"/>
    </row>
    <row r="599" spans="1:7" ht="14.5" customHeight="1">
      <c r="A599" s="413"/>
      <c r="B599" s="413"/>
      <c r="C599" s="14"/>
      <c r="D599" s="1598"/>
      <c r="E599" s="1598"/>
      <c r="F599" s="1598"/>
      <c r="G599" s="288"/>
    </row>
    <row r="600" spans="1:7" ht="13">
      <c r="A600" s="413"/>
      <c r="B600" s="413"/>
      <c r="C600" s="14"/>
      <c r="D600" s="1598"/>
      <c r="E600" s="1598"/>
      <c r="F600" s="1598"/>
      <c r="G600" s="288"/>
    </row>
    <row r="601" spans="1:7" ht="13">
      <c r="A601" s="413"/>
      <c r="B601" s="413"/>
      <c r="C601" s="14"/>
      <c r="D601" s="957"/>
      <c r="E601" s="957"/>
      <c r="F601" s="957"/>
      <c r="G601" s="288"/>
    </row>
    <row r="602" spans="1:7" ht="13">
      <c r="A602" s="413"/>
      <c r="B602" s="949" t="s">
        <v>136</v>
      </c>
      <c r="C602" s="14"/>
      <c r="D602" s="1598" t="s">
        <v>1609</v>
      </c>
      <c r="E602" s="1598"/>
      <c r="F602" s="1598"/>
      <c r="G602" s="288"/>
    </row>
    <row r="603" spans="1:7" ht="13">
      <c r="A603" s="413"/>
      <c r="B603" s="413"/>
      <c r="C603" s="14"/>
      <c r="D603" s="1598"/>
      <c r="E603" s="1598"/>
      <c r="F603" s="1598"/>
      <c r="G603" s="288"/>
    </row>
    <row r="604" spans="1:7" ht="13">
      <c r="A604" s="413"/>
      <c r="B604" s="413"/>
      <c r="C604" s="14"/>
      <c r="D604" s="1598"/>
      <c r="E604" s="1598"/>
      <c r="F604" s="1598"/>
      <c r="G604" s="288"/>
    </row>
    <row r="605" spans="1:7" ht="13">
      <c r="A605" s="413"/>
      <c r="B605" s="413"/>
      <c r="C605" s="14"/>
      <c r="D605" s="1598"/>
      <c r="E605" s="1598"/>
      <c r="F605" s="1598"/>
      <c r="G605" s="288"/>
    </row>
    <row r="606" spans="1:7" ht="13">
      <c r="A606" s="413"/>
      <c r="B606" s="413"/>
      <c r="C606" s="14"/>
      <c r="D606" s="593"/>
      <c r="E606" s="282"/>
      <c r="F606" s="282"/>
      <c r="G606" s="288"/>
    </row>
    <row r="607" spans="1:7" ht="13">
      <c r="A607" s="570"/>
      <c r="B607" s="949" t="s">
        <v>1530</v>
      </c>
      <c r="D607" s="1598" t="s">
        <v>1611</v>
      </c>
      <c r="E607" s="1598"/>
      <c r="F607" s="1598"/>
      <c r="G607" s="288"/>
    </row>
    <row r="608" spans="1:7" ht="13">
      <c r="A608" s="570"/>
      <c r="B608" s="570"/>
      <c r="D608" s="1598"/>
      <c r="E608" s="1598"/>
      <c r="F608" s="1598"/>
      <c r="G608" s="288"/>
    </row>
    <row r="609" spans="1:7" ht="13">
      <c r="A609" s="413"/>
      <c r="B609" s="413"/>
      <c r="C609" s="14"/>
      <c r="D609" s="593"/>
      <c r="E609" s="282"/>
      <c r="F609" s="282"/>
      <c r="G609" s="288"/>
    </row>
    <row r="610" spans="1:7" ht="14.5" customHeight="1">
      <c r="A610" s="413"/>
      <c r="B610" s="949" t="s">
        <v>136</v>
      </c>
      <c r="C610" s="14"/>
      <c r="D610" s="1648" t="s">
        <v>1617</v>
      </c>
      <c r="E610" s="1648"/>
      <c r="F610" s="1648"/>
      <c r="G610" s="288"/>
    </row>
    <row r="611" spans="1:7" ht="13">
      <c r="A611" s="413"/>
      <c r="B611" s="413"/>
      <c r="C611" s="14"/>
      <c r="D611" s="1648"/>
      <c r="E611" s="1648"/>
      <c r="F611" s="1648"/>
      <c r="G611" s="288"/>
    </row>
    <row r="612" spans="1:7" ht="13">
      <c r="A612" s="413"/>
      <c r="B612" s="413"/>
      <c r="C612" s="14"/>
      <c r="D612" s="593"/>
      <c r="E612" s="282"/>
      <c r="F612" s="282"/>
      <c r="G612" s="288"/>
    </row>
    <row r="613" spans="1:7" ht="13">
      <c r="A613" s="413"/>
      <c r="B613" s="949" t="s">
        <v>1530</v>
      </c>
      <c r="C613" s="14"/>
      <c r="D613" s="1648" t="s">
        <v>1233</v>
      </c>
      <c r="E613" s="1648"/>
      <c r="F613" s="1648"/>
      <c r="G613" s="288"/>
    </row>
    <row r="614" spans="1:7" ht="13">
      <c r="A614" s="33"/>
      <c r="B614" s="33"/>
      <c r="C614" s="14"/>
      <c r="D614" s="282"/>
      <c r="E614" s="282"/>
      <c r="F614" s="282"/>
      <c r="G614" s="288"/>
    </row>
    <row r="615" spans="1:7" ht="13">
      <c r="A615" s="1599" t="s">
        <v>1550</v>
      </c>
      <c r="B615" s="1599"/>
      <c r="C615" s="1599"/>
      <c r="D615" s="1599"/>
      <c r="E615" s="1599"/>
      <c r="F615" s="1599"/>
      <c r="G615" s="1599"/>
    </row>
    <row r="616" spans="1:7" ht="13">
      <c r="A616" s="107"/>
      <c r="B616" s="107"/>
      <c r="C616" s="302"/>
      <c r="D616" s="283"/>
      <c r="E616" s="283"/>
      <c r="F616" s="283"/>
      <c r="G616" s="288"/>
    </row>
    <row r="617" spans="1:7" ht="13">
      <c r="A617" s="140"/>
      <c r="B617" s="140"/>
      <c r="C617" s="299"/>
      <c r="D617" s="1649" t="s">
        <v>1549</v>
      </c>
      <c r="E617" s="1649"/>
      <c r="F617" s="1649"/>
    </row>
    <row r="618" spans="1:7" ht="13">
      <c r="A618" s="140"/>
      <c r="B618" s="140"/>
      <c r="C618" s="299"/>
      <c r="D618" s="1592" t="s">
        <v>1579</v>
      </c>
      <c r="E618" s="1592"/>
      <c r="F618" s="1592"/>
    </row>
    <row r="619" spans="1:7" ht="13">
      <c r="A619" s="983"/>
      <c r="B619" s="983"/>
      <c r="C619" s="299"/>
      <c r="D619" s="981"/>
      <c r="E619" s="981"/>
      <c r="F619" s="981"/>
    </row>
    <row r="620" spans="1:7" ht="13">
      <c r="A620" s="570"/>
      <c r="B620" s="949" t="s">
        <v>1530</v>
      </c>
      <c r="D620" s="1664" t="s">
        <v>1746</v>
      </c>
      <c r="E620" s="1664"/>
      <c r="F620" s="1664"/>
    </row>
    <row r="621" spans="1:7" ht="12.5">
      <c r="A621" s="140"/>
      <c r="B621" s="140"/>
      <c r="C621" s="14"/>
      <c r="D621" s="1664"/>
      <c r="E621" s="1664"/>
      <c r="F621" s="1664"/>
    </row>
    <row r="622" spans="1:7" ht="12.5">
      <c r="A622" s="140"/>
      <c r="B622" s="140"/>
      <c r="C622" s="14"/>
      <c r="D622" s="1664"/>
      <c r="E622" s="1664"/>
      <c r="F622" s="1664"/>
    </row>
    <row r="623" spans="1:7" ht="13">
      <c r="A623" s="107"/>
      <c r="B623" s="107"/>
      <c r="C623" s="302"/>
      <c r="D623" s="283"/>
      <c r="E623" s="283"/>
      <c r="F623" s="283"/>
      <c r="G623" s="288"/>
    </row>
    <row r="624" spans="1:7" ht="12" customHeight="1">
      <c r="A624" s="1599" t="s">
        <v>1552</v>
      </c>
      <c r="B624" s="1599"/>
      <c r="C624" s="1599"/>
      <c r="D624" s="1599"/>
      <c r="E624" s="1599"/>
      <c r="F624" s="1599"/>
      <c r="G624" s="1599"/>
    </row>
    <row r="625" spans="1:7" ht="12.5">
      <c r="A625" s="143"/>
      <c r="B625" s="143"/>
      <c r="C625" s="14"/>
      <c r="D625" s="282"/>
      <c r="E625" s="282"/>
      <c r="F625" s="282"/>
      <c r="G625" s="288"/>
    </row>
    <row r="626" spans="1:7" ht="13">
      <c r="A626" s="140"/>
      <c r="B626" s="140"/>
      <c r="C626" s="303"/>
      <c r="D626" s="1590" t="s">
        <v>1551</v>
      </c>
      <c r="E626" s="1590"/>
      <c r="F626" s="1590"/>
      <c r="G626" s="288"/>
    </row>
    <row r="627" spans="1:7" ht="13">
      <c r="A627" s="415"/>
      <c r="B627" s="415"/>
      <c r="C627" s="299"/>
      <c r="D627" s="1585" t="s">
        <v>1747</v>
      </c>
      <c r="E627" s="1585"/>
      <c r="F627" s="1585"/>
      <c r="G627" s="288"/>
    </row>
    <row r="628" spans="1:7" ht="13">
      <c r="A628" s="415"/>
      <c r="B628" s="415"/>
      <c r="C628" s="299"/>
      <c r="D628" s="282"/>
      <c r="E628" s="282"/>
      <c r="F628" s="282"/>
      <c r="G628" s="288"/>
    </row>
    <row r="629" spans="1:7" ht="13">
      <c r="A629" s="413"/>
      <c r="B629" s="413"/>
      <c r="C629" s="14"/>
      <c r="D629" s="1649" t="s">
        <v>955</v>
      </c>
      <c r="E629" s="1649"/>
      <c r="F629" s="1649"/>
      <c r="G629" s="288"/>
    </row>
    <row r="630" spans="1:7" ht="13">
      <c r="A630" s="413"/>
      <c r="B630" s="949" t="s">
        <v>1530</v>
      </c>
      <c r="C630" s="14"/>
      <c r="D630" s="1592" t="s">
        <v>1748</v>
      </c>
      <c r="E630" s="1592"/>
      <c r="F630" s="1592"/>
      <c r="G630" s="288"/>
    </row>
    <row r="631" spans="1:7" ht="13">
      <c r="A631" s="413"/>
      <c r="B631" s="413"/>
      <c r="C631" s="14"/>
      <c r="D631" s="287"/>
      <c r="E631" s="282"/>
      <c r="F631" s="282"/>
      <c r="G631" s="288"/>
    </row>
    <row r="632" spans="1:7" ht="13">
      <c r="A632" s="413"/>
      <c r="B632" s="949" t="s">
        <v>1530</v>
      </c>
      <c r="C632" s="14"/>
      <c r="D632" s="1583" t="s">
        <v>1749</v>
      </c>
      <c r="E632" s="1583"/>
      <c r="F632" s="1583"/>
      <c r="G632" s="288"/>
    </row>
    <row r="633" spans="1:7" ht="13">
      <c r="A633" s="413"/>
      <c r="B633" s="413"/>
      <c r="C633" s="14"/>
      <c r="D633" s="1583"/>
      <c r="E633" s="1583"/>
      <c r="F633" s="1583"/>
      <c r="G633" s="288"/>
    </row>
    <row r="634" spans="1:7" ht="13">
      <c r="A634" s="413"/>
      <c r="B634" s="413"/>
      <c r="C634" s="14"/>
      <c r="D634" s="287"/>
      <c r="E634" s="282"/>
      <c r="F634" s="282"/>
      <c r="G634" s="288"/>
    </row>
    <row r="635" spans="1:7" ht="13">
      <c r="A635" s="570"/>
      <c r="B635" s="949" t="s">
        <v>136</v>
      </c>
      <c r="D635" s="1628" t="s">
        <v>2192</v>
      </c>
      <c r="E635" s="1628"/>
      <c r="F635" s="1628"/>
      <c r="G635" s="288"/>
    </row>
    <row r="636" spans="1:7" ht="13.75" customHeight="1">
      <c r="D636" s="1628"/>
      <c r="E636" s="1628"/>
      <c r="F636" s="1628"/>
    </row>
    <row r="637" spans="1:7" ht="12.5">
      <c r="A637" s="140"/>
      <c r="B637" s="140"/>
      <c r="C637" s="14"/>
      <c r="D637" s="282"/>
      <c r="E637" s="282"/>
      <c r="F637" s="282"/>
      <c r="G637" s="288"/>
    </row>
    <row r="638" spans="1:7" ht="13">
      <c r="A638" s="413"/>
      <c r="B638" s="949" t="s">
        <v>1530</v>
      </c>
      <c r="C638" s="14"/>
      <c r="D638" s="1592" t="s">
        <v>1750</v>
      </c>
      <c r="E638" s="1592"/>
      <c r="F638" s="1592"/>
      <c r="G638" s="288"/>
    </row>
    <row r="639" spans="1:7" ht="13">
      <c r="A639" s="418"/>
      <c r="B639" s="418"/>
      <c r="C639" s="303"/>
      <c r="D639" s="282"/>
      <c r="E639" s="282"/>
      <c r="F639" s="282"/>
      <c r="G639" s="288"/>
    </row>
    <row r="640" spans="1:7" ht="13">
      <c r="A640" s="1599" t="s">
        <v>1553</v>
      </c>
      <c r="B640" s="1599"/>
      <c r="C640" s="1599"/>
      <c r="D640" s="1599"/>
      <c r="E640" s="1599"/>
      <c r="F640" s="1599"/>
      <c r="G640" s="1599"/>
    </row>
    <row r="641" spans="1:7" ht="13">
      <c r="A641" s="418"/>
      <c r="B641" s="418"/>
      <c r="C641" s="303"/>
      <c r="D641" s="282"/>
      <c r="E641" s="282"/>
      <c r="F641" s="282"/>
      <c r="G641" s="288"/>
    </row>
    <row r="642" spans="1:7" ht="13">
      <c r="A642" s="140"/>
      <c r="B642" s="140"/>
      <c r="C642" s="320"/>
      <c r="D642" s="1669" t="s">
        <v>1580</v>
      </c>
      <c r="E642" s="1669"/>
      <c r="F642" s="1669"/>
      <c r="G642" s="288"/>
    </row>
    <row r="643" spans="1:7" ht="13">
      <c r="A643" s="33"/>
      <c r="B643" s="33"/>
      <c r="C643" s="302"/>
      <c r="D643" s="6"/>
      <c r="E643" s="283"/>
      <c r="F643" s="283"/>
      <c r="G643" s="288"/>
    </row>
    <row r="644" spans="1:7" ht="13">
      <c r="A644" s="413"/>
      <c r="B644" s="949" t="s">
        <v>1530</v>
      </c>
      <c r="C644" s="302"/>
      <c r="D644" s="1670" t="s">
        <v>1751</v>
      </c>
      <c r="E644" s="1670"/>
      <c r="F644" s="1670"/>
      <c r="G644" s="288"/>
    </row>
    <row r="645" spans="1:7" ht="13">
      <c r="A645" s="413"/>
      <c r="B645" s="413"/>
      <c r="C645" s="302"/>
      <c r="D645" s="1670"/>
      <c r="E645" s="1670"/>
      <c r="F645" s="1670"/>
      <c r="G645" s="288"/>
    </row>
    <row r="646" spans="1:7" ht="12.5">
      <c r="A646" s="140"/>
      <c r="B646" s="140"/>
      <c r="C646" s="302"/>
      <c r="D646" s="1670"/>
      <c r="E646" s="1670"/>
      <c r="F646" s="1670"/>
      <c r="G646" s="288"/>
    </row>
    <row r="647" spans="1:7" ht="12.5">
      <c r="A647" s="140"/>
      <c r="B647" s="140"/>
      <c r="C647" s="302"/>
      <c r="D647" s="1670"/>
      <c r="E647" s="1670"/>
      <c r="F647" s="1670"/>
      <c r="G647" s="288"/>
    </row>
    <row r="648" spans="1:7" ht="12.5">
      <c r="A648" s="140"/>
      <c r="B648" s="140"/>
      <c r="C648" s="302"/>
      <c r="D648" s="1670"/>
      <c r="E648" s="1670"/>
      <c r="F648" s="1670"/>
      <c r="G648" s="288"/>
    </row>
    <row r="649" spans="1:7" ht="12.5">
      <c r="A649" s="140"/>
      <c r="B649" s="140"/>
      <c r="C649" s="302"/>
      <c r="D649" s="1670"/>
      <c r="E649" s="1670"/>
      <c r="F649" s="1670"/>
      <c r="G649" s="288"/>
    </row>
    <row r="650" spans="1:7" ht="12.5">
      <c r="A650" s="140"/>
      <c r="B650" s="140"/>
      <c r="C650" s="302"/>
      <c r="D650" s="282"/>
      <c r="E650" s="283"/>
      <c r="F650" s="283"/>
      <c r="G650" s="288"/>
    </row>
    <row r="651" spans="1:7" ht="13">
      <c r="A651" s="485"/>
      <c r="B651" s="949" t="s">
        <v>136</v>
      </c>
      <c r="C651" s="302"/>
      <c r="D651" s="1670" t="s">
        <v>1752</v>
      </c>
      <c r="E651" s="1670"/>
      <c r="F651" s="1670"/>
      <c r="G651" s="284"/>
    </row>
    <row r="652" spans="1:7" ht="13">
      <c r="A652" s="485"/>
      <c r="B652" s="485"/>
      <c r="C652" s="302"/>
      <c r="D652" s="1670"/>
      <c r="E652" s="1670"/>
      <c r="F652" s="1670"/>
      <c r="G652" s="284"/>
    </row>
    <row r="653" spans="1:7" ht="13">
      <c r="A653" s="485"/>
      <c r="B653" s="485"/>
      <c r="C653" s="302"/>
      <c r="D653" s="287"/>
      <c r="E653" s="286"/>
      <c r="F653" s="286"/>
      <c r="G653" s="284"/>
    </row>
    <row r="654" spans="1:7" ht="13.75" customHeight="1">
      <c r="A654" s="485"/>
      <c r="B654" s="949" t="s">
        <v>136</v>
      </c>
      <c r="C654" s="302"/>
      <c r="D654" s="1638" t="s">
        <v>2049</v>
      </c>
      <c r="E654" s="1638"/>
      <c r="F654" s="1638"/>
      <c r="G654" s="284"/>
    </row>
    <row r="655" spans="1:7" ht="13">
      <c r="A655" s="485"/>
      <c r="B655" s="485"/>
      <c r="C655" s="302"/>
      <c r="D655" s="1638"/>
      <c r="E655" s="1638"/>
      <c r="F655" s="1638"/>
      <c r="G655" s="284"/>
    </row>
    <row r="656" spans="1:7" ht="13">
      <c r="A656" s="570"/>
      <c r="B656" s="570"/>
      <c r="C656" s="285"/>
      <c r="D656" s="987"/>
      <c r="E656" s="987"/>
      <c r="F656" s="987"/>
      <c r="G656" s="284"/>
    </row>
    <row r="657" spans="1:9" ht="13">
      <c r="A657" s="413"/>
      <c r="B657" s="949" t="s">
        <v>136</v>
      </c>
      <c r="C657" s="322"/>
      <c r="D657" s="1671" t="s">
        <v>1753</v>
      </c>
      <c r="E657" s="1671"/>
      <c r="F657" s="1671"/>
      <c r="G657" s="284"/>
    </row>
    <row r="658" spans="1:9" ht="12.5">
      <c r="A658" s="143"/>
      <c r="B658" s="143"/>
      <c r="C658" s="322"/>
      <c r="D658" s="286"/>
      <c r="E658" s="286"/>
      <c r="F658" s="286"/>
      <c r="G658" s="284"/>
      <c r="H658" s="404"/>
      <c r="I658" s="404"/>
    </row>
    <row r="659" spans="1:9" ht="13">
      <c r="A659" s="1599" t="s">
        <v>1555</v>
      </c>
      <c r="B659" s="1599"/>
      <c r="C659" s="1599"/>
      <c r="D659" s="1599"/>
      <c r="E659" s="1599"/>
      <c r="F659" s="1599"/>
      <c r="G659" s="1599"/>
    </row>
    <row r="660" spans="1:9" ht="12.5">
      <c r="A660" s="143"/>
      <c r="B660" s="143"/>
      <c r="C660" s="322"/>
      <c r="D660" s="286"/>
      <c r="E660" s="286"/>
      <c r="F660" s="286"/>
      <c r="G660" s="284"/>
    </row>
    <row r="661" spans="1:9" ht="13">
      <c r="A661" s="140"/>
      <c r="B661" s="140"/>
      <c r="C661" s="303"/>
      <c r="D661" s="1672" t="s">
        <v>1554</v>
      </c>
      <c r="E661" s="1672"/>
      <c r="F661" s="1672"/>
      <c r="G661" s="284"/>
    </row>
    <row r="662" spans="1:9" ht="13">
      <c r="A662" s="415"/>
      <c r="B662" s="415"/>
      <c r="C662" s="299"/>
      <c r="D662" s="1658" t="s">
        <v>1581</v>
      </c>
      <c r="E662" s="1658"/>
      <c r="F662" s="1658"/>
      <c r="G662" s="284"/>
    </row>
    <row r="663" spans="1:9" ht="13">
      <c r="A663" s="415"/>
      <c r="B663" s="415"/>
      <c r="C663" s="299"/>
      <c r="D663" s="993"/>
      <c r="E663" s="993"/>
      <c r="F663" s="993"/>
      <c r="G663" s="284"/>
    </row>
    <row r="664" spans="1:9" ht="14.5" customHeight="1">
      <c r="A664" s="413"/>
      <c r="B664" s="949" t="s">
        <v>1530</v>
      </c>
      <c r="C664" s="322"/>
      <c r="D664" s="1559" t="s">
        <v>2140</v>
      </c>
      <c r="E664" s="1559"/>
      <c r="F664" s="1559"/>
      <c r="G664" s="284"/>
    </row>
    <row r="665" spans="1:9" ht="13">
      <c r="A665" s="413"/>
      <c r="B665" s="413"/>
      <c r="C665" s="322"/>
      <c r="D665" s="1559"/>
      <c r="E665" s="1559"/>
      <c r="F665" s="1559"/>
      <c r="G665" s="284"/>
    </row>
    <row r="666" spans="1:9" ht="13">
      <c r="A666" s="413"/>
      <c r="B666" s="413"/>
      <c r="C666" s="322"/>
      <c r="D666" s="1559"/>
      <c r="E666" s="1559"/>
      <c r="F666" s="1559"/>
      <c r="G666" s="284"/>
    </row>
    <row r="667" spans="1:9" ht="13">
      <c r="A667" s="413"/>
      <c r="B667" s="413"/>
      <c r="C667" s="322"/>
      <c r="D667" s="1559"/>
      <c r="E667" s="1559"/>
      <c r="F667" s="1559"/>
      <c r="G667" s="284"/>
    </row>
    <row r="668" spans="1:9" ht="13">
      <c r="A668" s="413"/>
      <c r="B668" s="413"/>
      <c r="C668" s="322"/>
      <c r="D668" s="1559"/>
      <c r="E668" s="1559"/>
      <c r="F668" s="1559"/>
      <c r="G668" s="284"/>
    </row>
    <row r="669" spans="1:9" ht="13">
      <c r="A669" s="413"/>
      <c r="B669" s="413"/>
      <c r="C669" s="322"/>
      <c r="D669" s="1559"/>
      <c r="E669" s="1559"/>
      <c r="F669" s="1559"/>
      <c r="G669" s="284"/>
    </row>
    <row r="670" spans="1:9" ht="13" hidden="1">
      <c r="A670" s="570"/>
      <c r="B670" s="570"/>
      <c r="C670" s="405"/>
      <c r="D670" s="710"/>
      <c r="F670" s="284"/>
      <c r="G670" s="284"/>
    </row>
    <row r="671" spans="1:9" ht="13" hidden="1">
      <c r="A671" s="570"/>
      <c r="B671" s="949" t="s">
        <v>86</v>
      </c>
      <c r="C671" s="405"/>
      <c r="D671" s="1646" t="s">
        <v>1606</v>
      </c>
      <c r="E671" s="1646"/>
      <c r="F671" s="1646"/>
      <c r="G671" s="284"/>
    </row>
    <row r="672" spans="1:9" ht="13" hidden="1">
      <c r="A672" s="570"/>
      <c r="B672" s="570"/>
      <c r="C672" s="405"/>
      <c r="D672" s="1666" t="s">
        <v>1782</v>
      </c>
      <c r="E672" s="1666"/>
      <c r="F672" s="1666"/>
      <c r="G672" s="284"/>
    </row>
    <row r="673" spans="1:7" ht="13" hidden="1">
      <c r="A673" s="570"/>
      <c r="B673" s="570"/>
      <c r="C673" s="405"/>
      <c r="D673" s="1666"/>
      <c r="E673" s="1666"/>
      <c r="F673" s="1666"/>
      <c r="G673" s="284"/>
    </row>
    <row r="674" spans="1:7" ht="13" hidden="1">
      <c r="A674" s="570"/>
      <c r="B674" s="570"/>
      <c r="C674" s="405"/>
      <c r="D674" s="1666"/>
      <c r="E674" s="1666"/>
      <c r="F674" s="1666"/>
      <c r="G674" s="284"/>
    </row>
    <row r="675" spans="1:7" ht="13" hidden="1">
      <c r="A675" s="570"/>
      <c r="B675" s="570"/>
      <c r="C675" s="405"/>
      <c r="D675" s="1666"/>
      <c r="E675" s="1666"/>
      <c r="F675" s="1666"/>
      <c r="G675" s="284"/>
    </row>
    <row r="676" spans="1:7" ht="13" hidden="1">
      <c r="A676" s="570"/>
      <c r="B676" s="570"/>
      <c r="C676" s="405"/>
      <c r="D676" s="1666"/>
      <c r="E676" s="1666"/>
      <c r="F676" s="1666"/>
      <c r="G676" s="284"/>
    </row>
    <row r="677" spans="1:7" ht="13" hidden="1">
      <c r="A677" s="570"/>
      <c r="B677" s="570"/>
      <c r="C677" s="405"/>
      <c r="D677" s="1673" t="s">
        <v>2139</v>
      </c>
      <c r="E677" s="1673"/>
      <c r="F677" s="1673"/>
      <c r="G677" s="284"/>
    </row>
    <row r="678" spans="1:7" ht="12.5">
      <c r="A678" s="143"/>
      <c r="B678" s="143"/>
      <c r="C678" s="322"/>
      <c r="D678" s="286"/>
      <c r="E678" s="286"/>
      <c r="F678" s="286"/>
      <c r="G678" s="284"/>
    </row>
    <row r="679" spans="1:7" ht="13">
      <c r="A679" s="1599" t="s">
        <v>1556</v>
      </c>
      <c r="B679" s="1599"/>
      <c r="C679" s="1599"/>
      <c r="D679" s="1599"/>
      <c r="E679" s="1599"/>
      <c r="F679" s="1599"/>
      <c r="G679" s="1599"/>
    </row>
    <row r="680" spans="1:7" ht="12.5">
      <c r="A680" s="143"/>
      <c r="B680" s="143"/>
      <c r="C680" s="322"/>
      <c r="D680" s="286"/>
      <c r="E680" s="286"/>
      <c r="F680" s="286"/>
      <c r="G680" s="284"/>
    </row>
    <row r="681" spans="1:7" ht="13">
      <c r="A681" s="140"/>
      <c r="B681" s="140"/>
      <c r="C681" s="303"/>
      <c r="D681" s="1590" t="s">
        <v>855</v>
      </c>
      <c r="E681" s="1590"/>
      <c r="F681" s="1590"/>
      <c r="G681" s="284"/>
    </row>
    <row r="682" spans="1:7" ht="13">
      <c r="A682" s="418"/>
      <c r="B682" s="418"/>
      <c r="C682" s="303"/>
      <c r="D682" s="1590" t="s">
        <v>956</v>
      </c>
      <c r="E682" s="1590"/>
      <c r="F682" s="1590"/>
      <c r="G682" s="284"/>
    </row>
    <row r="683" spans="1:7" ht="13">
      <c r="A683" s="415"/>
      <c r="B683" s="415"/>
      <c r="C683" s="299"/>
      <c r="D683" s="1585" t="s">
        <v>1708</v>
      </c>
      <c r="E683" s="1585"/>
      <c r="F683" s="1585"/>
      <c r="G683" s="288"/>
    </row>
    <row r="684" spans="1:7" ht="14.25" customHeight="1">
      <c r="A684" s="415"/>
      <c r="B684" s="415"/>
      <c r="C684" s="299"/>
      <c r="D684" s="282"/>
      <c r="E684" s="282"/>
      <c r="F684" s="282"/>
      <c r="G684" s="288"/>
    </row>
    <row r="685" spans="1:7" ht="13">
      <c r="A685" s="413"/>
      <c r="B685" s="949" t="s">
        <v>1530</v>
      </c>
      <c r="C685" s="299"/>
      <c r="D685" s="1585" t="s">
        <v>1234</v>
      </c>
      <c r="E685" s="1585"/>
      <c r="F685" s="1585"/>
      <c r="G685" s="288"/>
    </row>
    <row r="686" spans="1:7" ht="13">
      <c r="A686" s="415"/>
      <c r="B686" s="415"/>
      <c r="C686" s="299"/>
      <c r="D686" s="1585" t="s">
        <v>1255</v>
      </c>
      <c r="E686" s="1585"/>
      <c r="F686" s="1585"/>
      <c r="G686" s="288"/>
    </row>
    <row r="687" spans="1:7" ht="13">
      <c r="A687" s="415"/>
      <c r="B687" s="415"/>
      <c r="C687" s="299"/>
      <c r="D687" s="282"/>
      <c r="E687" s="1653" t="s">
        <v>1713</v>
      </c>
      <c r="F687" s="1653"/>
      <c r="G687" s="288"/>
    </row>
    <row r="688" spans="1:7" ht="13">
      <c r="A688" s="415"/>
      <c r="B688" s="415"/>
      <c r="C688" s="299"/>
      <c r="D688" s="282"/>
      <c r="E688" s="1653"/>
      <c r="F688" s="1653"/>
      <c r="G688" s="288"/>
    </row>
    <row r="689" spans="1:7" ht="13">
      <c r="A689" s="415"/>
      <c r="B689" s="415"/>
      <c r="C689" s="299"/>
      <c r="D689" s="332"/>
      <c r="E689" s="332"/>
      <c r="F689" s="332"/>
      <c r="G689" s="288"/>
    </row>
    <row r="690" spans="1:7" ht="13">
      <c r="A690" s="413"/>
      <c r="B690" s="949" t="s">
        <v>136</v>
      </c>
      <c r="C690" s="299"/>
      <c r="D690" s="1583" t="s">
        <v>1710</v>
      </c>
      <c r="E690" s="1583"/>
      <c r="F690" s="1583"/>
      <c r="G690" s="288"/>
    </row>
    <row r="691" spans="1:7" ht="13">
      <c r="A691" s="33"/>
      <c r="B691" s="33"/>
      <c r="C691" s="299"/>
      <c r="D691" s="1583"/>
      <c r="E691" s="1583"/>
      <c r="F691" s="1583"/>
      <c r="G691" s="288"/>
    </row>
    <row r="692" spans="1:7" ht="13">
      <c r="A692" s="415"/>
      <c r="B692" s="415"/>
      <c r="C692" s="299"/>
      <c r="D692" s="1583"/>
      <c r="E692" s="1583"/>
      <c r="F692" s="1583"/>
      <c r="G692" s="288"/>
    </row>
    <row r="693" spans="1:7" ht="13">
      <c r="A693" s="415"/>
      <c r="B693" s="415"/>
      <c r="C693" s="299"/>
      <c r="D693" s="282"/>
      <c r="E693" s="282"/>
      <c r="F693" s="282"/>
      <c r="G693" s="288"/>
    </row>
    <row r="694" spans="1:7" ht="13">
      <c r="A694" s="413"/>
      <c r="B694" s="949" t="s">
        <v>1530</v>
      </c>
      <c r="C694" s="299"/>
      <c r="D694" s="1585" t="s">
        <v>1299</v>
      </c>
      <c r="E694" s="1585"/>
      <c r="F694" s="1585"/>
      <c r="G694" s="288"/>
    </row>
    <row r="695" spans="1:7" ht="13">
      <c r="A695" s="413"/>
      <c r="B695" s="413"/>
      <c r="C695" s="299"/>
      <c r="D695" s="1585" t="s">
        <v>1255</v>
      </c>
      <c r="E695" s="1585"/>
      <c r="F695" s="1585"/>
      <c r="G695" s="288"/>
    </row>
    <row r="696" spans="1:7" ht="13">
      <c r="A696" s="415"/>
      <c r="B696" s="415"/>
      <c r="C696" s="299"/>
      <c r="D696" s="282"/>
      <c r="E696" s="1609" t="s">
        <v>1711</v>
      </c>
      <c r="F696" s="1609"/>
      <c r="G696" s="288"/>
    </row>
    <row r="697" spans="1:7" ht="13">
      <c r="A697" s="415"/>
      <c r="B697" s="415"/>
      <c r="C697" s="299"/>
      <c r="D697" s="6"/>
      <c r="E697" s="282"/>
      <c r="F697" s="282"/>
      <c r="G697" s="288"/>
    </row>
    <row r="698" spans="1:7" ht="13">
      <c r="A698" s="413"/>
      <c r="B698" s="949" t="s">
        <v>1530</v>
      </c>
      <c r="C698" s="299"/>
      <c r="D698" s="1617" t="s">
        <v>1712</v>
      </c>
      <c r="E698" s="1617"/>
      <c r="F698" s="1617"/>
      <c r="G698" s="288"/>
    </row>
    <row r="699" spans="1:7" ht="13">
      <c r="A699" s="415"/>
      <c r="B699" s="415"/>
      <c r="C699" s="299"/>
      <c r="D699" s="1617"/>
      <c r="E699" s="1617"/>
      <c r="F699" s="1617"/>
      <c r="G699" s="288"/>
    </row>
    <row r="700" spans="1:7" ht="13">
      <c r="A700" s="415"/>
      <c r="B700" s="415"/>
      <c r="C700" s="299"/>
      <c r="D700" s="1617"/>
      <c r="E700" s="1617"/>
      <c r="F700" s="1617"/>
      <c r="G700" s="288"/>
    </row>
    <row r="701" spans="1:7" ht="13">
      <c r="A701" s="415"/>
      <c r="B701" s="415"/>
      <c r="C701" s="299"/>
      <c r="D701" s="1617"/>
      <c r="E701" s="1617"/>
      <c r="F701" s="1617"/>
      <c r="G701" s="288"/>
    </row>
    <row r="702" spans="1:7" ht="13">
      <c r="A702" s="415"/>
      <c r="B702" s="415"/>
      <c r="C702" s="299"/>
      <c r="D702" s="1617"/>
      <c r="E702" s="1617"/>
      <c r="F702" s="1617"/>
      <c r="G702" s="288"/>
    </row>
    <row r="703" spans="1:7" ht="13">
      <c r="A703" s="415"/>
      <c r="B703" s="415"/>
      <c r="C703" s="299"/>
      <c r="D703" s="1617"/>
      <c r="E703" s="1617"/>
      <c r="F703" s="1617"/>
      <c r="G703" s="288"/>
    </row>
    <row r="704" spans="1:7" ht="13">
      <c r="A704" s="415"/>
      <c r="B704" s="415"/>
      <c r="C704" s="299"/>
      <c r="D704" s="1617"/>
      <c r="E704" s="1617"/>
      <c r="F704" s="1617"/>
      <c r="G704" s="288"/>
    </row>
    <row r="705" spans="1:7" ht="13">
      <c r="A705" s="415"/>
      <c r="B705" s="949" t="s">
        <v>136</v>
      </c>
      <c r="C705" s="299"/>
      <c r="D705" s="1616" t="s">
        <v>1954</v>
      </c>
      <c r="E705" s="1617"/>
      <c r="F705" s="1617"/>
      <c r="G705" s="288"/>
    </row>
    <row r="706" spans="1:7" ht="13">
      <c r="A706" s="415"/>
      <c r="B706" s="415"/>
      <c r="C706" s="299"/>
      <c r="D706" s="1617"/>
      <c r="E706" s="1617"/>
      <c r="F706" s="1617"/>
      <c r="G706" s="288"/>
    </row>
    <row r="707" spans="1:7" ht="13">
      <c r="A707" s="415"/>
      <c r="B707" s="415"/>
      <c r="C707" s="299"/>
      <c r="D707" s="136"/>
      <c r="E707" s="282"/>
      <c r="F707" s="282"/>
      <c r="G707" s="288"/>
    </row>
    <row r="708" spans="1:7" ht="14.5" customHeight="1">
      <c r="A708" s="413"/>
      <c r="B708" s="949" t="s">
        <v>136</v>
      </c>
      <c r="C708" s="299"/>
      <c r="D708" s="1617" t="s">
        <v>1714</v>
      </c>
      <c r="E708" s="1617"/>
      <c r="F708" s="1617"/>
      <c r="G708" s="288"/>
    </row>
    <row r="709" spans="1:7" ht="13">
      <c r="A709" s="415"/>
      <c r="B709" s="415"/>
      <c r="C709" s="299"/>
      <c r="D709" s="1617"/>
      <c r="E709" s="1617"/>
      <c r="F709" s="1617"/>
      <c r="G709" s="288"/>
    </row>
    <row r="710" spans="1:7" ht="13">
      <c r="A710" s="415"/>
      <c r="B710" s="415"/>
      <c r="C710" s="299"/>
      <c r="D710" s="1617"/>
      <c r="E710" s="1617"/>
      <c r="F710" s="1617"/>
      <c r="G710" s="288"/>
    </row>
    <row r="711" spans="1:7" ht="13">
      <c r="A711" s="415"/>
      <c r="B711" s="415"/>
      <c r="C711" s="299"/>
      <c r="D711" s="1617"/>
      <c r="E711" s="1617"/>
      <c r="F711" s="1617"/>
      <c r="G711" s="288"/>
    </row>
    <row r="712" spans="1:7" ht="13">
      <c r="A712" s="415"/>
      <c r="B712" s="415"/>
      <c r="C712" s="299"/>
      <c r="D712" s="1617"/>
      <c r="E712" s="1617"/>
      <c r="F712" s="1617"/>
      <c r="G712" s="288"/>
    </row>
    <row r="713" spans="1:7" ht="13">
      <c r="A713" s="415"/>
      <c r="B713" s="415"/>
      <c r="C713" s="299"/>
      <c r="D713" s="1617"/>
      <c r="E713" s="1617"/>
      <c r="F713" s="1617"/>
      <c r="G713" s="288"/>
    </row>
    <row r="714" spans="1:7" ht="13">
      <c r="A714" s="415"/>
      <c r="B714" s="415"/>
      <c r="C714" s="299"/>
      <c r="D714" s="1617"/>
      <c r="E714" s="1617"/>
      <c r="F714" s="1617"/>
      <c r="G714" s="288"/>
    </row>
    <row r="715" spans="1:7" ht="13">
      <c r="A715" s="415"/>
      <c r="B715" s="415"/>
      <c r="C715" s="299"/>
      <c r="D715" s="1617"/>
      <c r="E715" s="1617"/>
      <c r="F715" s="1617"/>
      <c r="G715" s="288"/>
    </row>
    <row r="716" spans="1:7" ht="13">
      <c r="A716" s="415"/>
      <c r="B716" s="415"/>
      <c r="C716" s="299"/>
      <c r="D716" s="1617"/>
      <c r="E716" s="1617"/>
      <c r="F716" s="1617"/>
      <c r="G716" s="288"/>
    </row>
    <row r="717" spans="1:7" ht="13">
      <c r="A717" s="415"/>
      <c r="B717" s="415"/>
      <c r="C717" s="299"/>
      <c r="D717" s="1617"/>
      <c r="E717" s="1617"/>
      <c r="F717" s="1617"/>
      <c r="G717" s="288"/>
    </row>
    <row r="718" spans="1:7" ht="13">
      <c r="A718" s="415"/>
      <c r="B718" s="415"/>
      <c r="C718" s="299"/>
      <c r="D718" s="1617"/>
      <c r="E718" s="1617"/>
      <c r="F718" s="1617"/>
      <c r="G718" s="288"/>
    </row>
    <row r="719" spans="1:7" ht="13">
      <c r="A719" s="415"/>
      <c r="B719" s="415"/>
      <c r="C719" s="299"/>
      <c r="D719" s="1617"/>
      <c r="E719" s="1617"/>
      <c r="F719" s="1617"/>
      <c r="G719" s="288"/>
    </row>
    <row r="720" spans="1:7" ht="13">
      <c r="A720" s="415"/>
      <c r="B720" s="415"/>
      <c r="C720" s="299"/>
      <c r="D720" s="1617"/>
      <c r="E720" s="1617"/>
      <c r="F720" s="1617"/>
      <c r="G720" s="288"/>
    </row>
    <row r="721" spans="1:9" s="50" customFormat="1" ht="13">
      <c r="A721" s="415"/>
      <c r="B721" s="949" t="s">
        <v>1530</v>
      </c>
      <c r="C721" s="415"/>
      <c r="D721" s="1617" t="s">
        <v>1718</v>
      </c>
      <c r="E721" s="1617"/>
      <c r="F721" s="1617"/>
      <c r="G721" s="71"/>
      <c r="H721" s="885"/>
      <c r="I721" s="1085"/>
    </row>
    <row r="722" spans="1:9" s="50" customFormat="1" ht="13">
      <c r="A722" s="415"/>
      <c r="B722" s="415"/>
      <c r="C722" s="415"/>
      <c r="D722" s="1617"/>
      <c r="E722" s="1617"/>
      <c r="F722" s="1617"/>
      <c r="G722" s="71"/>
      <c r="H722" s="885"/>
      <c r="I722" s="1085"/>
    </row>
    <row r="723" spans="1:9" s="50" customFormat="1" ht="13">
      <c r="A723" s="415"/>
      <c r="B723" s="415"/>
      <c r="C723" s="415"/>
      <c r="D723" s="977"/>
      <c r="E723" s="977"/>
      <c r="F723" s="977"/>
      <c r="G723" s="71"/>
      <c r="H723" s="885"/>
      <c r="I723" s="1085"/>
    </row>
    <row r="724" spans="1:9" s="50" customFormat="1" ht="13">
      <c r="A724" s="415"/>
      <c r="B724" s="949" t="s">
        <v>1530</v>
      </c>
      <c r="C724" s="415"/>
      <c r="D724" s="1617" t="s">
        <v>1719</v>
      </c>
      <c r="E724" s="1617"/>
      <c r="F724" s="1617"/>
      <c r="G724" s="71"/>
      <c r="H724" s="885"/>
      <c r="I724" s="1085"/>
    </row>
    <row r="725" spans="1:9" s="50" customFormat="1" ht="13">
      <c r="A725" s="415"/>
      <c r="B725" s="415"/>
      <c r="C725" s="415"/>
      <c r="D725" s="1617"/>
      <c r="E725" s="1617"/>
      <c r="F725" s="1617"/>
      <c r="G725" s="71"/>
      <c r="H725" s="885"/>
      <c r="I725" s="1085"/>
    </row>
    <row r="726" spans="1:9" s="50" customFormat="1" ht="13">
      <c r="A726" s="415"/>
      <c r="B726" s="415"/>
      <c r="C726" s="415"/>
      <c r="D726" s="1617"/>
      <c r="E726" s="1617"/>
      <c r="F726" s="1617"/>
      <c r="G726" s="71"/>
      <c r="H726" s="885"/>
      <c r="I726" s="1085"/>
    </row>
    <row r="727" spans="1:9" s="50" customFormat="1" ht="13">
      <c r="A727" s="415"/>
      <c r="B727" s="415"/>
      <c r="C727" s="415"/>
      <c r="D727" s="977"/>
      <c r="E727" s="977"/>
      <c r="F727" s="977"/>
      <c r="G727" s="71"/>
      <c r="H727" s="885"/>
      <c r="I727" s="1085"/>
    </row>
    <row r="728" spans="1:9" ht="14.5" customHeight="1">
      <c r="A728" s="413"/>
      <c r="B728" s="949" t="s">
        <v>1530</v>
      </c>
      <c r="C728" s="299"/>
      <c r="D728" s="1616" t="s">
        <v>2193</v>
      </c>
      <c r="E728" s="1617"/>
      <c r="F728" s="1617"/>
      <c r="G728" s="288"/>
    </row>
    <row r="729" spans="1:9" ht="13">
      <c r="A729" s="415"/>
      <c r="B729" s="415"/>
      <c r="C729" s="299"/>
      <c r="D729" s="1617"/>
      <c r="E729" s="1617"/>
      <c r="F729" s="1617"/>
      <c r="G729" s="288"/>
    </row>
    <row r="730" spans="1:9" ht="13">
      <c r="A730" s="415"/>
      <c r="B730" s="415"/>
      <c r="C730" s="299"/>
      <c r="D730" s="1617"/>
      <c r="E730" s="1617"/>
      <c r="F730" s="1617"/>
      <c r="G730" s="288"/>
    </row>
    <row r="731" spans="1:9" ht="13">
      <c r="A731" s="415"/>
      <c r="B731" s="415"/>
      <c r="C731" s="299"/>
      <c r="D731" s="136"/>
      <c r="E731" s="282"/>
      <c r="F731" s="282"/>
      <c r="G731" s="288"/>
    </row>
    <row r="732" spans="1:9" ht="14.5" customHeight="1">
      <c r="A732" s="413"/>
      <c r="B732" s="949" t="s">
        <v>136</v>
      </c>
      <c r="C732" s="299"/>
      <c r="D732" s="1617" t="s">
        <v>1715</v>
      </c>
      <c r="E732" s="1617"/>
      <c r="F732" s="1617"/>
      <c r="G732" s="288"/>
    </row>
    <row r="733" spans="1:9" ht="13">
      <c r="A733" s="415"/>
      <c r="B733" s="415"/>
      <c r="C733" s="299"/>
      <c r="D733" s="1617"/>
      <c r="E733" s="1617"/>
      <c r="F733" s="1617"/>
      <c r="G733" s="288"/>
    </row>
    <row r="734" spans="1:9" ht="13">
      <c r="A734" s="415"/>
      <c r="B734" s="415"/>
      <c r="C734" s="299"/>
      <c r="D734" s="1617"/>
      <c r="E734" s="1617"/>
      <c r="F734" s="1617"/>
      <c r="G734" s="288"/>
    </row>
    <row r="735" spans="1:9" ht="13">
      <c r="A735" s="415"/>
      <c r="B735" s="415"/>
      <c r="C735" s="299"/>
      <c r="D735" s="332"/>
      <c r="E735" s="282"/>
      <c r="F735" s="282"/>
      <c r="G735" s="288"/>
      <c r="H735" s="404"/>
      <c r="I735" s="404"/>
    </row>
    <row r="736" spans="1:9" ht="13">
      <c r="A736" s="413"/>
      <c r="B736" s="949" t="s">
        <v>136</v>
      </c>
      <c r="C736" s="299"/>
      <c r="D736" s="1583" t="s">
        <v>1717</v>
      </c>
      <c r="E736" s="1583"/>
      <c r="F736" s="1583"/>
      <c r="G736" s="288"/>
    </row>
    <row r="737" spans="1:9" ht="13">
      <c r="A737" s="415"/>
      <c r="B737" s="415"/>
      <c r="C737" s="299"/>
      <c r="D737" s="1583"/>
      <c r="E737" s="1583"/>
      <c r="F737" s="1583"/>
      <c r="G737" s="288"/>
    </row>
    <row r="738" spans="1:9" ht="13">
      <c r="A738" s="415"/>
      <c r="B738" s="415"/>
      <c r="C738" s="299"/>
      <c r="D738" s="1583"/>
      <c r="E738" s="1583"/>
      <c r="F738" s="1583"/>
      <c r="G738" s="288"/>
    </row>
    <row r="739" spans="1:9" ht="13">
      <c r="A739" s="415"/>
      <c r="B739" s="415"/>
      <c r="C739" s="299"/>
      <c r="D739" s="1583"/>
      <c r="E739" s="1583"/>
      <c r="F739" s="1583"/>
      <c r="G739" s="288"/>
    </row>
    <row r="740" spans="1:9" ht="13">
      <c r="A740" s="415"/>
      <c r="B740" s="415"/>
      <c r="C740" s="299"/>
      <c r="D740" s="958"/>
      <c r="E740" s="958"/>
      <c r="F740" s="958"/>
      <c r="G740" s="288"/>
    </row>
    <row r="741" spans="1:9" s="50" customFormat="1" ht="13">
      <c r="A741" s="413"/>
      <c r="B741" s="949" t="s">
        <v>136</v>
      </c>
      <c r="C741" s="415"/>
      <c r="D741" s="1617" t="s">
        <v>1891</v>
      </c>
      <c r="E741" s="1617"/>
      <c r="F741" s="1617"/>
      <c r="G741" s="71"/>
      <c r="H741" s="885"/>
      <c r="I741" s="1085"/>
    </row>
    <row r="742" spans="1:9" s="50" customFormat="1" ht="13">
      <c r="A742" s="415"/>
      <c r="B742" s="415"/>
      <c r="C742" s="415"/>
      <c r="D742" s="1617"/>
      <c r="E742" s="1617"/>
      <c r="F742" s="1617"/>
      <c r="G742" s="71"/>
      <c r="H742" s="885"/>
      <c r="I742" s="1085"/>
    </row>
    <row r="743" spans="1:9" s="50" customFormat="1" ht="13">
      <c r="A743" s="415"/>
      <c r="B743" s="415"/>
      <c r="C743" s="415"/>
      <c r="D743" s="1617"/>
      <c r="E743" s="1617"/>
      <c r="F743" s="1617"/>
      <c r="G743" s="71"/>
      <c r="H743" s="885"/>
      <c r="I743" s="1085"/>
    </row>
    <row r="744" spans="1:9" s="50" customFormat="1" ht="13">
      <c r="A744" s="415"/>
      <c r="B744" s="415"/>
      <c r="C744" s="415"/>
      <c r="D744" s="1617"/>
      <c r="E744" s="1617"/>
      <c r="F744" s="1617"/>
      <c r="G744" s="71"/>
      <c r="H744" s="885"/>
      <c r="I744" s="1085"/>
    </row>
    <row r="745" spans="1:9" s="50" customFormat="1" ht="13">
      <c r="A745" s="415"/>
      <c r="B745" s="415"/>
      <c r="C745" s="415"/>
      <c r="D745" s="1617"/>
      <c r="E745" s="1617"/>
      <c r="F745" s="1617"/>
      <c r="G745" s="71"/>
      <c r="H745" s="885"/>
      <c r="I745" s="1085"/>
    </row>
    <row r="746" spans="1:9" s="50" customFormat="1" ht="13">
      <c r="A746" s="415"/>
      <c r="B746" s="415"/>
      <c r="C746" s="415"/>
      <c r="D746" s="1617"/>
      <c r="E746" s="1617"/>
      <c r="F746" s="1617"/>
      <c r="G746" s="71"/>
      <c r="H746" s="885"/>
      <c r="I746" s="1085"/>
    </row>
    <row r="747" spans="1:9" s="50" customFormat="1" ht="13">
      <c r="A747" s="415"/>
      <c r="B747" s="415"/>
      <c r="C747" s="415"/>
      <c r="D747" s="1617"/>
      <c r="E747" s="1617"/>
      <c r="F747" s="1617"/>
      <c r="G747" s="71"/>
      <c r="H747" s="885"/>
      <c r="I747" s="1085"/>
    </row>
    <row r="748" spans="1:9" s="50" customFormat="1" ht="13">
      <c r="A748" s="415"/>
      <c r="B748" s="415"/>
      <c r="C748" s="415"/>
      <c r="D748" s="1665" t="s">
        <v>1716</v>
      </c>
      <c r="E748" s="1665"/>
      <c r="F748" s="1665"/>
      <c r="G748" s="71"/>
      <c r="H748" s="885"/>
      <c r="I748" s="1085"/>
    </row>
    <row r="749" spans="1:9" s="50" customFormat="1" ht="13">
      <c r="A749" s="415"/>
      <c r="B749" s="415"/>
      <c r="C749" s="415"/>
      <c r="D749" s="890"/>
      <c r="E749" s="8"/>
      <c r="F749" s="8"/>
      <c r="G749" s="71"/>
      <c r="H749" s="885"/>
      <c r="I749" s="1085"/>
    </row>
    <row r="750" spans="1:9" ht="13">
      <c r="A750" s="1634" t="s">
        <v>1588</v>
      </c>
      <c r="B750" s="1634"/>
      <c r="C750" s="1634"/>
      <c r="D750" s="1634"/>
      <c r="E750" s="1634"/>
      <c r="F750" s="1634"/>
      <c r="G750" s="1634"/>
      <c r="H750" s="404"/>
      <c r="I750" s="404"/>
    </row>
    <row r="751" spans="1:9" ht="13">
      <c r="A751" s="415"/>
      <c r="B751" s="415"/>
      <c r="C751" s="299"/>
      <c r="D751" s="332"/>
      <c r="E751" s="282"/>
      <c r="F751" s="282"/>
      <c r="G751" s="288"/>
      <c r="H751" s="404"/>
      <c r="I751" s="404"/>
    </row>
    <row r="752" spans="1:9" ht="13">
      <c r="A752" s="140"/>
      <c r="B752" s="140"/>
      <c r="C752" s="299"/>
      <c r="D752" s="1618" t="s">
        <v>1618</v>
      </c>
      <c r="E752" s="1618"/>
      <c r="F752" s="1618"/>
      <c r="G752" s="288"/>
      <c r="H752" s="404"/>
      <c r="I752" s="404"/>
    </row>
    <row r="753" spans="1:9" ht="13">
      <c r="A753" s="414"/>
      <c r="B753" s="414"/>
      <c r="C753" s="298"/>
      <c r="D753" s="1592" t="s">
        <v>1621</v>
      </c>
      <c r="E753" s="1592"/>
      <c r="F753" s="1592"/>
      <c r="G753" s="288"/>
      <c r="H753" s="404"/>
      <c r="I753" s="404"/>
    </row>
    <row r="754" spans="1:9" ht="13">
      <c r="A754" s="415"/>
      <c r="B754" s="415"/>
      <c r="C754" s="299"/>
      <c r="D754" s="282"/>
      <c r="E754" s="282"/>
      <c r="F754" s="282"/>
      <c r="G754" s="288"/>
      <c r="H754" s="404"/>
      <c r="I754" s="404"/>
    </row>
    <row r="755" spans="1:9" ht="14.25" customHeight="1">
      <c r="A755" s="413"/>
      <c r="B755" s="949" t="s">
        <v>1530</v>
      </c>
      <c r="C755" s="14"/>
      <c r="D755" s="1583" t="s">
        <v>1619</v>
      </c>
      <c r="E755" s="1583"/>
      <c r="F755" s="1583"/>
      <c r="G755" s="288"/>
      <c r="H755" s="404"/>
      <c r="I755" s="404"/>
    </row>
    <row r="756" spans="1:9" ht="11.25" customHeight="1">
      <c r="A756" s="140"/>
      <c r="B756" s="140"/>
      <c r="C756" s="14"/>
      <c r="D756" s="1583"/>
      <c r="E756" s="1583"/>
      <c r="F756" s="1583"/>
      <c r="G756" s="288"/>
      <c r="H756" s="404"/>
      <c r="I756" s="404"/>
    </row>
    <row r="757" spans="1:9" ht="12.5">
      <c r="A757" s="140"/>
      <c r="B757" s="140"/>
      <c r="C757" s="14"/>
      <c r="D757" s="1583"/>
      <c r="E757" s="1583"/>
      <c r="F757" s="1583"/>
      <c r="G757" s="288"/>
      <c r="H757" s="404"/>
      <c r="I757" s="404"/>
    </row>
    <row r="758" spans="1:9" ht="12.5">
      <c r="A758" s="140"/>
      <c r="B758" s="140"/>
      <c r="C758" s="14"/>
      <c r="D758" s="1583"/>
      <c r="E758" s="1583"/>
      <c r="F758" s="1583"/>
      <c r="G758" s="288"/>
      <c r="H758" s="404"/>
      <c r="I758" s="404"/>
    </row>
    <row r="759" spans="1:9" ht="12.5">
      <c r="A759" s="150"/>
      <c r="B759" s="150"/>
      <c r="D759" s="1583"/>
      <c r="E759" s="1583"/>
      <c r="F759" s="1583"/>
      <c r="G759" s="288"/>
      <c r="H759" s="404"/>
      <c r="I759" s="404"/>
    </row>
    <row r="760" spans="1:9" ht="17.25" customHeight="1">
      <c r="A760" s="150"/>
      <c r="B760" s="150"/>
      <c r="D760" s="1583"/>
      <c r="E760" s="1583"/>
      <c r="F760" s="1583"/>
      <c r="G760" s="288"/>
      <c r="H760" s="404"/>
      <c r="I760" s="404"/>
    </row>
    <row r="761" spans="1:9" ht="12.5">
      <c r="A761" s="150"/>
      <c r="B761" s="150"/>
      <c r="D761" s="403"/>
      <c r="E761" s="403"/>
      <c r="F761" s="403"/>
      <c r="G761" s="288"/>
      <c r="H761" s="404"/>
      <c r="I761" s="404"/>
    </row>
    <row r="762" spans="1:9" ht="12.75" customHeight="1">
      <c r="A762" s="140"/>
      <c r="B762" s="949" t="s">
        <v>1530</v>
      </c>
      <c r="C762" s="14"/>
      <c r="D762" s="1638" t="s">
        <v>2122</v>
      </c>
      <c r="E762" s="1638"/>
      <c r="F762" s="1638"/>
      <c r="G762" s="288"/>
      <c r="H762" s="404"/>
      <c r="I762" s="404"/>
    </row>
    <row r="763" spans="1:9" ht="12.5">
      <c r="A763" s="140"/>
      <c r="B763" s="140"/>
      <c r="C763" s="14"/>
      <c r="D763" s="1638"/>
      <c r="E763" s="1638"/>
      <c r="F763" s="1638"/>
      <c r="G763" s="288"/>
      <c r="H763" s="404"/>
      <c r="I763" s="404"/>
    </row>
    <row r="764" spans="1:9" ht="12.5">
      <c r="A764" s="140"/>
      <c r="B764" s="140"/>
      <c r="C764" s="14"/>
      <c r="D764" s="1638"/>
      <c r="E764" s="1638"/>
      <c r="F764" s="1638"/>
      <c r="G764" s="288"/>
      <c r="H764" s="404"/>
      <c r="I764" s="404"/>
    </row>
    <row r="765" spans="1:9" ht="12.5">
      <c r="A765" s="140"/>
      <c r="B765" s="140"/>
      <c r="C765" s="14"/>
      <c r="D765" s="1638"/>
      <c r="E765" s="1638"/>
      <c r="F765" s="1638"/>
      <c r="G765" s="288"/>
      <c r="H765" s="404"/>
      <c r="I765" s="404"/>
    </row>
    <row r="766" spans="1:9" ht="12.5">
      <c r="A766" s="140"/>
      <c r="B766" s="140"/>
      <c r="C766" s="14"/>
      <c r="D766" s="403"/>
      <c r="G766" s="288"/>
      <c r="H766" s="404"/>
      <c r="I766" s="404"/>
    </row>
    <row r="767" spans="1:9" ht="12.5">
      <c r="A767" s="140"/>
      <c r="B767" s="949" t="s">
        <v>136</v>
      </c>
      <c r="C767" s="689"/>
      <c r="D767" s="1635" t="s">
        <v>2123</v>
      </c>
      <c r="E767" s="1636"/>
      <c r="F767" s="1636"/>
      <c r="G767" s="711"/>
      <c r="H767" s="404"/>
      <c r="I767" s="404"/>
    </row>
    <row r="768" spans="1:9" ht="12.5">
      <c r="A768" s="689"/>
      <c r="B768" s="689"/>
      <c r="C768" s="689"/>
      <c r="D768" s="1636"/>
      <c r="E768" s="1636"/>
      <c r="F768" s="1636"/>
      <c r="G768" s="711"/>
      <c r="H768" s="404"/>
      <c r="I768" s="404"/>
    </row>
    <row r="769" spans="1:9" ht="12.5">
      <c r="A769" s="689"/>
      <c r="B769" s="689"/>
      <c r="C769" s="689"/>
      <c r="D769" s="1636"/>
      <c r="E769" s="1636"/>
      <c r="F769" s="1636"/>
      <c r="G769" s="711"/>
      <c r="H769" s="404"/>
      <c r="I769" s="404"/>
    </row>
    <row r="770" spans="1:9" ht="12.5">
      <c r="A770" s="150"/>
      <c r="B770" s="150"/>
      <c r="D770" s="403"/>
      <c r="E770" s="403"/>
      <c r="F770" s="403"/>
      <c r="G770" s="288"/>
      <c r="H770" s="404"/>
      <c r="I770" s="404"/>
    </row>
    <row r="771" spans="1:9" ht="12.5">
      <c r="A771" s="150"/>
      <c r="B771" s="949" t="s">
        <v>136</v>
      </c>
      <c r="D771" s="1627" t="s">
        <v>1620</v>
      </c>
      <c r="E771" s="1627"/>
      <c r="F771" s="1627"/>
      <c r="G771" s="288"/>
      <c r="H771" s="404"/>
      <c r="I771" s="404"/>
    </row>
    <row r="772" spans="1:9" ht="12.5">
      <c r="A772" s="150"/>
      <c r="B772" s="150"/>
      <c r="D772" s="1627"/>
      <c r="E772" s="1627"/>
      <c r="F772" s="1627"/>
      <c r="G772" s="288"/>
      <c r="H772" s="404"/>
      <c r="I772" s="404"/>
    </row>
    <row r="773" spans="1:9" ht="12.5">
      <c r="A773" s="150"/>
      <c r="B773" s="150"/>
      <c r="D773" s="956"/>
      <c r="E773" s="956"/>
      <c r="F773" s="956"/>
      <c r="G773" s="288"/>
      <c r="H773" s="404"/>
      <c r="I773" s="404"/>
    </row>
    <row r="774" spans="1:9" ht="13.75" customHeight="1">
      <c r="A774" s="150"/>
      <c r="B774" s="949" t="s">
        <v>1530</v>
      </c>
      <c r="D774" s="1628" t="s">
        <v>1980</v>
      </c>
      <c r="E774" s="1627"/>
      <c r="F774" s="1627"/>
      <c r="G774" s="288"/>
      <c r="H774" s="404"/>
      <c r="I774" s="404"/>
    </row>
    <row r="775" spans="1:9" ht="12.5">
      <c r="A775" s="150"/>
      <c r="B775" s="150"/>
      <c r="D775" s="1627"/>
      <c r="E775" s="1627"/>
      <c r="F775" s="1627"/>
      <c r="G775" s="288"/>
      <c r="H775" s="404"/>
      <c r="I775" s="404"/>
    </row>
    <row r="776" spans="1:9" ht="12.5">
      <c r="A776" s="150"/>
      <c r="B776" s="150"/>
      <c r="D776" s="1627"/>
      <c r="E776" s="1627"/>
      <c r="F776" s="1627"/>
      <c r="G776" s="288"/>
      <c r="H776" s="404"/>
      <c r="I776" s="404"/>
    </row>
    <row r="777" spans="1:9" ht="12.5">
      <c r="A777" s="150"/>
      <c r="B777" s="150"/>
      <c r="D777" s="956"/>
      <c r="E777" s="956"/>
      <c r="F777" s="956"/>
      <c r="G777" s="288"/>
      <c r="H777" s="404"/>
      <c r="I777" s="404"/>
    </row>
    <row r="778" spans="1:9" ht="12" customHeight="1">
      <c r="A778" s="1634" t="s">
        <v>1793</v>
      </c>
      <c r="B778" s="1634"/>
      <c r="C778" s="1634"/>
      <c r="D778" s="1634"/>
      <c r="E778" s="1634"/>
      <c r="F778" s="1634"/>
      <c r="G778" s="1634"/>
      <c r="H778" s="404"/>
      <c r="I778" s="404"/>
    </row>
    <row r="779" spans="1:9" ht="13">
      <c r="A779" s="107"/>
      <c r="B779" s="107"/>
      <c r="C779" s="302"/>
      <c r="D779" s="283"/>
      <c r="E779" s="283"/>
      <c r="F779" s="283"/>
      <c r="G779" s="288"/>
      <c r="H779" s="404"/>
      <c r="I779" s="404"/>
    </row>
    <row r="780" spans="1:9" ht="13.75" customHeight="1">
      <c r="A780" s="107"/>
      <c r="B780" s="107"/>
      <c r="C780" s="302"/>
      <c r="D780" s="1680" t="s">
        <v>1794</v>
      </c>
      <c r="E780" s="1680"/>
      <c r="F780" s="1680"/>
      <c r="G780" s="288"/>
      <c r="H780" s="404"/>
      <c r="I780" s="404"/>
    </row>
    <row r="781" spans="1:9" ht="13">
      <c r="A781" s="107"/>
      <c r="B781" s="107"/>
      <c r="C781" s="302"/>
      <c r="D781" s="1681" t="s">
        <v>1795</v>
      </c>
      <c r="E781" s="1681"/>
      <c r="F781" s="1681"/>
      <c r="G781" s="288"/>
      <c r="H781" s="404"/>
      <c r="I781" s="404"/>
    </row>
    <row r="782" spans="1:9" ht="13">
      <c r="A782" s="107"/>
      <c r="B782" s="107"/>
      <c r="C782" s="302"/>
      <c r="D782" s="995"/>
      <c r="E782" s="995"/>
      <c r="F782" s="995"/>
      <c r="G782" s="288"/>
      <c r="H782" s="404"/>
      <c r="I782" s="404"/>
    </row>
    <row r="783" spans="1:9" ht="13">
      <c r="A783" s="107"/>
      <c r="B783" s="949" t="s">
        <v>1530</v>
      </c>
      <c r="C783" s="302"/>
      <c r="D783" s="1666" t="s">
        <v>1796</v>
      </c>
      <c r="E783" s="1666"/>
      <c r="F783" s="1666"/>
      <c r="G783" s="288"/>
      <c r="H783" s="404"/>
      <c r="I783" s="404"/>
    </row>
    <row r="784" spans="1:9" ht="13">
      <c r="A784" s="107"/>
      <c r="B784" s="107"/>
      <c r="C784" s="302"/>
      <c r="D784" s="1666"/>
      <c r="E784" s="1666"/>
      <c r="F784" s="1666"/>
      <c r="G784" s="288"/>
      <c r="H784" s="404"/>
      <c r="I784" s="404"/>
    </row>
    <row r="785" spans="1:9" ht="13">
      <c r="A785" s="415"/>
      <c r="B785" s="415"/>
      <c r="C785" s="299"/>
      <c r="D785" s="1666"/>
      <c r="E785" s="1666"/>
      <c r="F785" s="1666"/>
      <c r="G785" s="284"/>
      <c r="H785" s="404"/>
      <c r="I785" s="404"/>
    </row>
    <row r="786" spans="1:9" ht="13">
      <c r="A786" s="150"/>
      <c r="B786" s="150"/>
      <c r="C786" s="285"/>
      <c r="D786" s="411"/>
      <c r="E786" s="288"/>
      <c r="F786" s="288"/>
      <c r="G786" s="288"/>
      <c r="H786" s="404"/>
      <c r="I786" s="404"/>
    </row>
    <row r="787" spans="1:9" ht="13">
      <c r="A787" s="418"/>
      <c r="B787" s="949" t="s">
        <v>136</v>
      </c>
      <c r="C787" s="303"/>
      <c r="D787" s="1666" t="s">
        <v>1797</v>
      </c>
      <c r="E787" s="1666"/>
      <c r="F787" s="1666"/>
      <c r="G787" s="288"/>
      <c r="H787" s="404"/>
      <c r="I787" s="404"/>
    </row>
    <row r="788" spans="1:9" ht="13">
      <c r="A788" s="741"/>
      <c r="B788" s="741"/>
      <c r="C788" s="742"/>
      <c r="D788" s="1666"/>
      <c r="E788" s="1666"/>
      <c r="F788" s="1666"/>
      <c r="G788" s="288"/>
      <c r="H788" s="404"/>
      <c r="I788" s="404"/>
    </row>
    <row r="789" spans="1:9" ht="13">
      <c r="A789" s="418"/>
      <c r="B789" s="418"/>
      <c r="C789" s="303"/>
      <c r="D789" s="1666"/>
      <c r="E789" s="1666"/>
      <c r="F789" s="1666"/>
      <c r="G789" s="288"/>
      <c r="H789" s="404"/>
      <c r="I789" s="404"/>
    </row>
    <row r="790" spans="1:9" ht="13">
      <c r="A790" s="415"/>
      <c r="B790" s="415"/>
      <c r="C790" s="299"/>
      <c r="D790" s="282"/>
      <c r="E790" s="296"/>
      <c r="F790" s="296"/>
      <c r="G790" s="572"/>
      <c r="H790" s="404"/>
      <c r="I790" s="404"/>
    </row>
    <row r="791" spans="1:9" ht="14.5" customHeight="1">
      <c r="A791" s="413"/>
      <c r="B791" s="949" t="s">
        <v>1530</v>
      </c>
      <c r="C791" s="322"/>
      <c r="D791" s="1601" t="s">
        <v>1912</v>
      </c>
      <c r="E791" s="1601"/>
      <c r="F791" s="1601"/>
      <c r="G791" s="572"/>
      <c r="H791" s="404"/>
      <c r="I791" s="404"/>
    </row>
    <row r="792" spans="1:9" ht="13">
      <c r="A792" s="413"/>
      <c r="B792" s="413"/>
      <c r="C792" s="322"/>
      <c r="D792" s="1601"/>
      <c r="E792" s="1601"/>
      <c r="F792" s="1601"/>
      <c r="G792" s="572"/>
      <c r="H792" s="404"/>
      <c r="I792" s="404"/>
    </row>
    <row r="793" spans="1:9" ht="13">
      <c r="A793" s="413"/>
      <c r="B793" s="413"/>
      <c r="C793" s="322"/>
      <c r="D793" s="1601"/>
      <c r="E793" s="1601"/>
      <c r="F793" s="1601"/>
      <c r="G793" s="572"/>
      <c r="H793" s="404"/>
      <c r="I793" s="404"/>
    </row>
    <row r="794" spans="1:9" ht="13">
      <c r="A794" s="413"/>
      <c r="B794" s="413"/>
      <c r="C794" s="322"/>
      <c r="D794" s="1054"/>
      <c r="E794" s="282"/>
      <c r="F794" s="282"/>
      <c r="G794" s="572"/>
      <c r="H794" s="404"/>
      <c r="I794" s="404"/>
    </row>
    <row r="795" spans="1:9" ht="14.25" customHeight="1">
      <c r="A795" s="413"/>
      <c r="B795" s="949" t="s">
        <v>136</v>
      </c>
      <c r="C795" s="322"/>
      <c r="D795" s="1666" t="s">
        <v>1798</v>
      </c>
      <c r="E795" s="1666"/>
      <c r="F795" s="1666"/>
      <c r="G795" s="572"/>
      <c r="H795" s="404"/>
      <c r="I795" s="404"/>
    </row>
    <row r="796" spans="1:9" ht="13">
      <c r="A796" s="413"/>
      <c r="B796" s="413"/>
      <c r="C796" s="322"/>
      <c r="D796" s="1666"/>
      <c r="E796" s="1666"/>
      <c r="F796" s="1666"/>
      <c r="G796" s="572"/>
      <c r="H796" s="404"/>
      <c r="I796" s="404"/>
    </row>
    <row r="797" spans="1:9" ht="13">
      <c r="A797" s="413"/>
      <c r="B797" s="413"/>
      <c r="C797" s="322"/>
      <c r="D797" s="1666"/>
      <c r="E797" s="1666"/>
      <c r="F797" s="1666"/>
      <c r="G797" s="572"/>
      <c r="H797" s="404"/>
      <c r="I797" s="404"/>
    </row>
    <row r="798" spans="1:9" ht="13">
      <c r="A798" s="413"/>
      <c r="B798" s="413"/>
      <c r="C798" s="322"/>
      <c r="D798" s="1666"/>
      <c r="E798" s="1666"/>
      <c r="F798" s="1666"/>
      <c r="G798" s="572"/>
      <c r="H798" s="404"/>
      <c r="I798" s="404"/>
    </row>
    <row r="799" spans="1:9" ht="13">
      <c r="A799" s="413"/>
      <c r="B799" s="413"/>
      <c r="C799" s="322"/>
      <c r="D799" s="1666"/>
      <c r="E799" s="1666"/>
      <c r="F799" s="1666"/>
      <c r="G799" s="572"/>
      <c r="H799" s="404"/>
      <c r="I799" s="404"/>
    </row>
    <row r="800" spans="1:9" ht="13">
      <c r="A800" s="413"/>
      <c r="B800" s="413"/>
      <c r="C800" s="322"/>
      <c r="D800" s="1601" t="s">
        <v>2306</v>
      </c>
      <c r="E800" s="1601"/>
      <c r="F800" s="1601"/>
      <c r="G800" s="572"/>
      <c r="H800" s="404"/>
      <c r="I800" s="404"/>
    </row>
    <row r="801" spans="1:9" ht="13">
      <c r="A801" s="413"/>
      <c r="B801" s="413"/>
      <c r="C801" s="322"/>
      <c r="D801" s="1601"/>
      <c r="E801" s="1601"/>
      <c r="F801" s="1601"/>
      <c r="G801" s="572"/>
      <c r="H801" s="404"/>
      <c r="I801" s="404"/>
    </row>
    <row r="802" spans="1:9" ht="13">
      <c r="A802" s="413"/>
      <c r="B802" s="413"/>
      <c r="C802" s="322"/>
      <c r="D802" s="1601"/>
      <c r="E802" s="1601"/>
      <c r="F802" s="1601"/>
      <c r="G802" s="572"/>
      <c r="H802" s="404"/>
      <c r="I802" s="404"/>
    </row>
    <row r="803" spans="1:9" ht="13">
      <c r="A803" s="413"/>
      <c r="B803" s="14"/>
      <c r="C803" s="322"/>
      <c r="D803" s="1348"/>
      <c r="E803" s="1348"/>
      <c r="F803" s="1348"/>
      <c r="G803" s="572"/>
      <c r="H803" s="404"/>
      <c r="I803" s="404"/>
    </row>
    <row r="804" spans="1:9" ht="13">
      <c r="A804" s="413"/>
      <c r="B804" s="949" t="s">
        <v>136</v>
      </c>
      <c r="C804" s="322"/>
      <c r="D804" s="1666" t="s">
        <v>1800</v>
      </c>
      <c r="E804" s="1666"/>
      <c r="F804" s="1666"/>
      <c r="G804" s="572"/>
      <c r="H804" s="404"/>
      <c r="I804" s="404"/>
    </row>
    <row r="805" spans="1:9" ht="13">
      <c r="A805" s="413"/>
      <c r="B805" s="413"/>
      <c r="C805" s="322"/>
      <c r="D805" s="1666"/>
      <c r="E805" s="1666"/>
      <c r="F805" s="1666"/>
      <c r="G805" s="572"/>
      <c r="H805" s="404"/>
      <c r="I805" s="404"/>
    </row>
    <row r="806" spans="1:9" ht="13">
      <c r="A806" s="413"/>
      <c r="B806" s="413"/>
      <c r="C806" s="322"/>
      <c r="D806" s="1666"/>
      <c r="E806" s="1666"/>
      <c r="F806" s="1666"/>
      <c r="G806" s="572"/>
      <c r="H806" s="404"/>
      <c r="I806" s="404"/>
    </row>
    <row r="807" spans="1:9" ht="13">
      <c r="A807" s="413"/>
      <c r="B807" s="413"/>
      <c r="C807" s="322"/>
      <c r="D807" s="1666"/>
      <c r="E807" s="1666"/>
      <c r="F807" s="1666"/>
      <c r="G807" s="572"/>
      <c r="H807" s="404"/>
      <c r="I807" s="404"/>
    </row>
    <row r="808" spans="1:9" ht="13">
      <c r="A808" s="413"/>
      <c r="B808" s="413"/>
      <c r="C808" s="322"/>
      <c r="D808" s="1666"/>
      <c r="E808" s="1666"/>
      <c r="F808" s="1666"/>
      <c r="G808" s="572"/>
      <c r="H808" s="404"/>
      <c r="I808" s="404"/>
    </row>
    <row r="809" spans="1:9" ht="13">
      <c r="A809" s="413"/>
      <c r="B809" s="413"/>
      <c r="C809" s="322"/>
      <c r="D809" s="1666"/>
      <c r="E809" s="1666"/>
      <c r="F809" s="1666"/>
      <c r="G809" s="572"/>
      <c r="H809" s="404"/>
      <c r="I809" s="404"/>
    </row>
    <row r="810" spans="1:9" ht="13">
      <c r="A810" s="413"/>
      <c r="B810" s="413"/>
      <c r="C810" s="322"/>
      <c r="D810" s="1336"/>
      <c r="E810" s="1336"/>
      <c r="F810" s="1336"/>
      <c r="G810" s="572"/>
      <c r="H810" s="404"/>
      <c r="I810" s="404"/>
    </row>
    <row r="811" spans="1:9" ht="13">
      <c r="A811" s="413"/>
      <c r="B811" s="1337" t="s">
        <v>1530</v>
      </c>
      <c r="C811" s="322"/>
      <c r="D811" s="1601" t="s">
        <v>2124</v>
      </c>
      <c r="E811" s="1666"/>
      <c r="F811" s="1666"/>
      <c r="G811" s="572"/>
      <c r="H811" s="404"/>
      <c r="I811" s="404"/>
    </row>
    <row r="812" spans="1:9" ht="13">
      <c r="A812" s="413"/>
      <c r="B812" s="413"/>
      <c r="C812" s="322"/>
      <c r="D812" s="1666"/>
      <c r="E812" s="1666"/>
      <c r="F812" s="1666"/>
      <c r="G812" s="572"/>
      <c r="H812" s="404"/>
      <c r="I812" s="404"/>
    </row>
    <row r="813" spans="1:9" ht="13">
      <c r="A813" s="413"/>
      <c r="B813" s="413"/>
      <c r="C813" s="322"/>
      <c r="D813" s="1666"/>
      <c r="E813" s="1666"/>
      <c r="F813" s="1666"/>
      <c r="G813" s="572"/>
      <c r="H813" s="404"/>
      <c r="I813" s="404"/>
    </row>
    <row r="814" spans="1:9" ht="13">
      <c r="A814" s="413"/>
      <c r="B814" s="413"/>
      <c r="C814" s="322"/>
      <c r="D814" s="1666"/>
      <c r="E814" s="1666"/>
      <c r="F814" s="1666"/>
      <c r="G814" s="572"/>
      <c r="H814" s="404"/>
      <c r="I814" s="404"/>
    </row>
    <row r="815" spans="1:9" ht="13">
      <c r="A815" s="413"/>
      <c r="B815" s="413"/>
      <c r="C815" s="322"/>
      <c r="D815" s="1666"/>
      <c r="E815" s="1666"/>
      <c r="F815" s="1666"/>
      <c r="G815" s="572"/>
      <c r="H815" s="404"/>
      <c r="I815" s="404"/>
    </row>
    <row r="816" spans="1:9" ht="13">
      <c r="A816" s="413"/>
      <c r="B816" s="413"/>
      <c r="C816" s="322"/>
      <c r="D816" s="1056"/>
      <c r="E816" s="1056"/>
      <c r="F816" s="1056"/>
      <c r="G816" s="572"/>
      <c r="H816" s="404"/>
      <c r="I816" s="404"/>
    </row>
    <row r="817" spans="1:9" ht="13">
      <c r="A817" s="413"/>
      <c r="B817" s="949" t="s">
        <v>136</v>
      </c>
      <c r="C817" s="322"/>
      <c r="D817" s="1666" t="s">
        <v>1799</v>
      </c>
      <c r="E817" s="1666"/>
      <c r="F817" s="1666"/>
      <c r="G817" s="572"/>
      <c r="H817" s="404"/>
      <c r="I817" s="404"/>
    </row>
    <row r="818" spans="1:9" ht="13">
      <c r="A818" s="413"/>
      <c r="B818" s="413"/>
      <c r="C818" s="322"/>
      <c r="D818" s="1666"/>
      <c r="E818" s="1666"/>
      <c r="F818" s="1666"/>
      <c r="G818" s="572"/>
      <c r="H818" s="404"/>
      <c r="I818" s="404"/>
    </row>
    <row r="819" spans="1:9" ht="13">
      <c r="A819" s="413"/>
      <c r="B819" s="413"/>
      <c r="C819" s="322"/>
      <c r="D819" s="1666"/>
      <c r="E819" s="1666"/>
      <c r="F819" s="1666"/>
      <c r="G819" s="572"/>
      <c r="H819" s="404"/>
      <c r="I819" s="404"/>
    </row>
    <row r="820" spans="1:9" ht="13">
      <c r="A820" s="413"/>
      <c r="B820" s="413"/>
      <c r="C820" s="322"/>
      <c r="D820" s="1666"/>
      <c r="E820" s="1666"/>
      <c r="F820" s="1666"/>
      <c r="G820" s="572"/>
      <c r="H820" s="404"/>
      <c r="I820" s="404"/>
    </row>
    <row r="821" spans="1:9" ht="13">
      <c r="A821" s="413"/>
      <c r="B821" s="413"/>
      <c r="C821" s="322"/>
      <c r="D821" s="296"/>
      <c r="E821" s="282"/>
      <c r="F821" s="282"/>
      <c r="G821" s="572"/>
      <c r="H821" s="404"/>
      <c r="I821" s="404"/>
    </row>
    <row r="822" spans="1:9" ht="13">
      <c r="A822" s="413"/>
      <c r="B822" s="949" t="s">
        <v>136</v>
      </c>
      <c r="C822" s="322"/>
      <c r="D822" s="1667" t="s">
        <v>1802</v>
      </c>
      <c r="E822" s="1667"/>
      <c r="F822" s="1667"/>
      <c r="G822" s="572"/>
      <c r="H822" s="404"/>
      <c r="I822" s="404"/>
    </row>
    <row r="823" spans="1:9" ht="13">
      <c r="A823" s="413"/>
      <c r="B823" s="413"/>
      <c r="C823" s="322"/>
      <c r="D823" s="1667"/>
      <c r="E823" s="1667"/>
      <c r="F823" s="1667"/>
      <c r="G823" s="572"/>
      <c r="H823" s="404"/>
      <c r="I823" s="404"/>
    </row>
    <row r="824" spans="1:9" ht="13">
      <c r="A824" s="33"/>
      <c r="B824" s="33"/>
      <c r="C824" s="322"/>
      <c r="D824" s="1667"/>
      <c r="E824" s="1667"/>
      <c r="F824" s="1667"/>
      <c r="G824" s="572"/>
      <c r="H824" s="404"/>
      <c r="I824" s="404"/>
    </row>
    <row r="825" spans="1:9" ht="13">
      <c r="A825" s="413"/>
      <c r="B825" s="996"/>
      <c r="C825" s="322"/>
      <c r="D825" s="1667"/>
      <c r="E825" s="1667"/>
      <c r="F825" s="1667"/>
      <c r="G825" s="572"/>
      <c r="H825" s="404"/>
      <c r="I825" s="404"/>
    </row>
    <row r="826" spans="1:9" ht="13">
      <c r="A826" s="413"/>
      <c r="B826" s="996"/>
      <c r="C826" s="322"/>
      <c r="D826" s="1667"/>
      <c r="E826" s="1667"/>
      <c r="F826" s="1667"/>
      <c r="G826" s="572"/>
      <c r="H826" s="404"/>
      <c r="I826" s="404"/>
    </row>
    <row r="827" spans="1:9" ht="13">
      <c r="A827" s="413"/>
      <c r="B827" s="996"/>
      <c r="C827" s="322"/>
      <c r="D827" s="1667"/>
      <c r="E827" s="1667"/>
      <c r="F827" s="1667"/>
      <c r="G827" s="572"/>
      <c r="H827" s="404"/>
      <c r="I827" s="404"/>
    </row>
    <row r="828" spans="1:9" ht="13">
      <c r="A828" s="413"/>
      <c r="B828" s="1057"/>
      <c r="C828" s="322"/>
      <c r="D828" s="1055"/>
      <c r="E828" s="1055"/>
      <c r="F828" s="1055"/>
      <c r="G828" s="572"/>
      <c r="H828" s="404"/>
      <c r="I828" s="404"/>
    </row>
    <row r="829" spans="1:9" ht="13">
      <c r="A829" s="413"/>
      <c r="B829" s="949" t="s">
        <v>136</v>
      </c>
      <c r="C829" s="322"/>
      <c r="D829" s="1666" t="s">
        <v>1801</v>
      </c>
      <c r="E829" s="1666"/>
      <c r="F829" s="1666"/>
      <c r="G829" s="572"/>
      <c r="H829" s="404"/>
      <c r="I829" s="404"/>
    </row>
    <row r="830" spans="1:9" ht="13">
      <c r="A830" s="413"/>
      <c r="B830" s="413"/>
      <c r="C830" s="322"/>
      <c r="D830" s="1666"/>
      <c r="E830" s="1666"/>
      <c r="F830" s="1666"/>
      <c r="G830" s="572"/>
      <c r="H830" s="404"/>
      <c r="I830" s="404"/>
    </row>
    <row r="831" spans="1:9" ht="13">
      <c r="A831" s="413"/>
      <c r="B831" s="413"/>
      <c r="C831" s="322"/>
      <c r="D831" s="296"/>
      <c r="E831" s="282"/>
      <c r="F831" s="282"/>
      <c r="G831" s="572"/>
      <c r="H831" s="404"/>
      <c r="I831" s="404"/>
    </row>
    <row r="832" spans="1:9" ht="13">
      <c r="A832" s="413"/>
      <c r="B832" s="949" t="s">
        <v>136</v>
      </c>
      <c r="C832" s="322"/>
      <c r="D832" s="1667" t="s">
        <v>1803</v>
      </c>
      <c r="E832" s="1667"/>
      <c r="F832" s="1667"/>
      <c r="G832" s="572"/>
      <c r="H832" s="404"/>
      <c r="I832" s="404"/>
    </row>
    <row r="833" spans="1:9" ht="13">
      <c r="A833" s="413"/>
      <c r="B833" s="413"/>
      <c r="C833" s="322"/>
      <c r="D833" s="1667"/>
      <c r="E833" s="1667"/>
      <c r="F833" s="1667"/>
      <c r="G833" s="572"/>
      <c r="H833" s="404"/>
      <c r="I833" s="404"/>
    </row>
    <row r="834" spans="1:9" ht="13">
      <c r="A834" s="33"/>
      <c r="B834" s="33"/>
      <c r="C834" s="322"/>
      <c r="D834" s="296"/>
      <c r="E834" s="282"/>
      <c r="F834" s="282"/>
      <c r="G834" s="572"/>
      <c r="H834" s="404"/>
      <c r="I834" s="404"/>
    </row>
    <row r="835" spans="1:9" ht="13">
      <c r="A835" s="1599" t="s">
        <v>2145</v>
      </c>
      <c r="B835" s="1599"/>
      <c r="C835" s="1599"/>
      <c r="D835" s="1599"/>
      <c r="E835" s="1599"/>
      <c r="F835" s="1599"/>
      <c r="G835" s="1599"/>
      <c r="H835" s="404"/>
      <c r="I835" s="404"/>
    </row>
    <row r="836" spans="1:9" ht="13">
      <c r="A836" s="414"/>
      <c r="B836" s="414"/>
      <c r="C836" s="322"/>
      <c r="D836" s="296"/>
      <c r="E836" s="296"/>
      <c r="F836" s="296"/>
      <c r="G836" s="572"/>
      <c r="H836" s="404"/>
      <c r="I836" s="404"/>
    </row>
    <row r="837" spans="1:9" ht="13">
      <c r="A837" s="413"/>
      <c r="B837" s="413"/>
      <c r="C837" s="14"/>
      <c r="D837" s="1618" t="s">
        <v>1698</v>
      </c>
      <c r="E837" s="1618"/>
      <c r="F837" s="1618"/>
      <c r="H837" s="404"/>
      <c r="I837" s="404"/>
    </row>
    <row r="838" spans="1:9" ht="13">
      <c r="A838" s="413"/>
      <c r="B838" s="413"/>
      <c r="C838" s="14"/>
      <c r="D838" s="1582" t="s">
        <v>2142</v>
      </c>
      <c r="E838" s="1582"/>
      <c r="F838" s="1582"/>
      <c r="H838" s="404"/>
      <c r="I838" s="404"/>
    </row>
    <row r="839" spans="1:9" ht="13">
      <c r="A839" s="413"/>
      <c r="B839" s="413"/>
      <c r="C839" s="14"/>
      <c r="D839" s="1351"/>
      <c r="E839" s="1353"/>
      <c r="F839" s="1353"/>
      <c r="H839" s="404"/>
      <c r="I839" s="404"/>
    </row>
    <row r="840" spans="1:9" ht="12.5">
      <c r="A840" s="140"/>
      <c r="B840" s="949" t="s">
        <v>1530</v>
      </c>
      <c r="C840" s="322"/>
      <c r="D840" s="1583" t="s">
        <v>1624</v>
      </c>
      <c r="E840" s="1583"/>
      <c r="F840" s="1583"/>
      <c r="H840" s="404"/>
      <c r="I840" s="404"/>
    </row>
    <row r="841" spans="1:9" ht="13">
      <c r="A841" s="33"/>
      <c r="B841" s="33"/>
      <c r="C841" s="322"/>
      <c r="D841" s="6" t="s">
        <v>1593</v>
      </c>
      <c r="E841" s="1653" t="s">
        <v>1625</v>
      </c>
      <c r="F841" s="1653"/>
      <c r="H841" s="404"/>
      <c r="I841" s="404"/>
    </row>
    <row r="842" spans="1:9" ht="13">
      <c r="A842" s="33"/>
      <c r="B842" s="33"/>
      <c r="C842" s="322"/>
      <c r="D842" s="333"/>
      <c r="E842" s="282"/>
      <c r="F842" s="282"/>
      <c r="H842" s="404"/>
      <c r="I842" s="404"/>
    </row>
    <row r="843" spans="1:9" ht="13">
      <c r="A843" s="1033"/>
      <c r="B843" s="1032" t="s">
        <v>136</v>
      </c>
      <c r="C843" s="322"/>
      <c r="D843" s="1668" t="s">
        <v>1888</v>
      </c>
      <c r="E843" s="1668"/>
      <c r="F843" s="1668"/>
      <c r="H843" s="404"/>
      <c r="I843" s="404"/>
    </row>
    <row r="844" spans="1:9" ht="13">
      <c r="A844" s="1033"/>
      <c r="B844" s="1033"/>
      <c r="C844" s="322"/>
      <c r="D844" s="1668"/>
      <c r="E844" s="1668"/>
      <c r="F844" s="1668"/>
      <c r="H844" s="404"/>
      <c r="I844" s="404"/>
    </row>
    <row r="845" spans="1:9" ht="13">
      <c r="A845" s="1033"/>
      <c r="B845" s="1033"/>
      <c r="C845" s="322"/>
      <c r="D845" s="1668"/>
      <c r="E845" s="1668"/>
      <c r="F845" s="1668"/>
      <c r="H845" s="404"/>
      <c r="I845" s="404"/>
    </row>
    <row r="846" spans="1:9" ht="13">
      <c r="A846" s="1033"/>
      <c r="B846" s="1033"/>
      <c r="C846" s="322"/>
      <c r="D846" s="1668"/>
      <c r="E846" s="1668"/>
      <c r="F846" s="1668"/>
      <c r="H846" s="404"/>
      <c r="I846" s="404"/>
    </row>
    <row r="847" spans="1:9" ht="13">
      <c r="A847" s="1033"/>
      <c r="B847" s="1033"/>
      <c r="C847" s="322"/>
      <c r="D847" s="1668"/>
      <c r="E847" s="1668"/>
      <c r="F847" s="1668"/>
      <c r="H847" s="404"/>
      <c r="I847" s="404"/>
    </row>
    <row r="848" spans="1:9" ht="13">
      <c r="A848" s="1033"/>
      <c r="B848" s="1033"/>
      <c r="C848" s="322"/>
      <c r="D848" s="1668"/>
      <c r="E848" s="1668"/>
      <c r="F848" s="1668"/>
      <c r="H848" s="404"/>
      <c r="I848" s="404"/>
    </row>
    <row r="849" spans="1:9" ht="13">
      <c r="A849" s="1033"/>
      <c r="B849" s="1033"/>
      <c r="C849" s="322"/>
      <c r="D849" s="1668"/>
      <c r="E849" s="1668"/>
      <c r="F849" s="1668"/>
      <c r="H849" s="404"/>
      <c r="I849" s="404"/>
    </row>
    <row r="850" spans="1:9" ht="13">
      <c r="A850" s="1033"/>
      <c r="B850" s="1033"/>
      <c r="C850" s="322"/>
      <c r="D850" s="1668"/>
      <c r="E850" s="1668"/>
      <c r="F850" s="1668"/>
      <c r="H850" s="404"/>
      <c r="I850" s="404"/>
    </row>
    <row r="851" spans="1:9" ht="13">
      <c r="A851" s="1033"/>
      <c r="B851" s="1033"/>
      <c r="C851" s="322"/>
      <c r="D851" s="1668"/>
      <c r="E851" s="1668"/>
      <c r="F851" s="1668"/>
      <c r="H851" s="404"/>
      <c r="I851" s="404"/>
    </row>
    <row r="852" spans="1:9" ht="13">
      <c r="A852" s="1033"/>
      <c r="B852" s="1033"/>
      <c r="C852" s="322"/>
      <c r="D852" s="333"/>
      <c r="E852" s="282"/>
      <c r="F852" s="282"/>
      <c r="H852" s="404"/>
      <c r="I852" s="404"/>
    </row>
    <row r="853" spans="1:9" ht="13">
      <c r="A853" s="413"/>
      <c r="B853" s="949" t="s">
        <v>1530</v>
      </c>
      <c r="C853" s="322"/>
      <c r="D853" s="1583" t="s">
        <v>1626</v>
      </c>
      <c r="E853" s="1583"/>
      <c r="F853" s="1583"/>
      <c r="H853" s="404"/>
      <c r="I853" s="404"/>
    </row>
    <row r="854" spans="1:9" ht="13">
      <c r="A854" s="413"/>
      <c r="B854" s="413"/>
      <c r="C854" s="322"/>
      <c r="D854" s="1583"/>
      <c r="E854" s="1583"/>
      <c r="F854" s="1583"/>
      <c r="H854" s="404"/>
      <c r="I854" s="404"/>
    </row>
    <row r="855" spans="1:9" ht="13">
      <c r="A855" s="413"/>
      <c r="B855" s="413"/>
      <c r="C855" s="322"/>
      <c r="D855" s="1583"/>
      <c r="E855" s="1583"/>
      <c r="F855" s="1583"/>
      <c r="H855" s="404"/>
      <c r="I855" s="404"/>
    </row>
    <row r="856" spans="1:9" ht="13">
      <c r="A856" s="570"/>
      <c r="B856" s="570"/>
      <c r="C856" s="405"/>
      <c r="D856" s="403"/>
      <c r="H856" s="404"/>
      <c r="I856" s="404"/>
    </row>
    <row r="857" spans="1:9" ht="12.5">
      <c r="A857" s="706"/>
      <c r="B857" s="949" t="s">
        <v>136</v>
      </c>
      <c r="C857" s="405"/>
      <c r="D857" s="1676" t="s">
        <v>1627</v>
      </c>
      <c r="E857" s="1676"/>
      <c r="F857" s="1676"/>
      <c r="H857" s="404"/>
      <c r="I857" s="404"/>
    </row>
    <row r="858" spans="1:9" ht="12.5">
      <c r="A858" s="14"/>
      <c r="B858" s="706"/>
      <c r="C858" s="405"/>
      <c r="D858" s="1676"/>
      <c r="E858" s="1676"/>
      <c r="F858" s="1676"/>
      <c r="H858" s="404"/>
      <c r="I858" s="404"/>
    </row>
    <row r="859" spans="1:9" ht="14.25" customHeight="1">
      <c r="A859" s="570"/>
      <c r="B859" s="14"/>
      <c r="C859" s="405"/>
      <c r="D859" s="1627" t="s">
        <v>1653</v>
      </c>
      <c r="E859" s="1627"/>
      <c r="F859" s="1627"/>
      <c r="H859" s="404"/>
      <c r="I859" s="404"/>
    </row>
    <row r="860" spans="1:9" ht="13">
      <c r="A860" s="570"/>
      <c r="B860" s="570"/>
      <c r="C860" s="405"/>
      <c r="D860" s="1627"/>
      <c r="E860" s="1627"/>
      <c r="F860" s="1627"/>
      <c r="H860" s="404"/>
      <c r="I860" s="404"/>
    </row>
    <row r="861" spans="1:9" ht="13">
      <c r="A861" s="570"/>
      <c r="B861" s="570"/>
      <c r="C861" s="405"/>
      <c r="D861" s="1627"/>
      <c r="E861" s="1627"/>
      <c r="F861" s="1627"/>
      <c r="H861" s="404"/>
      <c r="I861" s="404"/>
    </row>
    <row r="862" spans="1:9" ht="13">
      <c r="A862" s="570"/>
      <c r="B862" s="570"/>
      <c r="C862" s="405"/>
      <c r="D862" s="1627"/>
      <c r="E862" s="1627"/>
      <c r="F862" s="1627"/>
      <c r="H862" s="404"/>
      <c r="I862" s="404"/>
    </row>
    <row r="863" spans="1:9" ht="13">
      <c r="A863" s="570"/>
      <c r="B863" s="570"/>
      <c r="C863" s="405"/>
      <c r="D863" s="1627"/>
      <c r="E863" s="1627"/>
      <c r="F863" s="1627"/>
      <c r="H863" s="404"/>
      <c r="I863" s="404"/>
    </row>
    <row r="864" spans="1:9" ht="14.25" customHeight="1">
      <c r="A864" s="570"/>
      <c r="B864" s="570"/>
      <c r="C864" s="405"/>
      <c r="D864" s="1627"/>
      <c r="E864" s="1627"/>
      <c r="F864" s="1627"/>
      <c r="H864" s="404"/>
      <c r="I864" s="404"/>
    </row>
    <row r="865" spans="1:9" ht="13">
      <c r="A865" s="570"/>
      <c r="B865" s="570"/>
      <c r="C865" s="405"/>
      <c r="D865" s="403"/>
      <c r="H865" s="404"/>
      <c r="I865" s="404"/>
    </row>
    <row r="866" spans="1:9" ht="13">
      <c r="A866" s="570"/>
      <c r="B866" s="949" t="s">
        <v>136</v>
      </c>
      <c r="C866" s="405"/>
      <c r="D866" s="1627" t="s">
        <v>1300</v>
      </c>
      <c r="E866" s="1627"/>
      <c r="F866" s="1627"/>
      <c r="H866" s="404"/>
      <c r="I866" s="404"/>
    </row>
    <row r="867" spans="1:9" ht="13">
      <c r="A867" s="570"/>
      <c r="B867" s="570"/>
      <c r="C867" s="405"/>
      <c r="D867" s="1627" t="s">
        <v>1301</v>
      </c>
      <c r="E867" s="1627"/>
      <c r="F867" s="1627"/>
      <c r="H867" s="404"/>
      <c r="I867" s="404"/>
    </row>
    <row r="868" spans="1:9" ht="13">
      <c r="A868" s="570"/>
      <c r="B868" s="570"/>
      <c r="C868" s="405"/>
      <c r="D868" s="330" t="s">
        <v>1592</v>
      </c>
      <c r="E868" s="1682" t="s">
        <v>1628</v>
      </c>
      <c r="F868" s="1682"/>
      <c r="H868" s="404"/>
      <c r="I868" s="404"/>
    </row>
    <row r="869" spans="1:9" ht="13">
      <c r="A869" s="570"/>
      <c r="B869" s="570"/>
      <c r="C869" s="405"/>
      <c r="D869" s="403"/>
      <c r="H869" s="404"/>
      <c r="I869" s="404"/>
    </row>
    <row r="870" spans="1:9" ht="13">
      <c r="A870" s="570"/>
      <c r="B870" s="949" t="s">
        <v>136</v>
      </c>
      <c r="C870" s="405"/>
      <c r="D870" s="1627" t="s">
        <v>1629</v>
      </c>
      <c r="E870" s="1627"/>
      <c r="F870" s="1627"/>
      <c r="H870" s="404"/>
      <c r="I870" s="404"/>
    </row>
    <row r="871" spans="1:9" ht="13">
      <c r="A871" s="570"/>
      <c r="B871" s="570"/>
      <c r="C871" s="405"/>
      <c r="D871" s="1627"/>
      <c r="E871" s="1627"/>
      <c r="F871" s="1627"/>
      <c r="H871" s="404"/>
      <c r="I871" s="404"/>
    </row>
    <row r="872" spans="1:9" ht="13">
      <c r="A872" s="570"/>
      <c r="B872" s="570"/>
      <c r="C872" s="405"/>
      <c r="D872" s="1627"/>
      <c r="E872" s="1627"/>
      <c r="F872" s="1627"/>
      <c r="H872" s="404"/>
      <c r="I872" s="404"/>
    </row>
    <row r="873" spans="1:9" ht="13">
      <c r="A873" s="570"/>
      <c r="B873" s="570"/>
      <c r="C873" s="405"/>
      <c r="D873" s="1627"/>
      <c r="E873" s="1627"/>
      <c r="F873" s="1627"/>
      <c r="H873" s="404"/>
      <c r="I873" s="404"/>
    </row>
    <row r="874" spans="1:9" ht="13">
      <c r="A874" s="414"/>
      <c r="B874" s="414"/>
      <c r="C874" s="298"/>
      <c r="D874" s="287"/>
      <c r="E874" s="282"/>
      <c r="F874" s="282"/>
      <c r="H874" s="404"/>
      <c r="I874" s="404"/>
    </row>
    <row r="875" spans="1:9" ht="13">
      <c r="A875" s="416" t="s">
        <v>1557</v>
      </c>
      <c r="B875" s="416"/>
      <c r="C875" s="951"/>
      <c r="D875" s="951"/>
      <c r="E875" s="951"/>
      <c r="F875" s="951"/>
      <c r="G875" s="952"/>
      <c r="H875" s="404"/>
      <c r="I875" s="404"/>
    </row>
    <row r="876" spans="1:9" ht="13">
      <c r="A876" s="414"/>
      <c r="B876" s="414"/>
      <c r="C876" s="298"/>
      <c r="D876" s="332"/>
      <c r="E876" s="282"/>
      <c r="F876" s="282"/>
      <c r="H876" s="404"/>
      <c r="I876" s="404"/>
    </row>
    <row r="877" spans="1:9" ht="13">
      <c r="A877" s="140"/>
      <c r="B877" s="140"/>
      <c r="C877" s="299"/>
      <c r="D877" s="1590" t="s">
        <v>1697</v>
      </c>
      <c r="E877" s="1590"/>
      <c r="F877" s="1590"/>
      <c r="G877" s="572"/>
      <c r="H877" s="404"/>
      <c r="I877" s="404"/>
    </row>
    <row r="878" spans="1:9" ht="13">
      <c r="A878" s="1021"/>
      <c r="B878" s="1021"/>
      <c r="C878" s="299"/>
      <c r="D878" s="1678" t="s">
        <v>2143</v>
      </c>
      <c r="E878" s="1679"/>
      <c r="F878" s="1679"/>
      <c r="G878" s="572"/>
      <c r="H878" s="404"/>
      <c r="I878" s="404"/>
    </row>
    <row r="879" spans="1:9" ht="13">
      <c r="A879" s="1021"/>
      <c r="B879" s="1021"/>
      <c r="C879" s="299"/>
      <c r="D879" s="1014"/>
      <c r="E879" s="1014"/>
      <c r="F879" s="1014"/>
      <c r="G879" s="572"/>
      <c r="H879" s="404"/>
      <c r="I879" s="404"/>
    </row>
    <row r="880" spans="1:9" ht="13">
      <c r="A880" s="413"/>
      <c r="B880" s="949" t="s">
        <v>1530</v>
      </c>
      <c r="C880" s="14"/>
      <c r="D880" s="1585" t="s">
        <v>1652</v>
      </c>
      <c r="E880" s="1585"/>
      <c r="F880" s="1585"/>
      <c r="G880" s="572"/>
      <c r="H880" s="404"/>
      <c r="I880" s="404"/>
    </row>
    <row r="881" spans="1:9" ht="13">
      <c r="A881" s="140"/>
      <c r="B881" s="140"/>
      <c r="C881" s="14"/>
      <c r="D881" s="6" t="s">
        <v>1592</v>
      </c>
      <c r="E881" s="1677" t="s">
        <v>1628</v>
      </c>
      <c r="F881" s="1677"/>
      <c r="G881" s="572"/>
    </row>
    <row r="882" spans="1:9" ht="12.5">
      <c r="A882" s="140"/>
      <c r="B882" s="140"/>
      <c r="C882" s="14"/>
      <c r="D882" s="287"/>
      <c r="E882" s="296"/>
      <c r="F882" s="296"/>
      <c r="G882" s="572"/>
      <c r="H882" s="404"/>
      <c r="I882" s="404"/>
    </row>
    <row r="883" spans="1:9" ht="13">
      <c r="A883" s="413"/>
      <c r="B883" s="949" t="s">
        <v>1530</v>
      </c>
      <c r="C883" s="14"/>
      <c r="D883" s="1582" t="s">
        <v>2146</v>
      </c>
      <c r="E883" s="1637"/>
      <c r="F883" s="1637"/>
    </row>
    <row r="884" spans="1:9" ht="12.75" customHeight="1">
      <c r="A884" s="140"/>
      <c r="B884" s="140"/>
      <c r="C884" s="14"/>
      <c r="D884" s="1637"/>
      <c r="E884" s="1637"/>
      <c r="F884" s="1637"/>
    </row>
    <row r="885" spans="1:9" ht="13">
      <c r="A885" s="413"/>
      <c r="B885" s="413"/>
      <c r="C885" s="14"/>
      <c r="D885" s="287"/>
      <c r="E885" s="296"/>
      <c r="F885" s="296"/>
      <c r="G885" s="572"/>
      <c r="H885" s="404"/>
      <c r="I885" s="404"/>
    </row>
    <row r="886" spans="1:9" ht="12.5">
      <c r="A886" s="14"/>
      <c r="B886" s="949" t="s">
        <v>136</v>
      </c>
      <c r="D886" s="1674" t="s">
        <v>1892</v>
      </c>
      <c r="E886" s="1674"/>
      <c r="F886" s="1674"/>
      <c r="G886" s="572"/>
      <c r="H886" s="404"/>
      <c r="I886" s="404"/>
    </row>
    <row r="887" spans="1:9" ht="29.5" customHeight="1">
      <c r="A887" s="14"/>
      <c r="B887" s="897"/>
      <c r="D887" s="1674"/>
      <c r="E887" s="1674"/>
      <c r="F887" s="1674"/>
      <c r="G887" s="572"/>
      <c r="H887" s="404"/>
      <c r="I887" s="404"/>
    </row>
    <row r="888" spans="1:9" ht="13">
      <c r="A888" s="413"/>
      <c r="B888" s="2"/>
      <c r="C888" s="14"/>
      <c r="D888" s="1627" t="s">
        <v>1653</v>
      </c>
      <c r="E888" s="1627"/>
      <c r="F888" s="1627"/>
      <c r="G888" s="572"/>
      <c r="H888" s="404"/>
      <c r="I888" s="404"/>
    </row>
    <row r="889" spans="1:9" ht="13">
      <c r="A889" s="413"/>
      <c r="B889" s="413"/>
      <c r="C889" s="14"/>
      <c r="D889" s="1627"/>
      <c r="E889" s="1627"/>
      <c r="F889" s="1627"/>
      <c r="G889" s="572"/>
      <c r="H889" s="404"/>
      <c r="I889" s="404"/>
    </row>
    <row r="890" spans="1:9" ht="13">
      <c r="A890" s="413"/>
      <c r="B890" s="413"/>
      <c r="C890" s="14"/>
      <c r="D890" s="1627"/>
      <c r="E890" s="1627"/>
      <c r="F890" s="1627"/>
      <c r="G890" s="572"/>
      <c r="H890" s="404"/>
      <c r="I890" s="404"/>
    </row>
    <row r="891" spans="1:9" ht="13">
      <c r="A891" s="413"/>
      <c r="B891" s="413"/>
      <c r="C891" s="14"/>
      <c r="D891" s="1627"/>
      <c r="E891" s="1627"/>
      <c r="F891" s="1627"/>
      <c r="G891" s="572"/>
      <c r="H891" s="404"/>
      <c r="I891" s="404"/>
    </row>
    <row r="892" spans="1:9" ht="13">
      <c r="A892" s="413"/>
      <c r="B892" s="413"/>
      <c r="C892" s="14"/>
      <c r="D892" s="1627"/>
      <c r="E892" s="1627"/>
      <c r="F892" s="1627"/>
      <c r="G892" s="572"/>
      <c r="H892" s="404"/>
      <c r="I892" s="404"/>
    </row>
    <row r="893" spans="1:9" ht="13">
      <c r="A893" s="413"/>
      <c r="B893" s="413"/>
      <c r="C893" s="14"/>
      <c r="D893" s="1627"/>
      <c r="E893" s="1627"/>
      <c r="F893" s="1627"/>
      <c r="G893" s="572"/>
      <c r="H893" s="404"/>
      <c r="I893" s="404"/>
    </row>
    <row r="894" spans="1:9" ht="13">
      <c r="A894" s="413"/>
      <c r="B894" s="413"/>
      <c r="C894" s="14"/>
      <c r="D894" s="287"/>
      <c r="E894" s="296"/>
      <c r="F894" s="296"/>
      <c r="G894" s="572"/>
      <c r="H894" s="404"/>
      <c r="I894" s="404"/>
    </row>
    <row r="895" spans="1:9" ht="13">
      <c r="A895" s="413"/>
      <c r="B895" s="949" t="s">
        <v>136</v>
      </c>
      <c r="C895" s="14"/>
      <c r="D895" s="1592" t="s">
        <v>1300</v>
      </c>
      <c r="E895" s="1592"/>
      <c r="F895" s="1592"/>
      <c r="G895" s="572"/>
      <c r="H895" s="404"/>
      <c r="I895" s="404"/>
    </row>
    <row r="896" spans="1:9" ht="13">
      <c r="A896" s="413"/>
      <c r="B896" s="413"/>
      <c r="C896" s="14"/>
      <c r="D896" s="1592" t="s">
        <v>1301</v>
      </c>
      <c r="E896" s="1592"/>
      <c r="F896" s="1592"/>
      <c r="G896" s="572"/>
      <c r="H896" s="404"/>
      <c r="I896" s="404"/>
    </row>
    <row r="897" spans="1:9" ht="13">
      <c r="A897" s="413"/>
      <c r="B897" s="413"/>
      <c r="C897" s="14"/>
      <c r="D897" s="6" t="s">
        <v>1654</v>
      </c>
      <c r="E897" s="1675" t="s">
        <v>1628</v>
      </c>
      <c r="F897" s="1675"/>
      <c r="G897" s="572"/>
      <c r="H897" s="404"/>
      <c r="I897" s="404"/>
    </row>
    <row r="898" spans="1:9" ht="13">
      <c r="A898" s="413"/>
      <c r="B898" s="413"/>
      <c r="C898" s="14"/>
      <c r="D898" s="287"/>
      <c r="E898" s="296"/>
      <c r="F898" s="296"/>
      <c r="G898" s="572"/>
      <c r="H898" s="404"/>
      <c r="I898" s="404"/>
    </row>
    <row r="899" spans="1:9" ht="13">
      <c r="A899" s="413"/>
      <c r="B899" s="949" t="s">
        <v>136</v>
      </c>
      <c r="C899" s="14"/>
      <c r="D899" s="1583" t="s">
        <v>1629</v>
      </c>
      <c r="E899" s="1583"/>
      <c r="F899" s="1583"/>
      <c r="G899" s="572"/>
      <c r="H899" s="404"/>
      <c r="I899" s="404"/>
    </row>
    <row r="900" spans="1:9" ht="13">
      <c r="A900" s="413"/>
      <c r="B900" s="413"/>
      <c r="C900" s="14"/>
      <c r="D900" s="1583"/>
      <c r="E900" s="1583"/>
      <c r="F900" s="1583"/>
      <c r="G900" s="572"/>
      <c r="H900" s="404"/>
      <c r="I900" s="404"/>
    </row>
    <row r="901" spans="1:9" ht="13">
      <c r="A901" s="413"/>
      <c r="B901" s="413"/>
      <c r="C901" s="14"/>
      <c r="D901" s="1583"/>
      <c r="E901" s="1583"/>
      <c r="F901" s="1583"/>
      <c r="G901" s="572"/>
      <c r="H901" s="404"/>
      <c r="I901" s="404"/>
    </row>
    <row r="902" spans="1:9" ht="13">
      <c r="A902" s="413"/>
      <c r="B902" s="413"/>
      <c r="C902" s="14"/>
      <c r="D902" s="1583"/>
      <c r="E902" s="1583"/>
      <c r="F902" s="1583"/>
      <c r="G902" s="572"/>
      <c r="H902" s="404"/>
      <c r="I902" s="404"/>
    </row>
    <row r="903" spans="1:9" ht="12.5">
      <c r="A903" s="143"/>
      <c r="B903" s="143"/>
      <c r="C903" s="322"/>
      <c r="D903" s="296"/>
      <c r="E903" s="296"/>
      <c r="F903" s="296"/>
      <c r="G903" s="572"/>
      <c r="H903" s="404"/>
      <c r="I903" s="404"/>
    </row>
    <row r="904" spans="1:9" ht="13">
      <c r="A904" s="1599" t="s">
        <v>1558</v>
      </c>
      <c r="B904" s="1599"/>
      <c r="C904" s="1599"/>
      <c r="D904" s="1599"/>
      <c r="E904" s="1599"/>
      <c r="F904" s="1599"/>
      <c r="G904" s="1599"/>
      <c r="H904" s="404"/>
      <c r="I904" s="404"/>
    </row>
    <row r="905" spans="1:9" ht="12.5">
      <c r="A905" s="143"/>
      <c r="B905" s="143"/>
      <c r="C905" s="322"/>
      <c r="D905" s="296"/>
      <c r="E905" s="296"/>
      <c r="F905" s="296"/>
      <c r="G905" s="572"/>
      <c r="H905" s="404"/>
      <c r="I905" s="404"/>
    </row>
    <row r="906" spans="1:9" ht="13">
      <c r="A906" s="140"/>
      <c r="B906" s="140"/>
      <c r="C906" s="322"/>
      <c r="D906" s="1646" t="s">
        <v>1840</v>
      </c>
      <c r="E906" s="1646"/>
      <c r="F906" s="1646"/>
      <c r="G906" s="572"/>
      <c r="H906" s="404"/>
      <c r="I906" s="404"/>
    </row>
    <row r="907" spans="1:9" ht="13">
      <c r="A907" s="414"/>
      <c r="B907" s="414"/>
      <c r="C907" s="298"/>
      <c r="D907" s="1585" t="s">
        <v>1651</v>
      </c>
      <c r="E907" s="1585"/>
      <c r="F907" s="1585"/>
      <c r="G907" s="572"/>
      <c r="H907" s="404"/>
      <c r="I907" s="404"/>
    </row>
    <row r="908" spans="1:9" ht="13">
      <c r="A908" s="414"/>
      <c r="B908" s="414"/>
      <c r="C908" s="298"/>
      <c r="D908" s="282"/>
      <c r="E908" s="282"/>
      <c r="F908" s="296"/>
      <c r="G908" s="572"/>
      <c r="H908" s="404"/>
      <c r="I908" s="404"/>
    </row>
    <row r="909" spans="1:9" ht="13.75" customHeight="1">
      <c r="A909" s="414"/>
      <c r="B909" s="1019" t="s">
        <v>136</v>
      </c>
      <c r="C909" s="298"/>
      <c r="D909" s="1684" t="s">
        <v>1850</v>
      </c>
      <c r="E909" s="1684"/>
      <c r="F909" s="1684"/>
      <c r="G909" s="572"/>
      <c r="H909" s="404"/>
      <c r="I909" s="404"/>
    </row>
    <row r="910" spans="1:9" ht="13">
      <c r="A910" s="414"/>
      <c r="B910" s="414"/>
      <c r="C910" s="298"/>
      <c r="D910" s="1684"/>
      <c r="E910" s="1684"/>
      <c r="F910" s="1684"/>
      <c r="G910" s="572"/>
      <c r="H910" s="404"/>
      <c r="I910" s="404"/>
    </row>
    <row r="911" spans="1:9" ht="13">
      <c r="A911" s="414"/>
      <c r="B911" s="414"/>
      <c r="C911" s="298"/>
      <c r="D911" s="1684"/>
      <c r="E911" s="1684"/>
      <c r="F911" s="1684"/>
      <c r="G911" s="572"/>
      <c r="H911" s="404"/>
      <c r="I911" s="404"/>
    </row>
    <row r="912" spans="1:9" ht="13">
      <c r="A912" s="414"/>
      <c r="B912" s="414"/>
      <c r="C912" s="298"/>
      <c r="D912" s="1684"/>
      <c r="E912" s="1684"/>
      <c r="F912" s="1684"/>
      <c r="G912" s="572"/>
      <c r="H912" s="404"/>
      <c r="I912" s="404"/>
    </row>
    <row r="913" spans="1:9" ht="13">
      <c r="A913" s="414"/>
      <c r="B913" s="414"/>
      <c r="C913" s="298"/>
      <c r="D913" s="1684"/>
      <c r="E913" s="1684"/>
      <c r="F913" s="1684"/>
      <c r="G913" s="572"/>
      <c r="H913" s="404"/>
      <c r="I913" s="404"/>
    </row>
    <row r="914" spans="1:9" ht="13">
      <c r="A914" s="415"/>
      <c r="B914" s="415"/>
      <c r="C914" s="299"/>
      <c r="D914" s="282"/>
      <c r="E914" s="282"/>
      <c r="F914" s="296"/>
      <c r="G914" s="572"/>
      <c r="H914" s="404"/>
      <c r="I914" s="404"/>
    </row>
    <row r="915" spans="1:9" ht="14.25" customHeight="1">
      <c r="A915" s="570"/>
      <c r="B915" s="949" t="s">
        <v>1530</v>
      </c>
      <c r="C915" s="571"/>
      <c r="D915" s="1682" t="s">
        <v>1950</v>
      </c>
      <c r="E915" s="1682"/>
      <c r="F915" s="1682"/>
      <c r="G915" s="572"/>
      <c r="H915" s="404"/>
      <c r="I915" s="404"/>
    </row>
    <row r="916" spans="1:9" ht="14.25" customHeight="1">
      <c r="A916" s="570"/>
      <c r="B916" s="570"/>
      <c r="C916" s="571"/>
      <c r="D916" s="1682"/>
      <c r="E916" s="1682"/>
      <c r="F916" s="1682"/>
      <c r="G916" s="572"/>
      <c r="H916" s="404"/>
      <c r="I916" s="404"/>
    </row>
    <row r="917" spans="1:9" ht="14.25" customHeight="1">
      <c r="A917" s="570"/>
      <c r="B917" s="570"/>
      <c r="C917" s="571"/>
      <c r="D917" s="1682"/>
      <c r="E917" s="1682"/>
      <c r="F917" s="1682"/>
      <c r="G917" s="572"/>
      <c r="H917" s="404"/>
      <c r="I917" s="404"/>
    </row>
    <row r="918" spans="1:9" ht="14.25" customHeight="1">
      <c r="A918" s="570"/>
      <c r="B918" s="570"/>
      <c r="C918" s="571"/>
      <c r="D918" s="1682"/>
      <c r="E918" s="1682"/>
      <c r="F918" s="1682"/>
      <c r="G918" s="572"/>
      <c r="H918" s="404"/>
      <c r="I918" s="404"/>
    </row>
    <row r="919" spans="1:9" ht="14.25" customHeight="1">
      <c r="A919" s="573"/>
      <c r="B919" s="573"/>
      <c r="C919" s="571"/>
      <c r="D919" s="1682"/>
      <c r="E919" s="1682"/>
      <c r="F919" s="1682"/>
      <c r="G919" s="572"/>
      <c r="H919" s="404"/>
      <c r="I919" s="404"/>
    </row>
    <row r="920" spans="1:9" ht="14.25" customHeight="1">
      <c r="A920" s="573"/>
      <c r="B920" s="573"/>
      <c r="C920" s="571"/>
      <c r="D920" s="1682"/>
      <c r="E920" s="1682"/>
      <c r="F920" s="1682"/>
      <c r="G920" s="572"/>
      <c r="H920" s="404"/>
      <c r="I920" s="404"/>
    </row>
    <row r="921" spans="1:9" ht="14.25" customHeight="1">
      <c r="A921" s="573"/>
      <c r="B921" s="573"/>
      <c r="C921" s="571"/>
      <c r="D921" s="1682"/>
      <c r="E921" s="1682"/>
      <c r="F921" s="1682"/>
      <c r="G921" s="572"/>
      <c r="H921" s="404"/>
      <c r="I921" s="404"/>
    </row>
    <row r="922" spans="1:9" ht="14.25" customHeight="1">
      <c r="A922" s="573"/>
      <c r="B922" s="573"/>
      <c r="C922" s="571"/>
      <c r="D922" s="330"/>
      <c r="F922" s="572"/>
      <c r="G922" s="572"/>
      <c r="H922" s="404"/>
      <c r="I922" s="404"/>
    </row>
    <row r="923" spans="1:9" s="515" customFormat="1" ht="14.25" customHeight="1">
      <c r="A923" s="574"/>
      <c r="B923" s="949" t="s">
        <v>136</v>
      </c>
      <c r="C923" s="575"/>
      <c r="D923" s="1682" t="s">
        <v>1951</v>
      </c>
      <c r="E923" s="1682"/>
      <c r="F923" s="1682"/>
      <c r="G923" s="577"/>
      <c r="H923" s="578"/>
      <c r="I923" s="578"/>
    </row>
    <row r="924" spans="1:9" s="515" customFormat="1" ht="14.25" customHeight="1">
      <c r="A924" s="574"/>
      <c r="B924" s="574"/>
      <c r="C924" s="575"/>
      <c r="D924" s="1682"/>
      <c r="E924" s="1682"/>
      <c r="F924" s="1682"/>
      <c r="G924" s="577"/>
      <c r="H924" s="578"/>
      <c r="I924" s="578"/>
    </row>
    <row r="925" spans="1:9" s="515" customFormat="1" ht="14.25" customHeight="1">
      <c r="A925" s="574"/>
      <c r="B925" s="574"/>
      <c r="C925" s="575"/>
      <c r="D925" s="1682"/>
      <c r="E925" s="1682"/>
      <c r="F925" s="1682"/>
      <c r="G925" s="577"/>
      <c r="H925" s="578"/>
      <c r="I925" s="578"/>
    </row>
    <row r="926" spans="1:9" s="515" customFormat="1" ht="14.25" customHeight="1">
      <c r="A926" s="574"/>
      <c r="B926" s="574"/>
      <c r="C926" s="575"/>
      <c r="D926" s="1682"/>
      <c r="E926" s="1682"/>
      <c r="F926" s="1682"/>
      <c r="G926" s="577"/>
      <c r="H926" s="578"/>
      <c r="I926" s="578"/>
    </row>
    <row r="927" spans="1:9" s="515" customFormat="1" ht="14.25" customHeight="1">
      <c r="A927" s="574"/>
      <c r="B927" s="574"/>
      <c r="C927" s="575"/>
      <c r="D927" s="1682"/>
      <c r="E927" s="1682"/>
      <c r="F927" s="1682"/>
      <c r="G927" s="577"/>
      <c r="H927" s="578"/>
      <c r="I927" s="578"/>
    </row>
    <row r="928" spans="1:9" s="515" customFormat="1" ht="13">
      <c r="A928" s="574"/>
      <c r="B928" s="574"/>
      <c r="C928" s="575"/>
      <c r="D928" s="1682"/>
      <c r="E928" s="1682"/>
      <c r="F928" s="1682"/>
      <c r="G928" s="577"/>
      <c r="H928" s="578"/>
      <c r="I928" s="578"/>
    </row>
    <row r="929" spans="1:9" s="515" customFormat="1" ht="14.25" customHeight="1">
      <c r="A929" s="574"/>
      <c r="B929" s="574"/>
      <c r="C929" s="575"/>
      <c r="D929" s="1682"/>
      <c r="E929" s="1682"/>
      <c r="F929" s="1682"/>
      <c r="G929" s="577"/>
      <c r="H929" s="578"/>
      <c r="I929" s="578"/>
    </row>
    <row r="930" spans="1:9" s="515" customFormat="1" ht="14.25" customHeight="1">
      <c r="A930" s="574"/>
      <c r="B930" s="574"/>
      <c r="C930" s="575"/>
      <c r="D930" s="1682"/>
      <c r="E930" s="1682"/>
      <c r="F930" s="1682"/>
      <c r="G930" s="577"/>
      <c r="H930" s="578"/>
      <c r="I930" s="578"/>
    </row>
    <row r="931" spans="1:9" s="515" customFormat="1" ht="14.25" customHeight="1">
      <c r="A931" s="574"/>
      <c r="B931" s="574"/>
      <c r="C931" s="575"/>
      <c r="D931" s="1682"/>
      <c r="E931" s="1682"/>
      <c r="F931" s="1682"/>
      <c r="G931" s="577"/>
      <c r="H931" s="578"/>
      <c r="I931" s="578"/>
    </row>
    <row r="932" spans="1:9" ht="14.25" customHeight="1">
      <c r="A932" s="573"/>
      <c r="B932" s="573"/>
      <c r="C932" s="571"/>
      <c r="D932" s="330"/>
      <c r="F932" s="572"/>
      <c r="G932" s="572"/>
      <c r="H932" s="404"/>
      <c r="I932" s="404"/>
    </row>
    <row r="933" spans="1:9" ht="14.25" customHeight="1">
      <c r="A933" s="570"/>
      <c r="B933" s="949" t="s">
        <v>1530</v>
      </c>
      <c r="C933" s="571"/>
      <c r="D933" s="1641" t="s">
        <v>1851</v>
      </c>
      <c r="E933" s="1641"/>
      <c r="F933" s="1641"/>
      <c r="G933" s="572"/>
      <c r="H933" s="404"/>
      <c r="I933" s="404"/>
    </row>
    <row r="934" spans="1:9" ht="14.25" customHeight="1">
      <c r="A934" s="570"/>
      <c r="B934" s="570"/>
      <c r="C934" s="571"/>
      <c r="D934" s="1641"/>
      <c r="E934" s="1641"/>
      <c r="F934" s="1641"/>
      <c r="G934" s="572"/>
      <c r="H934" s="404"/>
      <c r="I934" s="404"/>
    </row>
    <row r="935" spans="1:9" ht="14.25" customHeight="1">
      <c r="A935" s="570"/>
      <c r="B935" s="570"/>
      <c r="C935" s="571"/>
      <c r="D935" s="1641"/>
      <c r="E935" s="1641"/>
      <c r="F935" s="1641"/>
      <c r="G935" s="572"/>
      <c r="H935" s="404"/>
      <c r="I935" s="404"/>
    </row>
    <row r="936" spans="1:9" ht="14.25" customHeight="1">
      <c r="A936" s="570"/>
      <c r="B936" s="570"/>
      <c r="C936" s="571"/>
      <c r="D936" s="1641"/>
      <c r="E936" s="1641"/>
      <c r="F936" s="1641"/>
      <c r="G936" s="572"/>
      <c r="H936" s="404"/>
      <c r="I936" s="404"/>
    </row>
    <row r="937" spans="1:9" ht="14.25" customHeight="1">
      <c r="A937" s="570"/>
      <c r="B937" s="570"/>
      <c r="C937" s="571"/>
      <c r="D937" s="1641"/>
      <c r="E937" s="1641"/>
      <c r="F937" s="1641"/>
      <c r="G937" s="572"/>
      <c r="H937" s="404"/>
      <c r="I937" s="404"/>
    </row>
    <row r="938" spans="1:9" ht="14.25" customHeight="1">
      <c r="A938" s="570"/>
      <c r="B938" s="570"/>
      <c r="C938" s="571"/>
      <c r="D938" s="1641"/>
      <c r="E938" s="1641"/>
      <c r="F938" s="1641"/>
      <c r="G938" s="572"/>
      <c r="H938" s="404"/>
      <c r="I938" s="404"/>
    </row>
    <row r="939" spans="1:9" ht="14.25" customHeight="1">
      <c r="A939" s="570"/>
      <c r="B939" s="570"/>
      <c r="C939" s="571"/>
      <c r="D939" s="1641"/>
      <c r="E939" s="1641"/>
      <c r="F939" s="1641"/>
      <c r="G939" s="572"/>
      <c r="H939" s="404"/>
      <c r="I939" s="404"/>
    </row>
    <row r="940" spans="1:9" ht="14.25" customHeight="1">
      <c r="A940" s="570"/>
      <c r="B940" s="570"/>
      <c r="C940" s="571"/>
      <c r="D940" s="638"/>
      <c r="F940" s="572"/>
      <c r="G940" s="572"/>
      <c r="H940" s="404"/>
      <c r="I940" s="404"/>
    </row>
    <row r="941" spans="1:9" s="707" customFormat="1" ht="13">
      <c r="A941" s="570"/>
      <c r="B941" s="949" t="s">
        <v>136</v>
      </c>
      <c r="C941" s="571"/>
      <c r="D941" s="1682" t="s">
        <v>1852</v>
      </c>
      <c r="E941" s="1682"/>
      <c r="F941" s="1682"/>
      <c r="G941" s="572"/>
      <c r="H941" s="769"/>
    </row>
    <row r="942" spans="1:9" s="707" customFormat="1" ht="13">
      <c r="A942" s="570"/>
      <c r="B942" s="570"/>
      <c r="C942" s="571"/>
      <c r="D942" s="1682"/>
      <c r="E942" s="1682"/>
      <c r="F942" s="1682"/>
      <c r="G942" s="572"/>
      <c r="H942" s="769"/>
    </row>
    <row r="943" spans="1:9" s="707" customFormat="1" ht="13">
      <c r="A943" s="570"/>
      <c r="B943" s="570"/>
      <c r="C943" s="571"/>
      <c r="D943" s="1682"/>
      <c r="E943" s="1682"/>
      <c r="F943" s="1682"/>
      <c r="G943" s="572"/>
      <c r="H943" s="769"/>
    </row>
    <row r="944" spans="1:9" s="707" customFormat="1" ht="13">
      <c r="A944" s="570"/>
      <c r="B944" s="570"/>
      <c r="C944" s="571"/>
      <c r="D944" s="1682"/>
      <c r="E944" s="1682"/>
      <c r="F944" s="1682"/>
      <c r="G944" s="572"/>
      <c r="H944" s="769"/>
    </row>
    <row r="945" spans="1:9" s="707" customFormat="1" ht="13">
      <c r="A945" s="570"/>
      <c r="B945" s="570"/>
      <c r="C945" s="571"/>
      <c r="D945" s="330"/>
      <c r="E945" s="329"/>
      <c r="F945" s="572"/>
      <c r="G945" s="572"/>
      <c r="H945" s="769"/>
    </row>
    <row r="946" spans="1:9" ht="14.25" customHeight="1">
      <c r="A946" s="33"/>
      <c r="B946" s="33"/>
      <c r="C946" s="322"/>
      <c r="D946" s="1583" t="s">
        <v>1853</v>
      </c>
      <c r="E946" s="1583"/>
      <c r="F946" s="1583"/>
      <c r="G946" s="572"/>
      <c r="H946" s="404"/>
      <c r="I946" s="404"/>
    </row>
    <row r="947" spans="1:9" ht="14.25" customHeight="1">
      <c r="A947" s="355"/>
      <c r="B947" s="355"/>
      <c r="C947" s="322"/>
      <c r="D947" s="1583"/>
      <c r="E947" s="1583"/>
      <c r="F947" s="1583"/>
      <c r="G947" s="572"/>
      <c r="H947" s="404"/>
      <c r="I947" s="404"/>
    </row>
    <row r="948" spans="1:9" ht="14.25" customHeight="1">
      <c r="A948" s="355"/>
      <c r="B948" s="355"/>
      <c r="C948" s="322"/>
      <c r="D948" s="6"/>
      <c r="E948" s="296"/>
      <c r="F948" s="296"/>
      <c r="G948" s="572"/>
      <c r="H948" s="404"/>
      <c r="I948" s="404"/>
    </row>
    <row r="949" spans="1:9" ht="13">
      <c r="A949" s="413"/>
      <c r="B949" s="949" t="s">
        <v>1530</v>
      </c>
      <c r="C949" s="14"/>
      <c r="D949" s="1583" t="s">
        <v>1854</v>
      </c>
      <c r="E949" s="1583"/>
      <c r="F949" s="1583"/>
    </row>
    <row r="950" spans="1:9" ht="12.5">
      <c r="A950" s="140"/>
      <c r="B950" s="140"/>
      <c r="C950" s="14"/>
      <c r="D950" s="1583"/>
      <c r="E950" s="1583"/>
      <c r="F950" s="1583"/>
    </row>
    <row r="951" spans="1:9" ht="14.25" customHeight="1">
      <c r="A951" s="355"/>
      <c r="B951" s="355"/>
      <c r="C951" s="322"/>
      <c r="D951" s="6"/>
      <c r="E951" s="296"/>
      <c r="F951" s="296"/>
      <c r="G951" s="572"/>
      <c r="H951" s="404"/>
      <c r="I951" s="404"/>
    </row>
    <row r="952" spans="1:9" ht="14.25" customHeight="1">
      <c r="A952" s="415"/>
      <c r="B952" s="415"/>
      <c r="C952" s="299"/>
      <c r="D952" s="1646" t="s">
        <v>1843</v>
      </c>
      <c r="E952" s="1646"/>
      <c r="F952" s="1646"/>
      <c r="G952" s="572"/>
      <c r="H952" s="404"/>
      <c r="I952" s="404"/>
    </row>
    <row r="953" spans="1:9" ht="14.25" customHeight="1">
      <c r="A953" s="415"/>
      <c r="B953" s="415"/>
      <c r="C953" s="299"/>
      <c r="D953" s="1016"/>
      <c r="E953" s="282"/>
      <c r="F953" s="296"/>
      <c r="G953" s="572"/>
      <c r="H953" s="404"/>
      <c r="I953" s="404"/>
    </row>
    <row r="954" spans="1:9" ht="14.5" customHeight="1">
      <c r="A954" s="413"/>
      <c r="B954" s="949" t="s">
        <v>1530</v>
      </c>
      <c r="C954" s="322"/>
      <c r="D954" s="1598" t="s">
        <v>1842</v>
      </c>
      <c r="E954" s="1598"/>
      <c r="F954" s="1598"/>
      <c r="G954" s="572"/>
      <c r="H954" s="404"/>
      <c r="I954" s="404"/>
    </row>
    <row r="955" spans="1:9" ht="12.5">
      <c r="A955" s="355"/>
      <c r="B955" s="355"/>
      <c r="C955" s="322"/>
      <c r="D955" s="1598"/>
      <c r="E955" s="1598"/>
      <c r="F955" s="1598"/>
      <c r="G955" s="572"/>
      <c r="H955" s="404"/>
      <c r="I955" s="404"/>
    </row>
    <row r="956" spans="1:9" ht="12.5">
      <c r="A956" s="355"/>
      <c r="B956" s="355"/>
      <c r="C956" s="322"/>
      <c r="D956" s="1598"/>
      <c r="E956" s="1598"/>
      <c r="F956" s="1598"/>
      <c r="G956" s="572"/>
      <c r="H956" s="404"/>
      <c r="I956" s="404"/>
    </row>
    <row r="957" spans="1:9" ht="12.5">
      <c r="A957" s="355"/>
      <c r="B957" s="355"/>
      <c r="C957" s="322"/>
      <c r="D957" s="1598"/>
      <c r="E957" s="1598"/>
      <c r="F957" s="1598"/>
      <c r="G957" s="572"/>
      <c r="H957" s="404"/>
      <c r="I957" s="404"/>
    </row>
    <row r="958" spans="1:9" ht="12.5">
      <c r="A958" s="355"/>
      <c r="B958" s="355"/>
      <c r="C958" s="322"/>
      <c r="D958" s="1598"/>
      <c r="E958" s="1598"/>
      <c r="F958" s="1598"/>
      <c r="G958" s="572"/>
      <c r="H958" s="404"/>
      <c r="I958" s="404"/>
    </row>
    <row r="959" spans="1:9" ht="12.5">
      <c r="A959" s="355"/>
      <c r="B959" s="355"/>
      <c r="C959" s="322"/>
      <c r="D959" s="1598"/>
      <c r="E959" s="1598"/>
      <c r="F959" s="1598"/>
      <c r="G959" s="572"/>
      <c r="H959" s="404"/>
      <c r="I959" s="404"/>
    </row>
    <row r="960" spans="1:9" ht="12.5">
      <c r="A960" s="355"/>
      <c r="B960" s="355"/>
      <c r="C960" s="322"/>
      <c r="D960" s="1018"/>
      <c r="E960" s="1018"/>
      <c r="F960" s="1018"/>
      <c r="G960" s="572"/>
      <c r="H960" s="404"/>
      <c r="I960" s="404"/>
    </row>
    <row r="961" spans="1:9" ht="14.5" customHeight="1">
      <c r="A961" s="413"/>
      <c r="B961" s="949" t="s">
        <v>136</v>
      </c>
      <c r="C961" s="322"/>
      <c r="D961" s="1598" t="s">
        <v>1841</v>
      </c>
      <c r="E961" s="1598"/>
      <c r="F961" s="1598"/>
      <c r="G961" s="572"/>
      <c r="H961" s="404"/>
      <c r="I961" s="404"/>
    </row>
    <row r="962" spans="1:9" ht="12.5">
      <c r="A962" s="355"/>
      <c r="B962" s="355"/>
      <c r="C962" s="322"/>
      <c r="D962" s="1598"/>
      <c r="E962" s="1598"/>
      <c r="F962" s="1598"/>
      <c r="G962" s="572"/>
      <c r="H962" s="404"/>
      <c r="I962" s="404"/>
    </row>
    <row r="963" spans="1:9" ht="12.5">
      <c r="A963" s="355"/>
      <c r="B963" s="355"/>
      <c r="C963" s="322"/>
      <c r="D963" s="1598"/>
      <c r="E963" s="1598"/>
      <c r="F963" s="1598"/>
      <c r="G963" s="572"/>
      <c r="H963" s="404"/>
      <c r="I963" s="404"/>
    </row>
    <row r="964" spans="1:9" ht="12.5">
      <c r="A964" s="355"/>
      <c r="B964" s="355"/>
      <c r="C964" s="322"/>
      <c r="D964" s="1598"/>
      <c r="E964" s="1598"/>
      <c r="F964" s="1598"/>
      <c r="G964" s="572"/>
      <c r="H964" s="404"/>
      <c r="I964" s="404"/>
    </row>
    <row r="965" spans="1:9" ht="12.5">
      <c r="A965" s="355"/>
      <c r="B965" s="355"/>
      <c r="C965" s="322"/>
      <c r="D965" s="1598"/>
      <c r="E965" s="1598"/>
      <c r="F965" s="1598"/>
      <c r="G965" s="572"/>
      <c r="H965" s="404"/>
      <c r="I965" s="404"/>
    </row>
    <row r="966" spans="1:9" ht="12.5">
      <c r="A966" s="355"/>
      <c r="B966" s="355"/>
      <c r="C966" s="322"/>
      <c r="D966" s="710"/>
      <c r="E966" s="296"/>
      <c r="F966" s="296"/>
      <c r="G966" s="572"/>
      <c r="H966" s="404"/>
      <c r="I966" s="404"/>
    </row>
    <row r="967" spans="1:9" ht="13">
      <c r="A967" s="413"/>
      <c r="B967" s="949" t="s">
        <v>136</v>
      </c>
      <c r="C967" s="322"/>
      <c r="D967" s="1598" t="s">
        <v>1844</v>
      </c>
      <c r="E967" s="1598"/>
      <c r="F967" s="1598"/>
      <c r="G967" s="572"/>
      <c r="H967" s="404"/>
      <c r="I967" s="404"/>
    </row>
    <row r="968" spans="1:9" ht="12.5">
      <c r="A968" s="355"/>
      <c r="B968" s="355"/>
      <c r="C968" s="322"/>
      <c r="D968" s="1598"/>
      <c r="E968" s="1598"/>
      <c r="F968" s="1598"/>
      <c r="G968" s="572"/>
      <c r="H968" s="404"/>
      <c r="I968" s="404"/>
    </row>
    <row r="969" spans="1:9" ht="12.5">
      <c r="A969" s="355"/>
      <c r="B969" s="355"/>
      <c r="C969" s="322"/>
      <c r="D969" s="1598"/>
      <c r="E969" s="1598"/>
      <c r="F969" s="1598"/>
      <c r="G969" s="572"/>
      <c r="H969" s="404"/>
      <c r="I969" s="404"/>
    </row>
    <row r="970" spans="1:9" ht="12.5">
      <c r="A970" s="355"/>
      <c r="B970" s="355"/>
      <c r="C970" s="322"/>
      <c r="D970" s="1598"/>
      <c r="E970" s="1598"/>
      <c r="F970" s="1598"/>
      <c r="G970" s="572"/>
      <c r="H970" s="404"/>
      <c r="I970" s="404"/>
    </row>
    <row r="971" spans="1:9" ht="12.5">
      <c r="A971" s="355"/>
      <c r="B971" s="355"/>
      <c r="C971" s="322"/>
      <c r="D971" s="1598"/>
      <c r="E971" s="1598"/>
      <c r="F971" s="1598"/>
      <c r="G971" s="572"/>
      <c r="H971" s="404"/>
      <c r="I971" s="404"/>
    </row>
    <row r="972" spans="1:9" ht="12.5">
      <c r="A972" s="355"/>
      <c r="B972" s="355"/>
      <c r="C972" s="322"/>
      <c r="D972" s="710"/>
      <c r="E972" s="296"/>
      <c r="F972" s="296"/>
      <c r="G972" s="572"/>
      <c r="H972" s="404"/>
      <c r="I972" s="404"/>
    </row>
    <row r="973" spans="1:9" ht="14.5" customHeight="1">
      <c r="A973" s="413"/>
      <c r="B973" s="949" t="s">
        <v>136</v>
      </c>
      <c r="C973" s="322"/>
      <c r="D973" s="1598" t="s">
        <v>1845</v>
      </c>
      <c r="E973" s="1598"/>
      <c r="F973" s="1598"/>
      <c r="G973" s="572"/>
      <c r="H973" s="404"/>
      <c r="I973" s="404"/>
    </row>
    <row r="974" spans="1:9" ht="12.5">
      <c r="A974" s="355"/>
      <c r="B974" s="355"/>
      <c r="C974" s="322"/>
      <c r="D974" s="1598"/>
      <c r="E974" s="1598"/>
      <c r="F974" s="1598"/>
      <c r="G974" s="572"/>
      <c r="H974" s="404"/>
      <c r="I974" s="404"/>
    </row>
    <row r="975" spans="1:9" ht="12.5">
      <c r="A975" s="355"/>
      <c r="B975" s="355"/>
      <c r="C975" s="322"/>
      <c r="D975" s="1598"/>
      <c r="E975" s="1598"/>
      <c r="F975" s="1598"/>
      <c r="G975" s="572"/>
      <c r="H975" s="404"/>
      <c r="I975" s="404"/>
    </row>
    <row r="976" spans="1:9" ht="12.5">
      <c r="A976" s="355"/>
      <c r="B976" s="355"/>
      <c r="C976" s="322"/>
      <c r="D976" s="1018"/>
      <c r="E976" s="1018"/>
      <c r="F976" s="1018"/>
      <c r="G976" s="572"/>
      <c r="H976" s="404"/>
      <c r="I976" s="404"/>
    </row>
    <row r="977" spans="1:9" ht="13">
      <c r="A977" s="413"/>
      <c r="B977" s="949" t="s">
        <v>136</v>
      </c>
      <c r="C977" s="322"/>
      <c r="D977" s="1598" t="s">
        <v>1846</v>
      </c>
      <c r="E977" s="1598"/>
      <c r="F977" s="1598"/>
      <c r="G977" s="572"/>
      <c r="H977" s="404"/>
      <c r="I977" s="404"/>
    </row>
    <row r="978" spans="1:9" ht="12.5">
      <c r="A978" s="355"/>
      <c r="B978" s="355"/>
      <c r="C978" s="322"/>
      <c r="D978" s="1598"/>
      <c r="E978" s="1598"/>
      <c r="F978" s="1598"/>
      <c r="G978" s="572"/>
      <c r="H978" s="404"/>
      <c r="I978" s="404"/>
    </row>
    <row r="979" spans="1:9" ht="12.5">
      <c r="A979" s="355"/>
      <c r="B979" s="355"/>
      <c r="C979" s="322"/>
      <c r="D979" s="710"/>
      <c r="E979" s="296"/>
      <c r="F979" s="296"/>
      <c r="G979" s="572"/>
      <c r="H979" s="404"/>
      <c r="I979" s="404"/>
    </row>
    <row r="980" spans="1:9" ht="12.5">
      <c r="A980" s="355"/>
      <c r="B980" s="949" t="s">
        <v>136</v>
      </c>
      <c r="C980" s="322"/>
      <c r="D980" s="1583" t="s">
        <v>1847</v>
      </c>
      <c r="E980" s="1583"/>
      <c r="F980" s="1583"/>
      <c r="G980" s="572"/>
      <c r="H980" s="404"/>
      <c r="I980" s="404"/>
    </row>
    <row r="981" spans="1:9" ht="12.5">
      <c r="A981" s="355"/>
      <c r="B981" s="355"/>
      <c r="C981" s="322"/>
      <c r="D981" s="1583"/>
      <c r="E981" s="1583"/>
      <c r="F981" s="1583"/>
      <c r="G981" s="572"/>
      <c r="H981" s="404"/>
      <c r="I981" s="404"/>
    </row>
    <row r="982" spans="1:9" ht="12.5">
      <c r="A982" s="355"/>
      <c r="B982" s="355"/>
      <c r="C982" s="322"/>
      <c r="D982" s="296"/>
      <c r="E982" s="296"/>
      <c r="F982" s="296"/>
      <c r="G982" s="572"/>
      <c r="H982" s="404"/>
      <c r="I982" s="404"/>
    </row>
    <row r="983" spans="1:9" ht="12.5">
      <c r="A983" s="355"/>
      <c r="B983" s="949" t="s">
        <v>136</v>
      </c>
      <c r="C983" s="322"/>
      <c r="D983" s="1683" t="s">
        <v>1999</v>
      </c>
      <c r="E983" s="1667"/>
      <c r="F983" s="1667"/>
      <c r="G983" s="572"/>
      <c r="H983" s="404"/>
      <c r="I983" s="404"/>
    </row>
    <row r="984" spans="1:9" ht="12.5">
      <c r="A984" s="355"/>
      <c r="B984" s="355"/>
      <c r="C984" s="322"/>
      <c r="D984" s="1683"/>
      <c r="E984" s="1667"/>
      <c r="F984" s="1667"/>
      <c r="G984" s="572"/>
      <c r="H984" s="404"/>
      <c r="I984" s="404"/>
    </row>
    <row r="985" spans="1:9" ht="12.5">
      <c r="A985" s="355"/>
      <c r="B985" s="355"/>
      <c r="C985" s="322"/>
      <c r="D985" s="1683"/>
      <c r="E985" s="1667"/>
      <c r="F985" s="1667"/>
      <c r="G985" s="572"/>
      <c r="H985" s="404"/>
      <c r="I985" s="404"/>
    </row>
    <row r="986" spans="1:9" ht="12.5">
      <c r="A986" s="355"/>
      <c r="B986" s="355"/>
      <c r="C986" s="322"/>
      <c r="D986" s="1667"/>
      <c r="E986" s="1667"/>
      <c r="F986" s="1667"/>
      <c r="G986" s="572"/>
      <c r="H986" s="404"/>
      <c r="I986" s="404"/>
    </row>
    <row r="987" spans="1:9" ht="12.5">
      <c r="A987" s="355"/>
      <c r="B987" s="355"/>
      <c r="C987" s="322"/>
      <c r="D987" s="287"/>
      <c r="E987" s="296"/>
      <c r="F987" s="296"/>
      <c r="G987" s="572"/>
      <c r="H987" s="404"/>
      <c r="I987" s="404"/>
    </row>
    <row r="988" spans="1:9" ht="12.5">
      <c r="A988" s="355"/>
      <c r="B988" s="949" t="s">
        <v>136</v>
      </c>
      <c r="C988" s="322"/>
      <c r="D988" s="1585" t="s">
        <v>1235</v>
      </c>
      <c r="E988" s="1585"/>
      <c r="F988" s="1585"/>
      <c r="G988" s="572"/>
      <c r="H988" s="404"/>
      <c r="I988" s="404"/>
    </row>
    <row r="989" spans="1:9" ht="12.5">
      <c r="A989" s="355"/>
      <c r="B989" s="355"/>
      <c r="C989" s="322"/>
      <c r="D989" s="287"/>
      <c r="E989" s="296"/>
      <c r="F989" s="296"/>
      <c r="G989" s="572"/>
      <c r="H989" s="404"/>
      <c r="I989" s="404"/>
    </row>
    <row r="990" spans="1:9" ht="12.5">
      <c r="A990" s="355"/>
      <c r="B990" s="949" t="s">
        <v>136</v>
      </c>
      <c r="C990" s="322"/>
      <c r="D990" s="1585" t="s">
        <v>1236</v>
      </c>
      <c r="E990" s="1585"/>
      <c r="F990" s="1585"/>
      <c r="G990" s="572"/>
      <c r="H990" s="404"/>
      <c r="I990" s="404"/>
    </row>
    <row r="991" spans="1:9" ht="12.75" customHeight="1">
      <c r="A991" s="355"/>
      <c r="B991" s="355"/>
      <c r="C991" s="322"/>
      <c r="D991" s="296"/>
      <c r="E991" s="296"/>
      <c r="F991" s="296"/>
      <c r="G991" s="572"/>
      <c r="H991" s="404"/>
      <c r="I991" s="404"/>
    </row>
    <row r="992" spans="1:9" ht="13">
      <c r="A992" s="355"/>
      <c r="B992" s="14"/>
      <c r="C992" s="322"/>
      <c r="D992" s="1590" t="s">
        <v>1655</v>
      </c>
      <c r="E992" s="1590"/>
      <c r="F992" s="1590"/>
      <c r="G992" s="572"/>
      <c r="H992" s="404"/>
      <c r="I992" s="404"/>
    </row>
    <row r="993" spans="1:9" ht="13">
      <c r="A993" s="355"/>
      <c r="B993" s="14"/>
      <c r="C993" s="322"/>
      <c r="D993" s="1016"/>
      <c r="E993" s="296"/>
      <c r="F993" s="296"/>
      <c r="G993" s="572"/>
      <c r="H993" s="404"/>
      <c r="I993" s="404"/>
    </row>
    <row r="994" spans="1:9" ht="13">
      <c r="A994" s="413"/>
      <c r="B994" s="949" t="s">
        <v>1530</v>
      </c>
      <c r="C994" s="322"/>
      <c r="D994" s="1627" t="s">
        <v>1848</v>
      </c>
      <c r="E994" s="1627"/>
      <c r="F994" s="1627"/>
      <c r="G994" s="572"/>
      <c r="H994" s="404"/>
      <c r="I994" s="404"/>
    </row>
    <row r="995" spans="1:9" ht="12.5">
      <c r="A995" s="355"/>
      <c r="B995" s="355"/>
      <c r="C995" s="322"/>
      <c r="D995" s="1627"/>
      <c r="E995" s="1627"/>
      <c r="F995" s="1627"/>
      <c r="G995" s="572"/>
      <c r="H995" s="404"/>
      <c r="I995" s="404"/>
    </row>
    <row r="996" spans="1:9" ht="12.5">
      <c r="A996" s="355"/>
      <c r="B996" s="355"/>
      <c r="C996" s="322"/>
      <c r="D996" s="1627"/>
      <c r="E996" s="1627"/>
      <c r="F996" s="1627"/>
      <c r="G996" s="572"/>
      <c r="H996" s="404"/>
      <c r="I996" s="404"/>
    </row>
    <row r="997" spans="1:9" ht="12.5">
      <c r="A997" s="355"/>
      <c r="B997" s="355"/>
      <c r="C997" s="322"/>
      <c r="D997" s="1627"/>
      <c r="E997" s="1627"/>
      <c r="F997" s="1627"/>
      <c r="G997" s="572"/>
      <c r="H997" s="404"/>
      <c r="I997" s="404"/>
    </row>
    <row r="998" spans="1:9" ht="12.5">
      <c r="A998" s="355"/>
      <c r="B998" s="355"/>
      <c r="C998" s="322"/>
      <c r="D998" s="1627"/>
      <c r="E998" s="1627"/>
      <c r="F998" s="1627"/>
      <c r="G998" s="572"/>
      <c r="H998" s="404"/>
      <c r="I998" s="404"/>
    </row>
    <row r="999" spans="1:9" ht="12.5">
      <c r="A999" s="355"/>
      <c r="B999" s="355"/>
      <c r="C999" s="322"/>
      <c r="E999" s="282"/>
      <c r="F999" s="282"/>
      <c r="G999" s="572"/>
      <c r="H999" s="404"/>
      <c r="I999" s="404"/>
    </row>
    <row r="1000" spans="1:9" ht="13">
      <c r="A1000" s="413"/>
      <c r="B1000" s="949" t="s">
        <v>136</v>
      </c>
      <c r="C1000" s="322"/>
      <c r="D1000" s="1627" t="s">
        <v>1849</v>
      </c>
      <c r="E1000" s="1627"/>
      <c r="F1000" s="1627"/>
      <c r="G1000" s="572"/>
      <c r="H1000" s="404"/>
      <c r="I1000" s="404"/>
    </row>
    <row r="1001" spans="1:9" ht="12.5">
      <c r="A1001" s="355"/>
      <c r="B1001" s="355"/>
      <c r="C1001" s="322"/>
      <c r="D1001" s="1627"/>
      <c r="E1001" s="1627"/>
      <c r="F1001" s="1627"/>
      <c r="G1001" s="572"/>
      <c r="H1001" s="404"/>
      <c r="I1001" s="404"/>
    </row>
    <row r="1002" spans="1:9" ht="12.5">
      <c r="A1002" s="355"/>
      <c r="B1002" s="355"/>
      <c r="C1002" s="322"/>
      <c r="D1002" s="1627"/>
      <c r="E1002" s="1627"/>
      <c r="F1002" s="1627"/>
      <c r="G1002" s="572"/>
      <c r="H1002" s="404"/>
      <c r="I1002" s="404"/>
    </row>
    <row r="1003" spans="1:9" ht="12.5">
      <c r="A1003" s="355"/>
      <c r="B1003" s="355"/>
      <c r="C1003" s="322"/>
      <c r="D1003" s="1627"/>
      <c r="E1003" s="1627"/>
      <c r="F1003" s="1627"/>
      <c r="G1003" s="572"/>
      <c r="H1003" s="404"/>
      <c r="I1003" s="404"/>
    </row>
    <row r="1004" spans="1:9" ht="12.5">
      <c r="A1004" s="355"/>
      <c r="B1004" s="355"/>
      <c r="C1004" s="322"/>
      <c r="D1004" s="1627"/>
      <c r="E1004" s="1627"/>
      <c r="F1004" s="1627"/>
      <c r="G1004" s="572"/>
      <c r="H1004" s="404"/>
      <c r="I1004" s="404"/>
    </row>
    <row r="1005" spans="1:9" ht="12.5">
      <c r="A1005" s="355"/>
      <c r="B1005" s="355"/>
      <c r="C1005" s="322"/>
      <c r="D1005" s="296"/>
      <c r="E1005" s="296"/>
      <c r="F1005" s="296"/>
      <c r="G1005" s="572"/>
      <c r="H1005" s="404"/>
      <c r="I1005" s="404"/>
    </row>
    <row r="1006" spans="1:9" ht="13">
      <c r="A1006" s="355"/>
      <c r="B1006" s="355"/>
      <c r="C1006" s="322"/>
      <c r="D1006" s="1590" t="s">
        <v>1656</v>
      </c>
      <c r="E1006" s="1590"/>
      <c r="F1006" s="1590"/>
      <c r="G1006" s="572"/>
      <c r="H1006" s="404"/>
      <c r="I1006" s="404"/>
    </row>
    <row r="1007" spans="1:9" ht="13">
      <c r="A1007" s="355"/>
      <c r="B1007" s="355"/>
      <c r="C1007" s="322"/>
      <c r="D1007" s="1016"/>
      <c r="E1007" s="296"/>
      <c r="F1007" s="296"/>
      <c r="G1007" s="572"/>
      <c r="H1007" s="404"/>
      <c r="I1007" s="404"/>
    </row>
    <row r="1008" spans="1:9" ht="13">
      <c r="A1008" s="413"/>
      <c r="B1008" s="949" t="s">
        <v>1530</v>
      </c>
      <c r="C1008" s="322"/>
      <c r="D1008" s="1627" t="s">
        <v>1855</v>
      </c>
      <c r="E1008" s="1627"/>
      <c r="F1008" s="1627"/>
      <c r="G1008" s="572"/>
      <c r="H1008" s="404"/>
      <c r="I1008" s="404"/>
    </row>
    <row r="1009" spans="1:9" ht="12.5">
      <c r="A1009" s="355"/>
      <c r="B1009" s="355"/>
      <c r="C1009" s="322"/>
      <c r="D1009" s="1627"/>
      <c r="E1009" s="1627"/>
      <c r="F1009" s="1627"/>
      <c r="G1009" s="572"/>
      <c r="H1009" s="404"/>
      <c r="I1009" s="404"/>
    </row>
    <row r="1010" spans="1:9" ht="12.5">
      <c r="A1010" s="355"/>
      <c r="B1010" s="355"/>
      <c r="C1010" s="322"/>
      <c r="D1010" s="1627"/>
      <c r="E1010" s="1627"/>
      <c r="F1010" s="1627"/>
      <c r="G1010" s="572"/>
      <c r="H1010" s="404"/>
      <c r="I1010" s="404"/>
    </row>
    <row r="1011" spans="1:9" ht="12.5">
      <c r="A1011" s="355"/>
      <c r="B1011" s="355"/>
      <c r="C1011" s="322"/>
      <c r="E1011" s="282"/>
      <c r="F1011" s="282"/>
      <c r="G1011" s="572"/>
      <c r="H1011" s="404"/>
      <c r="I1011" s="404"/>
    </row>
    <row r="1012" spans="1:9" ht="13">
      <c r="A1012" s="413"/>
      <c r="B1012" s="949" t="s">
        <v>136</v>
      </c>
      <c r="C1012" s="322"/>
      <c r="D1012" s="1627" t="s">
        <v>1856</v>
      </c>
      <c r="E1012" s="1627"/>
      <c r="F1012" s="1627"/>
      <c r="G1012" s="572"/>
      <c r="H1012" s="404"/>
      <c r="I1012" s="404"/>
    </row>
    <row r="1013" spans="1:9" ht="12.5">
      <c r="A1013" s="355"/>
      <c r="B1013" s="355"/>
      <c r="C1013" s="322"/>
      <c r="D1013" s="1627"/>
      <c r="E1013" s="1627"/>
      <c r="F1013" s="1627"/>
      <c r="G1013" s="572"/>
      <c r="H1013" s="404"/>
      <c r="I1013" s="404"/>
    </row>
    <row r="1014" spans="1:9" ht="12.5">
      <c r="A1014" s="355"/>
      <c r="B1014" s="355"/>
      <c r="C1014" s="322"/>
      <c r="D1014" s="1627"/>
      <c r="E1014" s="1627"/>
      <c r="F1014" s="1627"/>
      <c r="G1014" s="572"/>
      <c r="H1014" s="404"/>
      <c r="I1014" s="404"/>
    </row>
    <row r="1015" spans="1:9" ht="12.5">
      <c r="A1015" s="355"/>
      <c r="B1015" s="355"/>
      <c r="C1015" s="322"/>
      <c r="D1015" s="287"/>
      <c r="E1015" s="296"/>
      <c r="F1015" s="296"/>
      <c r="G1015" s="572"/>
      <c r="H1015" s="404"/>
      <c r="I1015" s="404"/>
    </row>
    <row r="1016" spans="1:9" ht="13">
      <c r="A1016" s="355"/>
      <c r="B1016" s="355"/>
      <c r="C1016" s="322"/>
      <c r="D1016" s="1590" t="s">
        <v>1657</v>
      </c>
      <c r="E1016" s="1590"/>
      <c r="F1016" s="1590"/>
      <c r="G1016" s="572"/>
      <c r="H1016" s="404"/>
      <c r="I1016" s="404"/>
    </row>
    <row r="1017" spans="1:9" ht="13">
      <c r="A1017" s="355"/>
      <c r="B1017" s="355"/>
      <c r="C1017" s="322"/>
      <c r="D1017" s="1016"/>
      <c r="E1017" s="296"/>
      <c r="F1017" s="296"/>
      <c r="G1017" s="572"/>
      <c r="H1017" s="404"/>
      <c r="I1017" s="404"/>
    </row>
    <row r="1018" spans="1:9" ht="14.25" customHeight="1">
      <c r="A1018" s="413"/>
      <c r="B1018" s="949" t="s">
        <v>136</v>
      </c>
      <c r="C1018" s="322"/>
      <c r="D1018" s="1631" t="s">
        <v>1858</v>
      </c>
      <c r="E1018" s="1631"/>
      <c r="F1018" s="1631"/>
      <c r="G1018" s="477"/>
      <c r="H1018" s="480"/>
      <c r="I1018" s="480"/>
    </row>
    <row r="1019" spans="1:9" ht="12.5">
      <c r="A1019" s="355"/>
      <c r="B1019" s="355"/>
      <c r="C1019" s="322"/>
      <c r="D1019" s="1631"/>
      <c r="E1019" s="1631"/>
      <c r="F1019" s="1631"/>
      <c r="G1019" s="477"/>
      <c r="H1019" s="480"/>
      <c r="I1019" s="480"/>
    </row>
    <row r="1020" spans="1:9" ht="12.5">
      <c r="A1020" s="355"/>
      <c r="B1020" s="355"/>
      <c r="C1020" s="322"/>
      <c r="D1020" s="1631"/>
      <c r="E1020" s="1631"/>
      <c r="F1020" s="1631"/>
      <c r="G1020" s="477"/>
      <c r="H1020" s="480"/>
      <c r="I1020" s="480"/>
    </row>
    <row r="1021" spans="1:9" ht="12" customHeight="1">
      <c r="A1021" s="355"/>
      <c r="B1021" s="355"/>
      <c r="C1021" s="322"/>
      <c r="D1021" s="480"/>
      <c r="E1021" s="480"/>
      <c r="F1021" s="480"/>
      <c r="G1021" s="480"/>
      <c r="H1021" s="480"/>
      <c r="I1021" s="480"/>
    </row>
    <row r="1022" spans="1:9" ht="12.75" customHeight="1">
      <c r="A1022" s="355"/>
      <c r="B1022" s="949" t="s">
        <v>1530</v>
      </c>
      <c r="C1022" s="322"/>
      <c r="D1022" s="1631" t="s">
        <v>1857</v>
      </c>
      <c r="E1022" s="1631"/>
      <c r="F1022" s="1631"/>
      <c r="G1022" s="480"/>
      <c r="H1022" s="404"/>
      <c r="I1022" s="404"/>
    </row>
    <row r="1023" spans="1:9" ht="12.5">
      <c r="A1023" s="355"/>
      <c r="B1023" s="355"/>
      <c r="C1023" s="322"/>
      <c r="D1023" s="1631"/>
      <c r="E1023" s="1631"/>
      <c r="F1023" s="1631"/>
      <c r="G1023" s="480"/>
      <c r="H1023" s="404"/>
      <c r="I1023" s="404"/>
    </row>
    <row r="1024" spans="1:9" ht="12.5">
      <c r="A1024" s="355"/>
      <c r="B1024" s="355"/>
      <c r="C1024" s="322"/>
      <c r="D1024" s="1631"/>
      <c r="E1024" s="1631"/>
      <c r="F1024" s="1631"/>
      <c r="G1024" s="480"/>
      <c r="H1024" s="404"/>
      <c r="I1024" s="404"/>
    </row>
    <row r="1025" spans="1:9" ht="12" customHeight="1">
      <c r="A1025" s="355"/>
      <c r="B1025" s="355"/>
      <c r="C1025" s="322"/>
      <c r="D1025" s="287"/>
      <c r="E1025" s="296"/>
      <c r="F1025" s="296"/>
      <c r="G1025" s="572"/>
      <c r="H1025" s="404"/>
      <c r="I1025" s="404"/>
    </row>
    <row r="1026" spans="1:9" ht="12.75" customHeight="1">
      <c r="A1026" s="355"/>
      <c r="B1026" s="949" t="s">
        <v>136</v>
      </c>
      <c r="C1026" s="322"/>
      <c r="D1026" s="1685" t="s">
        <v>1859</v>
      </c>
      <c r="E1026" s="1685"/>
      <c r="F1026" s="1685"/>
      <c r="G1026" s="564"/>
      <c r="H1026" s="404"/>
      <c r="I1026" s="404"/>
    </row>
    <row r="1027" spans="1:9" ht="12.5">
      <c r="A1027" s="355"/>
      <c r="B1027" s="355"/>
      <c r="C1027" s="322"/>
      <c r="D1027" s="1685"/>
      <c r="E1027" s="1685"/>
      <c r="F1027" s="1685"/>
      <c r="G1027" s="564"/>
      <c r="H1027" s="404"/>
      <c r="I1027" s="404"/>
    </row>
    <row r="1028" spans="1:9" ht="12.5">
      <c r="A1028" s="355"/>
      <c r="B1028" s="355"/>
      <c r="C1028" s="322"/>
      <c r="D1028" s="1685"/>
      <c r="E1028" s="1685"/>
      <c r="F1028" s="1685"/>
      <c r="G1028" s="564"/>
      <c r="H1028" s="404"/>
      <c r="I1028" s="404"/>
    </row>
    <row r="1029" spans="1:9" ht="12" customHeight="1">
      <c r="A1029" s="355"/>
      <c r="B1029" s="355"/>
      <c r="C1029" s="322"/>
      <c r="D1029" s="296"/>
      <c r="E1029" s="296"/>
      <c r="F1029" s="296"/>
      <c r="G1029" s="572"/>
      <c r="H1029" s="404"/>
      <c r="I1029" s="404"/>
    </row>
    <row r="1030" spans="1:9" ht="12.75" customHeight="1">
      <c r="A1030" s="355"/>
      <c r="B1030" s="949" t="s">
        <v>136</v>
      </c>
      <c r="C1030" s="322"/>
      <c r="D1030" s="1631" t="s">
        <v>1860</v>
      </c>
      <c r="E1030" s="1631"/>
      <c r="F1030" s="1631"/>
      <c r="G1030" s="564"/>
      <c r="H1030" s="564"/>
      <c r="I1030" s="564"/>
    </row>
    <row r="1031" spans="1:9" ht="12.5">
      <c r="A1031" s="355"/>
      <c r="B1031" s="355"/>
      <c r="C1031" s="322"/>
      <c r="D1031" s="1631"/>
      <c r="E1031" s="1631"/>
      <c r="F1031" s="1631"/>
      <c r="G1031" s="564"/>
      <c r="H1031" s="564"/>
      <c r="I1031" s="564"/>
    </row>
    <row r="1032" spans="1:9" ht="12.5">
      <c r="A1032" s="355"/>
      <c r="B1032" s="355"/>
      <c r="C1032" s="322"/>
      <c r="D1032" s="1631"/>
      <c r="E1032" s="1631"/>
      <c r="F1032" s="1631"/>
      <c r="G1032" s="564"/>
      <c r="H1032" s="564"/>
      <c r="I1032" s="564"/>
    </row>
    <row r="1033" spans="1:9" ht="13">
      <c r="A1033" s="413"/>
      <c r="B1033" s="413"/>
      <c r="C1033" s="322"/>
      <c r="D1033" s="287"/>
      <c r="E1033" s="296"/>
      <c r="F1033" s="296"/>
      <c r="G1033" s="572"/>
      <c r="H1033" s="404"/>
      <c r="I1033" s="404"/>
    </row>
    <row r="1034" spans="1:9" ht="12.75" customHeight="1">
      <c r="A1034" s="355"/>
      <c r="B1034" s="949" t="s">
        <v>136</v>
      </c>
      <c r="C1034" s="322"/>
      <c r="D1034" s="1631" t="s">
        <v>1861</v>
      </c>
      <c r="E1034" s="1631"/>
      <c r="F1034" s="1631"/>
      <c r="G1034" s="564"/>
      <c r="H1034" s="564"/>
      <c r="I1034" s="564"/>
    </row>
    <row r="1035" spans="1:9" ht="12.5">
      <c r="A1035" s="355"/>
      <c r="B1035" s="355"/>
      <c r="C1035" s="322"/>
      <c r="D1035" s="1631"/>
      <c r="E1035" s="1631"/>
      <c r="F1035" s="1631"/>
      <c r="G1035" s="564"/>
      <c r="H1035" s="564"/>
      <c r="I1035" s="564"/>
    </row>
    <row r="1036" spans="1:9" ht="12.5">
      <c r="A1036" s="355"/>
      <c r="B1036" s="355"/>
      <c r="C1036" s="322"/>
      <c r="D1036" s="1631"/>
      <c r="E1036" s="1631"/>
      <c r="F1036" s="1631"/>
      <c r="G1036" s="564"/>
      <c r="H1036" s="564"/>
      <c r="I1036" s="564"/>
    </row>
    <row r="1037" spans="1:9" ht="12.5">
      <c r="A1037" s="355"/>
      <c r="B1037" s="355"/>
      <c r="C1037" s="322"/>
      <c r="D1037" s="287"/>
      <c r="E1037" s="296"/>
      <c r="F1037" s="296"/>
      <c r="G1037" s="572"/>
      <c r="H1037" s="404"/>
      <c r="I1037" s="404"/>
    </row>
    <row r="1038" spans="1:9" ht="12.75" customHeight="1">
      <c r="A1038" s="355"/>
      <c r="B1038" s="949" t="s">
        <v>136</v>
      </c>
      <c r="C1038" s="322"/>
      <c r="D1038" s="1631" t="s">
        <v>1658</v>
      </c>
      <c r="E1038" s="1631"/>
      <c r="F1038" s="1631"/>
      <c r="G1038" s="477"/>
      <c r="H1038" s="404"/>
      <c r="I1038" s="404"/>
    </row>
    <row r="1039" spans="1:9" ht="12.5">
      <c r="A1039" s="355"/>
      <c r="B1039" s="355"/>
      <c r="C1039" s="322"/>
      <c r="D1039" s="1631"/>
      <c r="E1039" s="1631"/>
      <c r="F1039" s="1631"/>
      <c r="G1039" s="477"/>
      <c r="H1039" s="404"/>
      <c r="I1039" s="404"/>
    </row>
    <row r="1040" spans="1:9" ht="12.5">
      <c r="A1040" s="355"/>
      <c r="B1040" s="355"/>
      <c r="C1040" s="322"/>
      <c r="D1040" s="1631"/>
      <c r="E1040" s="1631"/>
      <c r="F1040" s="1631"/>
      <c r="G1040" s="477"/>
      <c r="H1040" s="404"/>
      <c r="I1040" s="404"/>
    </row>
    <row r="1041" spans="1:9" ht="12.5">
      <c r="A1041" s="355"/>
      <c r="B1041" s="355"/>
      <c r="C1041" s="322"/>
      <c r="D1041" s="477"/>
      <c r="E1041" s="477"/>
      <c r="F1041" s="477"/>
      <c r="G1041" s="477"/>
      <c r="H1041" s="404"/>
      <c r="I1041" s="404"/>
    </row>
    <row r="1042" spans="1:9" ht="12.75" customHeight="1">
      <c r="A1042" s="355"/>
      <c r="B1042" s="949" t="s">
        <v>136</v>
      </c>
      <c r="C1042" s="322"/>
      <c r="D1042" s="1631" t="s">
        <v>1659</v>
      </c>
      <c r="E1042" s="1631"/>
      <c r="F1042" s="1631"/>
      <c r="G1042" s="477"/>
      <c r="H1042" s="404"/>
      <c r="I1042" s="404"/>
    </row>
    <row r="1043" spans="1:9" ht="12.5">
      <c r="A1043" s="355"/>
      <c r="B1043" s="355"/>
      <c r="C1043" s="322"/>
      <c r="D1043" s="1631"/>
      <c r="E1043" s="1631"/>
      <c r="F1043" s="1631"/>
      <c r="G1043" s="477"/>
      <c r="H1043" s="404"/>
      <c r="I1043" s="404"/>
    </row>
    <row r="1044" spans="1:9" ht="12.5">
      <c r="A1044" s="355"/>
      <c r="B1044" s="355"/>
      <c r="C1044" s="322"/>
      <c r="D1044" s="1631"/>
      <c r="E1044" s="1631"/>
      <c r="F1044" s="1631"/>
      <c r="G1044" s="477"/>
      <c r="H1044" s="404"/>
      <c r="I1044" s="404"/>
    </row>
    <row r="1045" spans="1:9" ht="12.5">
      <c r="A1045" s="355"/>
      <c r="B1045" s="355"/>
      <c r="C1045" s="322"/>
      <c r="D1045" s="483"/>
      <c r="E1045" s="483"/>
      <c r="F1045" s="483"/>
      <c r="G1045" s="510"/>
      <c r="H1045" s="404"/>
      <c r="I1045" s="404"/>
    </row>
    <row r="1046" spans="1:9" ht="12.75" customHeight="1">
      <c r="A1046" s="579"/>
      <c r="B1046" s="949" t="s">
        <v>1530</v>
      </c>
      <c r="C1046" s="405"/>
      <c r="D1046" s="1632" t="s">
        <v>1246</v>
      </c>
      <c r="E1046" s="1632"/>
      <c r="F1046" s="1632"/>
      <c r="G1046" s="947"/>
      <c r="H1046" s="404"/>
      <c r="I1046" s="404"/>
    </row>
    <row r="1047" spans="1:9" ht="12.5">
      <c r="A1047" s="579"/>
      <c r="B1047" s="579"/>
      <c r="C1047" s="405"/>
      <c r="D1047" s="1632"/>
      <c r="E1047" s="1632"/>
      <c r="F1047" s="1632"/>
      <c r="G1047" s="947"/>
      <c r="H1047" s="404"/>
      <c r="I1047" s="404"/>
    </row>
    <row r="1048" spans="1:9" ht="12.5">
      <c r="A1048" s="579"/>
      <c r="B1048" s="579"/>
      <c r="C1048" s="405"/>
      <c r="D1048" s="1632"/>
      <c r="E1048" s="1632"/>
      <c r="F1048" s="1632"/>
      <c r="G1048" s="947"/>
      <c r="H1048" s="404"/>
      <c r="I1048" s="404"/>
    </row>
    <row r="1049" spans="1:9" ht="12.5">
      <c r="A1049" s="579"/>
      <c r="B1049" s="579"/>
      <c r="C1049" s="405"/>
      <c r="D1049" s="1632"/>
      <c r="E1049" s="1632"/>
      <c r="F1049" s="1632"/>
      <c r="G1049" s="947"/>
      <c r="H1049" s="404"/>
      <c r="I1049" s="404"/>
    </row>
    <row r="1050" spans="1:9" ht="12.5">
      <c r="A1050" s="579"/>
      <c r="B1050" s="579"/>
      <c r="C1050" s="405"/>
      <c r="D1050" s="1632"/>
      <c r="E1050" s="1632"/>
      <c r="F1050" s="1632"/>
      <c r="G1050" s="947"/>
      <c r="H1050" s="404"/>
      <c r="I1050" s="404"/>
    </row>
    <row r="1051" spans="1:9" ht="12.5">
      <c r="A1051" s="579"/>
      <c r="B1051" s="579"/>
      <c r="C1051" s="405"/>
      <c r="D1051" s="1632"/>
      <c r="E1051" s="1632"/>
      <c r="F1051" s="1632"/>
      <c r="G1051" s="947"/>
      <c r="H1051" s="404"/>
      <c r="I1051" s="404"/>
    </row>
    <row r="1052" spans="1:9" ht="12.5">
      <c r="A1052" s="579"/>
      <c r="B1052" s="579"/>
      <c r="C1052" s="405"/>
      <c r="D1052" s="1632"/>
      <c r="E1052" s="1632"/>
      <c r="F1052" s="1632"/>
      <c r="G1052" s="947"/>
      <c r="H1052" s="404"/>
      <c r="I1052" s="404"/>
    </row>
    <row r="1053" spans="1:9" ht="12.5">
      <c r="A1053" s="579"/>
      <c r="B1053" s="579"/>
      <c r="C1053" s="405"/>
      <c r="D1053" s="1632"/>
      <c r="E1053" s="1632"/>
      <c r="F1053" s="1632"/>
      <c r="G1053" s="947"/>
      <c r="H1053" s="404"/>
      <c r="I1053" s="404"/>
    </row>
    <row r="1054" spans="1:9" ht="12.5">
      <c r="A1054" s="579"/>
      <c r="B1054" s="579"/>
      <c r="C1054" s="405"/>
      <c r="D1054" s="1632"/>
      <c r="E1054" s="1632"/>
      <c r="F1054" s="1632"/>
      <c r="G1054" s="947"/>
      <c r="H1054" s="404"/>
      <c r="I1054" s="404"/>
    </row>
    <row r="1055" spans="1:9" ht="12.5">
      <c r="A1055" s="579"/>
      <c r="B1055" s="579"/>
      <c r="C1055" s="405"/>
      <c r="D1055" s="1632"/>
      <c r="E1055" s="1632"/>
      <c r="F1055" s="1632"/>
      <c r="G1055" s="947"/>
      <c r="H1055" s="404"/>
      <c r="I1055" s="404"/>
    </row>
    <row r="1056" spans="1:9" ht="27.75" customHeight="1">
      <c r="A1056" s="579"/>
      <c r="B1056" s="579"/>
      <c r="C1056" s="405"/>
      <c r="D1056" s="1632"/>
      <c r="E1056" s="1632"/>
      <c r="F1056" s="1632"/>
      <c r="G1056" s="947"/>
      <c r="H1056" s="404"/>
      <c r="I1056" s="404"/>
    </row>
    <row r="1057" spans="1:9" ht="12.5">
      <c r="A1057" s="579"/>
      <c r="B1057" s="579"/>
      <c r="C1057" s="405"/>
      <c r="D1057" s="664"/>
      <c r="E1057" s="664"/>
      <c r="F1057" s="664"/>
      <c r="G1057" s="664"/>
      <c r="H1057" s="404"/>
      <c r="I1057" s="404"/>
    </row>
    <row r="1058" spans="1:9" ht="12.75" customHeight="1">
      <c r="A1058" s="355"/>
      <c r="B1058" s="355"/>
      <c r="C1058" s="322"/>
      <c r="D1058" s="1590" t="s">
        <v>1660</v>
      </c>
      <c r="E1058" s="1590"/>
      <c r="F1058" s="1590"/>
      <c r="G1058" s="664"/>
      <c r="H1058" s="404"/>
      <c r="I1058" s="404"/>
    </row>
    <row r="1059" spans="1:9" ht="12.75" customHeight="1">
      <c r="A1059" s="355"/>
      <c r="B1059" s="355"/>
      <c r="C1059" s="322"/>
      <c r="D1059" s="1016"/>
      <c r="E1059" s="1013"/>
      <c r="F1059" s="1013"/>
      <c r="G1059" s="664"/>
      <c r="H1059" s="404"/>
      <c r="I1059" s="404"/>
    </row>
    <row r="1060" spans="1:9" ht="13">
      <c r="A1060" s="413"/>
      <c r="B1060" s="949" t="s">
        <v>136</v>
      </c>
      <c r="C1060" s="322"/>
      <c r="D1060" s="1583" t="s">
        <v>1862</v>
      </c>
      <c r="E1060" s="1583"/>
      <c r="F1060" s="1583"/>
      <c r="G1060" s="572"/>
      <c r="H1060" s="404"/>
      <c r="I1060" s="404"/>
    </row>
    <row r="1061" spans="1:9" ht="12.5">
      <c r="A1061" s="355"/>
      <c r="B1061" s="355"/>
      <c r="C1061" s="322"/>
      <c r="D1061" s="1583"/>
      <c r="E1061" s="1583"/>
      <c r="F1061" s="1583"/>
      <c r="G1061" s="572"/>
      <c r="H1061" s="404"/>
      <c r="I1061" s="404"/>
    </row>
    <row r="1062" spans="1:9" ht="12.5">
      <c r="A1062" s="355"/>
      <c r="B1062" s="355"/>
      <c r="C1062" s="322"/>
      <c r="D1062" s="1583"/>
      <c r="E1062" s="1583"/>
      <c r="F1062" s="1583"/>
      <c r="G1062" s="572"/>
      <c r="H1062" s="404"/>
      <c r="I1062" s="404"/>
    </row>
    <row r="1063" spans="1:9" ht="12.5">
      <c r="A1063" s="355"/>
      <c r="B1063" s="355"/>
      <c r="C1063" s="322"/>
      <c r="D1063" s="1583"/>
      <c r="E1063" s="1583"/>
      <c r="F1063" s="1583"/>
      <c r="G1063" s="572"/>
      <c r="H1063" s="404"/>
      <c r="I1063" s="404"/>
    </row>
    <row r="1064" spans="1:9" ht="12.5">
      <c r="A1064" s="355"/>
      <c r="B1064" s="355"/>
      <c r="C1064" s="322"/>
      <c r="D1064" s="296"/>
      <c r="E1064" s="296"/>
      <c r="F1064" s="296"/>
      <c r="G1064" s="572"/>
      <c r="H1064" s="404"/>
      <c r="I1064" s="404"/>
    </row>
    <row r="1065" spans="1:9" ht="13">
      <c r="A1065" s="413"/>
      <c r="B1065" s="949" t="s">
        <v>136</v>
      </c>
      <c r="C1065" s="322"/>
      <c r="D1065" s="1583" t="s">
        <v>1863</v>
      </c>
      <c r="E1065" s="1583"/>
      <c r="F1065" s="1583"/>
      <c r="G1065" s="572"/>
      <c r="H1065" s="404"/>
      <c r="I1065" s="404"/>
    </row>
    <row r="1066" spans="1:9" ht="12.5">
      <c r="A1066" s="355"/>
      <c r="B1066" s="355"/>
      <c r="C1066" s="322"/>
      <c r="D1066" s="1583"/>
      <c r="E1066" s="1583"/>
      <c r="F1066" s="1583"/>
      <c r="G1066" s="572"/>
      <c r="H1066" s="404"/>
      <c r="I1066" s="404"/>
    </row>
    <row r="1067" spans="1:9" ht="12.5">
      <c r="A1067" s="355"/>
      <c r="B1067" s="355"/>
      <c r="C1067" s="322"/>
      <c r="D1067" s="1583"/>
      <c r="E1067" s="1583"/>
      <c r="F1067" s="1583"/>
      <c r="G1067" s="572"/>
      <c r="H1067" s="404"/>
      <c r="I1067" s="404"/>
    </row>
    <row r="1068" spans="1:9" ht="12.5">
      <c r="A1068" s="355"/>
      <c r="B1068" s="355"/>
      <c r="C1068" s="322"/>
      <c r="D1068" s="1583"/>
      <c r="E1068" s="1583"/>
      <c r="F1068" s="1583"/>
      <c r="G1068" s="572"/>
      <c r="H1068" s="404"/>
      <c r="I1068" s="404"/>
    </row>
    <row r="1069" spans="1:9" ht="12.5">
      <c r="A1069" s="355"/>
      <c r="B1069" s="355"/>
      <c r="C1069" s="322"/>
      <c r="D1069" s="296"/>
      <c r="E1069" s="296"/>
      <c r="F1069" s="296"/>
      <c r="G1069" s="572"/>
    </row>
    <row r="1070" spans="1:9" ht="12.5">
      <c r="A1070" s="355"/>
      <c r="B1070" s="949" t="s">
        <v>136</v>
      </c>
      <c r="C1070" s="322"/>
      <c r="D1070" s="1651" t="s">
        <v>1864</v>
      </c>
      <c r="E1070" s="1651"/>
      <c r="F1070" s="1651"/>
      <c r="G1070" s="572"/>
    </row>
    <row r="1071" spans="1:9" ht="12.5">
      <c r="A1071" s="355"/>
      <c r="B1071" s="355"/>
      <c r="C1071" s="322"/>
      <c r="D1071" s="1651"/>
      <c r="E1071" s="1651"/>
      <c r="F1071" s="1651"/>
      <c r="G1071" s="572"/>
    </row>
    <row r="1072" spans="1:9" ht="12.5">
      <c r="A1072" s="355"/>
      <c r="B1072" s="355"/>
      <c r="C1072" s="322"/>
      <c r="D1072" s="1651"/>
      <c r="E1072" s="1651"/>
      <c r="F1072" s="1651"/>
      <c r="G1072" s="572"/>
    </row>
    <row r="1073" spans="1:7" ht="12.5">
      <c r="A1073" s="355"/>
      <c r="B1073" s="355"/>
      <c r="C1073" s="322"/>
      <c r="D1073" s="296"/>
      <c r="E1073" s="296"/>
      <c r="F1073" s="296"/>
      <c r="G1073" s="572"/>
    </row>
    <row r="1074" spans="1:7" ht="13">
      <c r="A1074" s="413"/>
      <c r="B1074" s="949" t="s">
        <v>136</v>
      </c>
      <c r="C1074" s="680"/>
      <c r="D1074" s="1652" t="s">
        <v>1865</v>
      </c>
      <c r="E1074" s="1652"/>
      <c r="F1074" s="1652"/>
      <c r="G1074" s="712"/>
    </row>
    <row r="1075" spans="1:7" ht="12.5">
      <c r="A1075" s="679"/>
      <c r="B1075" s="679"/>
      <c r="C1075" s="680"/>
      <c r="D1075" s="1652"/>
      <c r="E1075" s="1652"/>
      <c r="F1075" s="1652"/>
      <c r="G1075" s="712"/>
    </row>
    <row r="1076" spans="1:7" ht="12.5">
      <c r="A1076" s="679"/>
      <c r="B1076" s="679"/>
      <c r="C1076" s="680"/>
      <c r="D1076" s="1652"/>
      <c r="E1076" s="1652"/>
      <c r="F1076" s="1652"/>
      <c r="G1076" s="712"/>
    </row>
    <row r="1077" spans="1:7" ht="12.5">
      <c r="A1077" s="355"/>
      <c r="B1077" s="355"/>
      <c r="C1077" s="322"/>
      <c r="D1077" s="296"/>
      <c r="E1077" s="296"/>
      <c r="F1077" s="296"/>
      <c r="G1077" s="572"/>
    </row>
    <row r="1078" spans="1:7" ht="13">
      <c r="A1078" s="14"/>
      <c r="B1078" s="14"/>
      <c r="C1078" s="322"/>
      <c r="D1078" s="1590" t="s">
        <v>1661</v>
      </c>
      <c r="E1078" s="1590"/>
      <c r="F1078" s="1590"/>
      <c r="G1078" s="572"/>
    </row>
    <row r="1079" spans="1:7" ht="13">
      <c r="A1079" s="14"/>
      <c r="B1079" s="14"/>
      <c r="C1079" s="322"/>
      <c r="D1079" s="1016"/>
      <c r="E1079" s="296"/>
      <c r="F1079" s="296"/>
      <c r="G1079" s="572"/>
    </row>
    <row r="1080" spans="1:7" ht="12.5">
      <c r="A1080" s="355"/>
      <c r="B1080" s="949" t="s">
        <v>136</v>
      </c>
      <c r="C1080" s="322"/>
      <c r="D1080" s="1627" t="s">
        <v>1866</v>
      </c>
      <c r="E1080" s="1627"/>
      <c r="F1080" s="1627"/>
      <c r="G1080" s="572"/>
    </row>
    <row r="1081" spans="1:7" ht="12.5">
      <c r="A1081" s="355"/>
      <c r="B1081" s="355"/>
      <c r="C1081" s="322"/>
      <c r="D1081" s="1627"/>
      <c r="E1081" s="1627"/>
      <c r="F1081" s="1627"/>
      <c r="G1081" s="572"/>
    </row>
    <row r="1082" spans="1:7" ht="12.5">
      <c r="A1082" s="355"/>
      <c r="B1082" s="355"/>
      <c r="C1082" s="322"/>
      <c r="D1082" s="1627"/>
      <c r="E1082" s="1627"/>
      <c r="F1082" s="1627"/>
      <c r="G1082" s="572"/>
    </row>
    <row r="1083" spans="1:7" ht="12.5">
      <c r="A1083" s="355"/>
      <c r="B1083" s="355"/>
      <c r="C1083" s="322"/>
      <c r="D1083" s="572"/>
      <c r="E1083" s="296"/>
      <c r="F1083" s="296"/>
      <c r="G1083" s="572"/>
    </row>
    <row r="1084" spans="1:7" ht="13">
      <c r="A1084" s="413"/>
      <c r="B1084" s="949" t="s">
        <v>136</v>
      </c>
      <c r="C1084" s="322"/>
      <c r="D1084" s="1627" t="s">
        <v>1867</v>
      </c>
      <c r="E1084" s="1627"/>
      <c r="F1084" s="1627"/>
      <c r="G1084" s="572"/>
    </row>
    <row r="1085" spans="1:7" ht="12.5">
      <c r="A1085" s="355"/>
      <c r="B1085" s="355"/>
      <c r="C1085" s="322"/>
      <c r="D1085" s="1627"/>
      <c r="E1085" s="1627"/>
      <c r="F1085" s="1627"/>
      <c r="G1085" s="572"/>
    </row>
    <row r="1086" spans="1:7" ht="12.5">
      <c r="A1086" s="355"/>
      <c r="B1086" s="355"/>
      <c r="C1086" s="322"/>
      <c r="D1086" s="1627"/>
      <c r="E1086" s="1627"/>
      <c r="F1086" s="1627"/>
      <c r="G1086" s="572"/>
    </row>
    <row r="1087" spans="1:7" ht="12.5">
      <c r="A1087" s="355"/>
      <c r="B1087" s="355"/>
      <c r="C1087" s="322"/>
      <c r="D1087" s="296"/>
      <c r="E1087" s="296"/>
      <c r="F1087" s="296"/>
      <c r="G1087" s="572"/>
    </row>
    <row r="1088" spans="1:7" ht="13">
      <c r="A1088" s="355"/>
      <c r="B1088" s="355"/>
      <c r="C1088" s="322"/>
      <c r="D1088" s="1590" t="s">
        <v>1237</v>
      </c>
      <c r="E1088" s="1590"/>
      <c r="F1088" s="1590"/>
      <c r="G1088" s="572"/>
    </row>
    <row r="1089" spans="1:7" ht="12.5">
      <c r="A1089" s="355"/>
      <c r="B1089" s="355"/>
      <c r="C1089" s="322"/>
      <c r="D1089" s="1585" t="s">
        <v>1662</v>
      </c>
      <c r="E1089" s="1585"/>
      <c r="F1089" s="1585"/>
      <c r="G1089" s="572"/>
    </row>
    <row r="1090" spans="1:7" ht="12.5">
      <c r="A1090" s="355"/>
      <c r="B1090" s="355"/>
      <c r="C1090" s="322"/>
      <c r="D1090" s="1017"/>
      <c r="E1090" s="296"/>
      <c r="F1090" s="296"/>
      <c r="G1090" s="572"/>
    </row>
    <row r="1091" spans="1:7" ht="13">
      <c r="A1091" s="413"/>
      <c r="B1091" s="949" t="s">
        <v>136</v>
      </c>
      <c r="C1091" s="322"/>
      <c r="D1091" s="1583" t="s">
        <v>1868</v>
      </c>
      <c r="E1091" s="1583"/>
      <c r="F1091" s="1583"/>
      <c r="G1091" s="572"/>
    </row>
    <row r="1092" spans="1:7" ht="12.5">
      <c r="A1092" s="355"/>
      <c r="B1092" s="355"/>
      <c r="C1092" s="322"/>
      <c r="D1092" s="1583"/>
      <c r="E1092" s="1583"/>
      <c r="F1092" s="1583"/>
      <c r="G1092" s="572"/>
    </row>
    <row r="1093" spans="1:7" ht="12.5">
      <c r="A1093" s="355"/>
      <c r="B1093" s="355"/>
      <c r="C1093" s="322"/>
      <c r="D1093" s="296"/>
      <c r="E1093" s="296"/>
      <c r="F1093" s="296"/>
      <c r="G1093" s="572"/>
    </row>
    <row r="1094" spans="1:7" ht="13">
      <c r="A1094" s="413"/>
      <c r="B1094" s="949" t="s">
        <v>136</v>
      </c>
      <c r="C1094" s="322"/>
      <c r="D1094" s="1583" t="s">
        <v>1869</v>
      </c>
      <c r="E1094" s="1583"/>
      <c r="F1094" s="1583"/>
      <c r="G1094" s="572"/>
    </row>
    <row r="1095" spans="1:7" ht="12.5">
      <c r="A1095" s="355"/>
      <c r="B1095" s="355"/>
      <c r="C1095" s="322"/>
      <c r="D1095" s="1583"/>
      <c r="E1095" s="1583"/>
      <c r="F1095" s="1583"/>
      <c r="G1095" s="572"/>
    </row>
    <row r="1096" spans="1:7" ht="12.5">
      <c r="A1096" s="355"/>
      <c r="B1096" s="355"/>
      <c r="C1096" s="322"/>
      <c r="D1096" s="282"/>
      <c r="E1096" s="296"/>
      <c r="F1096" s="296"/>
      <c r="G1096" s="572"/>
    </row>
    <row r="1097" spans="1:7" ht="13">
      <c r="A1097" s="355"/>
      <c r="B1097" s="355"/>
      <c r="C1097" s="322"/>
      <c r="D1097" s="1590" t="s">
        <v>1663</v>
      </c>
      <c r="E1097" s="1590"/>
      <c r="F1097" s="1590"/>
      <c r="G1097" s="572"/>
    </row>
    <row r="1098" spans="1:7" ht="13">
      <c r="A1098" s="355"/>
      <c r="B1098" s="355"/>
      <c r="C1098" s="322"/>
      <c r="D1098" s="1016"/>
      <c r="E1098" s="296"/>
      <c r="F1098" s="296"/>
      <c r="G1098" s="572"/>
    </row>
    <row r="1099" spans="1:7" ht="13">
      <c r="A1099" s="413"/>
      <c r="B1099" s="949" t="s">
        <v>136</v>
      </c>
      <c r="C1099" s="322"/>
      <c r="D1099" s="1583" t="s">
        <v>1870</v>
      </c>
      <c r="E1099" s="1583"/>
      <c r="F1099" s="1583"/>
      <c r="G1099" s="572"/>
    </row>
    <row r="1100" spans="1:7" ht="12.5">
      <c r="A1100" s="355"/>
      <c r="B1100" s="355"/>
      <c r="C1100" s="322"/>
      <c r="D1100" s="1583"/>
      <c r="E1100" s="1583"/>
      <c r="F1100" s="1583"/>
      <c r="G1100" s="572"/>
    </row>
    <row r="1101" spans="1:7" ht="12.5">
      <c r="A1101" s="355"/>
      <c r="B1101" s="355"/>
      <c r="C1101" s="322"/>
      <c r="D1101" s="1583"/>
      <c r="E1101" s="1583"/>
      <c r="F1101" s="1583"/>
      <c r="G1101" s="572"/>
    </row>
    <row r="1102" spans="1:7" ht="12.5">
      <c r="A1102" s="355"/>
      <c r="B1102" s="355"/>
      <c r="C1102" s="322"/>
      <c r="D1102" s="1583"/>
      <c r="E1102" s="1583"/>
      <c r="F1102" s="1583"/>
      <c r="G1102" s="572"/>
    </row>
    <row r="1103" spans="1:7" ht="12.5">
      <c r="A1103" s="355"/>
      <c r="B1103" s="355"/>
      <c r="C1103" s="322"/>
      <c r="D1103" s="1583"/>
      <c r="E1103" s="1583"/>
      <c r="F1103" s="1583"/>
      <c r="G1103" s="572"/>
    </row>
    <row r="1104" spans="1:7" ht="12.5">
      <c r="A1104" s="355"/>
      <c r="B1104" s="355"/>
      <c r="C1104" s="322"/>
      <c r="D1104" s="1583"/>
      <c r="E1104" s="1583"/>
      <c r="F1104" s="1583"/>
      <c r="G1104" s="572"/>
    </row>
    <row r="1105" spans="1:7" ht="12.5">
      <c r="A1105" s="355"/>
      <c r="B1105" s="355"/>
      <c r="C1105" s="322"/>
      <c r="D1105" s="1583"/>
      <c r="E1105" s="1583"/>
      <c r="F1105" s="1583"/>
      <c r="G1105" s="572"/>
    </row>
    <row r="1106" spans="1:7" ht="12.5">
      <c r="A1106" s="355"/>
      <c r="B1106" s="355"/>
      <c r="C1106" s="322"/>
      <c r="D1106" s="296"/>
      <c r="E1106" s="296"/>
      <c r="F1106" s="296"/>
      <c r="G1106" s="572"/>
    </row>
    <row r="1107" spans="1:7" ht="13">
      <c r="A1107" s="413"/>
      <c r="B1107" s="949" t="s">
        <v>136</v>
      </c>
      <c r="C1107" s="322"/>
      <c r="D1107" s="1583" t="s">
        <v>1871</v>
      </c>
      <c r="E1107" s="1583"/>
      <c r="F1107" s="1583"/>
      <c r="G1107" s="572"/>
    </row>
    <row r="1108" spans="1:7" ht="12.5">
      <c r="A1108" s="355"/>
      <c r="B1108" s="355"/>
      <c r="C1108" s="322"/>
      <c r="D1108" s="1583"/>
      <c r="E1108" s="1583"/>
      <c r="F1108" s="1583"/>
      <c r="G1108" s="572"/>
    </row>
    <row r="1109" spans="1:7" ht="12.5">
      <c r="A1109" s="355"/>
      <c r="B1109" s="355"/>
      <c r="C1109" s="322"/>
      <c r="D1109" s="1583"/>
      <c r="E1109" s="1583"/>
      <c r="F1109" s="1583"/>
      <c r="G1109" s="572"/>
    </row>
    <row r="1110" spans="1:7" ht="12.5">
      <c r="A1110" s="355"/>
      <c r="B1110" s="355"/>
      <c r="C1110" s="322"/>
      <c r="D1110" s="1583"/>
      <c r="E1110" s="1583"/>
      <c r="F1110" s="1583"/>
      <c r="G1110" s="572"/>
    </row>
    <row r="1111" spans="1:7" ht="12.5">
      <c r="A1111" s="355"/>
      <c r="B1111" s="355"/>
      <c r="C1111" s="322"/>
      <c r="D1111" s="1583"/>
      <c r="E1111" s="1583"/>
      <c r="F1111" s="1583"/>
      <c r="G1111" s="572"/>
    </row>
    <row r="1112" spans="1:7" ht="12.5">
      <c r="A1112" s="355"/>
      <c r="B1112" s="355"/>
      <c r="C1112" s="322"/>
      <c r="D1112" s="1583"/>
      <c r="E1112" s="1583"/>
      <c r="F1112" s="1583"/>
      <c r="G1112" s="572"/>
    </row>
    <row r="1113" spans="1:7" ht="12.5">
      <c r="A1113" s="355"/>
      <c r="B1113" s="355"/>
      <c r="C1113" s="322"/>
      <c r="D1113" s="1583"/>
      <c r="E1113" s="1583"/>
      <c r="F1113" s="1583"/>
      <c r="G1113" s="572"/>
    </row>
    <row r="1114" spans="1:7" ht="12.5">
      <c r="A1114" s="355"/>
      <c r="B1114" s="355"/>
      <c r="C1114" s="322"/>
      <c r="D1114" s="1131"/>
      <c r="E1114" s="1131"/>
      <c r="F1114" s="1131"/>
      <c r="G1114" s="572"/>
    </row>
    <row r="1115" spans="1:7" ht="12.5" customHeight="1">
      <c r="A1115" s="355"/>
      <c r="B1115" s="1133" t="s">
        <v>136</v>
      </c>
      <c r="C1115" s="322"/>
      <c r="D1115" s="1654" t="s">
        <v>2000</v>
      </c>
      <c r="E1115" s="1651"/>
      <c r="F1115" s="1651"/>
      <c r="G1115" s="572"/>
    </row>
    <row r="1116" spans="1:7" ht="12.5" customHeight="1">
      <c r="A1116" s="355"/>
      <c r="B1116" s="355"/>
      <c r="C1116" s="322"/>
      <c r="D1116" s="1651"/>
      <c r="E1116" s="1651"/>
      <c r="F1116" s="1651"/>
      <c r="G1116" s="572"/>
    </row>
    <row r="1117" spans="1:7" ht="12.5">
      <c r="A1117" s="355"/>
      <c r="B1117" s="355"/>
      <c r="C1117" s="322"/>
      <c r="D1117" s="1651"/>
      <c r="E1117" s="1651"/>
      <c r="F1117" s="1651"/>
      <c r="G1117" s="572"/>
    </row>
    <row r="1118" spans="1:7" ht="12.5">
      <c r="A1118" s="355"/>
      <c r="B1118" s="355"/>
      <c r="C1118" s="322"/>
      <c r="D1118" s="1132"/>
      <c r="E1118" s="1132"/>
      <c r="F1118" s="1132"/>
      <c r="G1118" s="572"/>
    </row>
    <row r="1119" spans="1:7" ht="13">
      <c r="A1119" s="140"/>
      <c r="B1119" s="140"/>
      <c r="C1119" s="14"/>
      <c r="D1119" s="1590" t="s">
        <v>1664</v>
      </c>
      <c r="E1119" s="1590"/>
      <c r="F1119" s="1590"/>
    </row>
    <row r="1120" spans="1:7" ht="13">
      <c r="A1120" s="1021"/>
      <c r="B1120" s="1021"/>
      <c r="C1120" s="14"/>
      <c r="D1120" s="1016"/>
      <c r="E1120" s="282"/>
      <c r="F1120" s="282"/>
    </row>
    <row r="1121" spans="1:7" ht="13">
      <c r="A1121" s="413"/>
      <c r="B1121" s="949" t="s">
        <v>136</v>
      </c>
      <c r="C1121" s="14"/>
      <c r="D1121" s="1627" t="s">
        <v>1872</v>
      </c>
      <c r="E1121" s="1627"/>
      <c r="F1121" s="1627"/>
    </row>
    <row r="1122" spans="1:7" ht="12.5">
      <c r="A1122" s="140"/>
      <c r="B1122" s="140"/>
      <c r="C1122" s="14"/>
      <c r="D1122" s="1627"/>
      <c r="E1122" s="1627"/>
      <c r="F1122" s="1627"/>
    </row>
    <row r="1123" spans="1:7" ht="12.5">
      <c r="A1123" s="140"/>
      <c r="B1123" s="140"/>
      <c r="C1123" s="14"/>
      <c r="E1123" s="282"/>
      <c r="F1123" s="282"/>
    </row>
    <row r="1124" spans="1:7" ht="13">
      <c r="A1124" s="413"/>
      <c r="B1124" s="949" t="s">
        <v>1530</v>
      </c>
      <c r="C1124" s="14"/>
      <c r="D1124" s="1627" t="s">
        <v>1873</v>
      </c>
      <c r="E1124" s="1627"/>
      <c r="F1124" s="1627"/>
    </row>
    <row r="1125" spans="1:7" ht="12.5">
      <c r="A1125" s="140"/>
      <c r="B1125" s="140"/>
      <c r="C1125" s="14"/>
      <c r="D1125" s="1627"/>
      <c r="E1125" s="1627"/>
      <c r="F1125" s="1627"/>
    </row>
    <row r="1126" spans="1:7" ht="12.5">
      <c r="A1126" s="140"/>
      <c r="B1126" s="140"/>
      <c r="C1126" s="14"/>
      <c r="D1126" s="282"/>
      <c r="E1126" s="282"/>
      <c r="F1126" s="282"/>
    </row>
    <row r="1127" spans="1:7" ht="13">
      <c r="A1127" s="140"/>
      <c r="B1127" s="140"/>
      <c r="C1127" s="14"/>
      <c r="D1127" s="1590" t="s">
        <v>1665</v>
      </c>
      <c r="E1127" s="1590"/>
      <c r="F1127" s="1590"/>
    </row>
    <row r="1128" spans="1:7" ht="13">
      <c r="A1128" s="1021"/>
      <c r="B1128" s="1021"/>
      <c r="C1128" s="14"/>
      <c r="D1128" s="1016"/>
      <c r="E1128" s="282"/>
      <c r="F1128" s="282"/>
    </row>
    <row r="1129" spans="1:7" ht="13">
      <c r="A1129" s="413"/>
      <c r="B1129" s="949" t="s">
        <v>136</v>
      </c>
      <c r="C1129" s="14"/>
      <c r="D1129" s="1585" t="s">
        <v>1874</v>
      </c>
      <c r="E1129" s="1585"/>
      <c r="F1129" s="1585"/>
    </row>
    <row r="1130" spans="1:7" ht="12.5">
      <c r="A1130" s="140"/>
      <c r="B1130" s="140"/>
      <c r="C1130" s="14"/>
      <c r="D1130" s="282"/>
      <c r="E1130" s="282"/>
      <c r="F1130" s="282"/>
    </row>
    <row r="1131" spans="1:7" ht="13">
      <c r="A1131" s="413"/>
      <c r="B1131" s="949" t="s">
        <v>136</v>
      </c>
      <c r="C1131" s="14"/>
      <c r="D1131" s="1583" t="s">
        <v>1875</v>
      </c>
      <c r="E1131" s="1583"/>
      <c r="F1131" s="1583"/>
    </row>
    <row r="1132" spans="1:7" ht="13">
      <c r="A1132" s="413"/>
      <c r="B1132" s="413"/>
      <c r="C1132" s="14"/>
      <c r="D1132" s="1583"/>
      <c r="E1132" s="1583"/>
      <c r="F1132" s="1583"/>
    </row>
    <row r="1133" spans="1:7" ht="13">
      <c r="A1133" s="413"/>
      <c r="B1133" s="413"/>
      <c r="C1133" s="14"/>
      <c r="D1133" s="1025"/>
      <c r="E1133" s="1025"/>
      <c r="F1133" s="1025"/>
      <c r="G1133" s="2"/>
    </row>
    <row r="1134" spans="1:7" ht="13">
      <c r="A1134" s="1027"/>
      <c r="B1134" s="1027"/>
      <c r="C1134" s="14"/>
      <c r="D1134" s="1590" t="s">
        <v>1885</v>
      </c>
      <c r="E1134" s="1590"/>
      <c r="F1134" s="1590"/>
      <c r="G1134" s="2"/>
    </row>
    <row r="1135" spans="1:7" ht="13">
      <c r="A1135" s="1027"/>
      <c r="B1135" s="1027"/>
      <c r="C1135" s="14"/>
      <c r="D1135" s="1026"/>
      <c r="E1135" s="282"/>
      <c r="F1135" s="282"/>
      <c r="G1135" s="2"/>
    </row>
    <row r="1136" spans="1:7" ht="14.5" customHeight="1">
      <c r="A1136" s="413"/>
      <c r="B1136" s="1028" t="s">
        <v>136</v>
      </c>
      <c r="C1136" s="14"/>
      <c r="D1136" s="1582" t="s">
        <v>1981</v>
      </c>
      <c r="E1136" s="1583"/>
      <c r="F1136" s="1583"/>
      <c r="G1136" s="2"/>
    </row>
    <row r="1137" spans="1:7" ht="13">
      <c r="A1137" s="413"/>
      <c r="B1137" s="413"/>
      <c r="C1137" s="14"/>
      <c r="D1137" s="1583"/>
      <c r="E1137" s="1583"/>
      <c r="F1137" s="1583"/>
      <c r="G1137" s="2"/>
    </row>
    <row r="1138" spans="1:7" ht="13">
      <c r="A1138" s="413"/>
      <c r="B1138" s="413"/>
      <c r="C1138" s="14"/>
      <c r="D1138" s="1583"/>
      <c r="E1138" s="1583"/>
      <c r="F1138" s="1583"/>
      <c r="G1138" s="2"/>
    </row>
    <row r="1139" spans="1:7" ht="13">
      <c r="A1139" s="413"/>
      <c r="B1139" s="413"/>
      <c r="C1139" s="14"/>
      <c r="D1139" s="1583"/>
      <c r="E1139" s="1583"/>
      <c r="F1139" s="1583"/>
      <c r="G1139" s="2"/>
    </row>
    <row r="1140" spans="1:7" ht="13">
      <c r="A1140" s="413"/>
      <c r="B1140" s="413"/>
      <c r="C1140" s="14"/>
      <c r="D1140" s="1583"/>
      <c r="E1140" s="1583"/>
      <c r="F1140" s="1583"/>
      <c r="G1140" s="2"/>
    </row>
    <row r="1141" spans="1:7" ht="13">
      <c r="A1141" s="413"/>
      <c r="B1141" s="413"/>
      <c r="C1141" s="14"/>
      <c r="D1141" s="1583"/>
      <c r="E1141" s="1583"/>
      <c r="F1141" s="1583"/>
      <c r="G1141" s="2"/>
    </row>
    <row r="1142" spans="1:7" ht="13">
      <c r="A1142" s="413"/>
      <c r="B1142" s="413"/>
      <c r="C1142" s="14"/>
      <c r="D1142" s="1583"/>
      <c r="E1142" s="1583"/>
      <c r="F1142" s="1583"/>
      <c r="G1142" s="2"/>
    </row>
    <row r="1143" spans="1:7" ht="13">
      <c r="A1143" s="413"/>
      <c r="B1143" s="413"/>
      <c r="C1143" s="14"/>
      <c r="D1143" s="1583"/>
      <c r="E1143" s="1583"/>
      <c r="F1143" s="1583"/>
      <c r="G1143" s="2"/>
    </row>
    <row r="1144" spans="1:7" ht="13">
      <c r="A1144" s="413"/>
      <c r="B1144" s="413"/>
      <c r="C1144" s="14"/>
      <c r="D1144" s="1583"/>
      <c r="E1144" s="1583"/>
      <c r="F1144" s="1583"/>
      <c r="G1144" s="2"/>
    </row>
    <row r="1145" spans="1:7" ht="13">
      <c r="A1145" s="413"/>
      <c r="B1145" s="413"/>
      <c r="C1145" s="14"/>
      <c r="D1145" s="1583"/>
      <c r="E1145" s="1583"/>
      <c r="F1145" s="1583"/>
      <c r="G1145" s="2"/>
    </row>
    <row r="1146" spans="1:7" ht="13">
      <c r="A1146" s="413"/>
      <c r="B1146" s="413"/>
      <c r="C1146" s="14"/>
      <c r="D1146" s="1583"/>
      <c r="E1146" s="1583"/>
      <c r="F1146" s="1583"/>
      <c r="G1146" s="2"/>
    </row>
    <row r="1147" spans="1:7" ht="13">
      <c r="A1147" s="413"/>
      <c r="B1147" s="413"/>
      <c r="C1147" s="14"/>
      <c r="D1147" s="1583"/>
      <c r="E1147" s="1583"/>
      <c r="F1147" s="1583"/>
      <c r="G1147" s="2"/>
    </row>
    <row r="1148" spans="1:7" ht="13">
      <c r="A1148" s="413"/>
      <c r="B1148" s="413"/>
      <c r="C1148" s="14"/>
      <c r="D1148" s="1583"/>
      <c r="E1148" s="1583"/>
      <c r="F1148" s="1583"/>
      <c r="G1148" s="2"/>
    </row>
    <row r="1149" spans="1:7" ht="13">
      <c r="A1149" s="413"/>
      <c r="B1149" s="413"/>
      <c r="C1149" s="14"/>
      <c r="D1149" s="1583"/>
      <c r="E1149" s="1583"/>
      <c r="F1149" s="1583"/>
    </row>
    <row r="1150" spans="1:7" ht="12.5">
      <c r="A1150" s="140"/>
      <c r="B1150" s="140"/>
      <c r="C1150" s="14"/>
      <c r="D1150" s="282"/>
      <c r="E1150" s="282"/>
      <c r="F1150" s="282"/>
    </row>
    <row r="1151" spans="1:7" ht="13">
      <c r="A1151" s="1599" t="s">
        <v>1559</v>
      </c>
      <c r="B1151" s="1599"/>
      <c r="C1151" s="1599"/>
      <c r="D1151" s="1599"/>
      <c r="E1151" s="1599"/>
      <c r="F1151" s="1599"/>
      <c r="G1151" s="1599"/>
    </row>
    <row r="1152" spans="1:7" ht="12.5">
      <c r="A1152" s="143"/>
      <c r="B1152" s="143"/>
      <c r="C1152" s="14"/>
      <c r="D1152" s="282"/>
      <c r="E1152" s="282"/>
      <c r="F1152" s="282"/>
    </row>
    <row r="1153" spans="1:7" ht="13">
      <c r="A1153" s="140"/>
      <c r="B1153" s="140"/>
      <c r="C1153" s="322"/>
      <c r="D1153" s="1590" t="s">
        <v>1876</v>
      </c>
      <c r="E1153" s="1590"/>
      <c r="F1153" s="1590"/>
    </row>
    <row r="1154" spans="1:7" ht="13">
      <c r="A1154" s="414"/>
      <c r="B1154" s="414"/>
      <c r="C1154" s="298"/>
      <c r="D1154" s="1687" t="s">
        <v>1669</v>
      </c>
      <c r="E1154" s="1585"/>
      <c r="F1154" s="1585"/>
    </row>
    <row r="1155" spans="1:7" ht="13">
      <c r="A1155" s="414"/>
      <c r="B1155" s="414"/>
      <c r="C1155" s="298"/>
      <c r="D1155" s="282"/>
      <c r="E1155" s="282"/>
      <c r="F1155" s="296"/>
      <c r="G1155" s="2"/>
    </row>
    <row r="1156" spans="1:7" ht="13.75" customHeight="1">
      <c r="A1156" s="140"/>
      <c r="B1156" s="949" t="s">
        <v>1530</v>
      </c>
      <c r="C1156" s="14"/>
      <c r="D1156" s="1653" t="s">
        <v>1982</v>
      </c>
      <c r="E1156" s="1653"/>
      <c r="F1156" s="1653"/>
      <c r="G1156" s="2"/>
    </row>
    <row r="1157" spans="1:7" ht="12.5">
      <c r="A1157" s="140"/>
      <c r="B1157" s="140"/>
      <c r="C1157" s="14"/>
      <c r="D1157" s="1653"/>
      <c r="E1157" s="1653"/>
      <c r="F1157" s="1653"/>
      <c r="G1157" s="2"/>
    </row>
    <row r="1158" spans="1:7" ht="12.5">
      <c r="A1158" s="140"/>
      <c r="B1158" s="140"/>
      <c r="C1158" s="14"/>
      <c r="D1158" s="1653"/>
      <c r="E1158" s="1653"/>
      <c r="F1158" s="1653"/>
      <c r="G1158" s="2"/>
    </row>
    <row r="1159" spans="1:7" ht="12.5">
      <c r="A1159" s="150"/>
      <c r="B1159" s="150"/>
      <c r="D1159" s="1653"/>
      <c r="E1159" s="1653"/>
      <c r="F1159" s="1653"/>
      <c r="G1159" s="2"/>
    </row>
    <row r="1160" spans="1:7" ht="12.5">
      <c r="A1160" s="150"/>
      <c r="B1160" s="150"/>
      <c r="D1160" s="1653"/>
      <c r="E1160" s="1653"/>
      <c r="F1160" s="1653"/>
      <c r="G1160" s="2"/>
    </row>
    <row r="1161" spans="1:7" ht="13">
      <c r="A1161" s="415"/>
      <c r="B1161" s="415"/>
      <c r="C1161" s="299"/>
      <c r="D1161" s="1653"/>
      <c r="E1161" s="1653"/>
      <c r="F1161" s="1653"/>
      <c r="G1161" s="2"/>
    </row>
    <row r="1162" spans="1:7" ht="14.5" customHeight="1">
      <c r="A1162" s="415"/>
      <c r="B1162" s="415"/>
      <c r="C1162" s="299"/>
      <c r="D1162" s="1653"/>
      <c r="E1162" s="1653"/>
      <c r="F1162" s="1653"/>
      <c r="G1162" s="2"/>
    </row>
    <row r="1163" spans="1:7" ht="13">
      <c r="A1163" s="415"/>
      <c r="B1163" s="415"/>
      <c r="C1163" s="299"/>
      <c r="D1163" s="1015"/>
      <c r="E1163" s="1015"/>
      <c r="F1163" s="1015"/>
      <c r="G1163" s="2"/>
    </row>
    <row r="1164" spans="1:7" ht="13">
      <c r="A1164" s="415"/>
      <c r="B1164" s="1032" t="s">
        <v>136</v>
      </c>
      <c r="C1164" s="299"/>
      <c r="D1164" s="1627" t="s">
        <v>1886</v>
      </c>
      <c r="E1164" s="1627"/>
      <c r="F1164" s="1627"/>
      <c r="G1164" s="2"/>
    </row>
    <row r="1165" spans="1:7" ht="13">
      <c r="A1165" s="415"/>
      <c r="B1165" s="415"/>
      <c r="C1165" s="299"/>
      <c r="D1165" s="1627"/>
      <c r="E1165" s="1627"/>
      <c r="F1165" s="1627"/>
      <c r="G1165" s="2"/>
    </row>
    <row r="1166" spans="1:7" ht="13">
      <c r="A1166" s="415"/>
      <c r="B1166" s="415"/>
      <c r="C1166" s="299"/>
      <c r="D1166" s="1627"/>
      <c r="E1166" s="1627"/>
      <c r="F1166" s="1627"/>
      <c r="G1166" s="2"/>
    </row>
    <row r="1167" spans="1:7" ht="13">
      <c r="A1167" s="415"/>
      <c r="B1167" s="415"/>
      <c r="C1167" s="299"/>
      <c r="D1167" s="1627"/>
      <c r="E1167" s="1627"/>
      <c r="F1167" s="1627"/>
      <c r="G1167" s="2"/>
    </row>
    <row r="1168" spans="1:7" ht="13">
      <c r="A1168" s="415"/>
      <c r="B1168" s="415"/>
      <c r="C1168" s="299"/>
      <c r="D1168" s="1101"/>
      <c r="E1168" s="1101"/>
      <c r="F1168" s="1101"/>
      <c r="G1168" s="2"/>
    </row>
    <row r="1169" spans="1:7" ht="13">
      <c r="A1169" s="415"/>
      <c r="B1169" s="1102" t="s">
        <v>136</v>
      </c>
      <c r="C1169" s="299"/>
      <c r="D1169" s="1628" t="s">
        <v>1983</v>
      </c>
      <c r="E1169" s="1627"/>
      <c r="F1169" s="1627"/>
      <c r="G1169" s="2"/>
    </row>
    <row r="1170" spans="1:7" ht="13">
      <c r="A1170" s="415"/>
      <c r="B1170" s="415"/>
      <c r="C1170" s="299"/>
      <c r="D1170" s="1627"/>
      <c r="E1170" s="1627"/>
      <c r="F1170" s="1627"/>
      <c r="G1170" s="2"/>
    </row>
    <row r="1171" spans="1:7" ht="13">
      <c r="A1171" s="415"/>
      <c r="B1171" s="415"/>
      <c r="C1171" s="299"/>
      <c r="D1171" s="1101"/>
      <c r="E1171" s="1101"/>
      <c r="F1171" s="1101"/>
      <c r="G1171" s="2"/>
    </row>
    <row r="1172" spans="1:7" ht="13">
      <c r="A1172" s="413"/>
      <c r="B1172" s="949" t="s">
        <v>1530</v>
      </c>
      <c r="C1172" s="14"/>
      <c r="D1172" s="1585" t="s">
        <v>1877</v>
      </c>
      <c r="E1172" s="1585"/>
      <c r="F1172" s="1585"/>
      <c r="G1172" s="2"/>
    </row>
    <row r="1173" spans="1:7" ht="12.5">
      <c r="A1173" s="140"/>
      <c r="B1173" s="140"/>
      <c r="C1173" s="14"/>
      <c r="D1173" s="282"/>
      <c r="E1173" s="282"/>
      <c r="F1173" s="282"/>
      <c r="G1173" s="2"/>
    </row>
    <row r="1174" spans="1:7" ht="13">
      <c r="A1174" s="413"/>
      <c r="B1174" s="949" t="s">
        <v>136</v>
      </c>
      <c r="C1174" s="14"/>
      <c r="D1174" s="1585" t="s">
        <v>1878</v>
      </c>
      <c r="E1174" s="1585"/>
      <c r="F1174" s="1585"/>
      <c r="G1174" s="2"/>
    </row>
    <row r="1175" spans="1:7" ht="12.5">
      <c r="A1175" s="140"/>
      <c r="B1175" s="140"/>
      <c r="C1175" s="14"/>
      <c r="D1175" s="287"/>
      <c r="E1175" s="282"/>
      <c r="F1175" s="282"/>
      <c r="G1175" s="2"/>
    </row>
    <row r="1176" spans="1:7" ht="13">
      <c r="A1176" s="413"/>
      <c r="B1176" s="949" t="s">
        <v>1530</v>
      </c>
      <c r="C1176" s="14"/>
      <c r="D1176" s="1585" t="s">
        <v>1879</v>
      </c>
      <c r="E1176" s="1585"/>
      <c r="F1176" s="1585"/>
      <c r="G1176" s="2"/>
    </row>
    <row r="1177" spans="1:7" ht="12.5">
      <c r="A1177" s="140"/>
      <c r="B1177" s="140"/>
      <c r="C1177" s="14"/>
      <c r="D1177" s="287"/>
      <c r="E1177" s="282"/>
      <c r="F1177" s="282"/>
      <c r="G1177" s="2"/>
    </row>
    <row r="1178" spans="1:7" ht="13">
      <c r="A1178" s="413"/>
      <c r="B1178" s="949" t="s">
        <v>1530</v>
      </c>
      <c r="C1178" s="14"/>
      <c r="D1178" s="1583" t="s">
        <v>1880</v>
      </c>
      <c r="E1178" s="1583"/>
      <c r="F1178" s="1583"/>
      <c r="G1178" s="2"/>
    </row>
    <row r="1179" spans="1:7" ht="13">
      <c r="A1179" s="413"/>
      <c r="B1179" s="413"/>
      <c r="C1179" s="14"/>
      <c r="D1179" s="1583"/>
      <c r="E1179" s="1583"/>
      <c r="F1179" s="1583"/>
      <c r="G1179" s="2"/>
    </row>
    <row r="1180" spans="1:7" ht="13">
      <c r="A1180" s="413"/>
      <c r="B1180" s="413"/>
      <c r="C1180" s="14"/>
      <c r="D1180" s="287"/>
      <c r="E1180" s="282"/>
      <c r="F1180" s="282"/>
    </row>
    <row r="1181" spans="1:7" s="707" customFormat="1" ht="13">
      <c r="A1181" s="464"/>
      <c r="B1181" s="949" t="s">
        <v>136</v>
      </c>
      <c r="C1181" s="465"/>
      <c r="D1181" s="1636" t="s">
        <v>1881</v>
      </c>
      <c r="E1181" s="1636"/>
      <c r="F1181" s="1636"/>
      <c r="G1181" s="708"/>
    </row>
    <row r="1182" spans="1:7" s="707" customFormat="1" ht="12.5">
      <c r="A1182" s="465"/>
      <c r="B1182" s="465"/>
      <c r="C1182" s="465"/>
      <c r="D1182" s="1636"/>
      <c r="E1182" s="1636"/>
      <c r="F1182" s="1636"/>
      <c r="G1182" s="708"/>
    </row>
    <row r="1183" spans="1:7" s="707" customFormat="1" ht="12.5">
      <c r="A1183" s="465"/>
      <c r="B1183" s="465"/>
      <c r="C1183" s="465"/>
      <c r="D1183" s="466"/>
      <c r="E1183" s="467"/>
      <c r="F1183" s="467"/>
      <c r="G1183" s="708"/>
    </row>
    <row r="1184" spans="1:7" s="707" customFormat="1" ht="13">
      <c r="A1184" s="464"/>
      <c r="B1184" s="949" t="s">
        <v>136</v>
      </c>
      <c r="C1184" s="465"/>
      <c r="D1184" s="1686" t="s">
        <v>1882</v>
      </c>
      <c r="E1184" s="1686"/>
      <c r="F1184" s="1686"/>
      <c r="G1184" s="708"/>
    </row>
    <row r="1185" spans="1:7" s="707" customFormat="1" ht="12.5">
      <c r="A1185" s="465"/>
      <c r="B1185" s="465"/>
      <c r="C1185" s="465"/>
      <c r="D1185" s="466"/>
      <c r="E1185" s="467"/>
      <c r="F1185" s="467"/>
      <c r="G1185" s="708"/>
    </row>
    <row r="1186" spans="1:7" ht="13">
      <c r="A1186" s="413"/>
      <c r="B1186" s="949" t="s">
        <v>136</v>
      </c>
      <c r="C1186" s="14"/>
      <c r="D1186" s="1585" t="s">
        <v>1883</v>
      </c>
      <c r="E1186" s="1585"/>
      <c r="F1186" s="1585"/>
    </row>
    <row r="1187" spans="1:7" ht="13">
      <c r="A1187" s="413"/>
      <c r="B1187" s="413"/>
      <c r="C1187" s="14"/>
      <c r="D1187" s="287"/>
      <c r="E1187" s="282"/>
      <c r="F1187" s="282"/>
    </row>
    <row r="1188" spans="1:7" ht="13">
      <c r="A1188" s="413"/>
      <c r="B1188" s="949" t="s">
        <v>136</v>
      </c>
      <c r="C1188" s="14"/>
      <c r="D1188" s="1583" t="s">
        <v>1884</v>
      </c>
      <c r="E1188" s="1583"/>
      <c r="F1188" s="1583"/>
    </row>
    <row r="1189" spans="1:7" ht="13">
      <c r="A1189" s="413"/>
      <c r="B1189" s="413"/>
      <c r="C1189" s="14"/>
      <c r="D1189" s="1583"/>
      <c r="E1189" s="1583"/>
      <c r="F1189" s="1583"/>
    </row>
    <row r="1190" spans="1:7" ht="12.5">
      <c r="A1190" s="140"/>
      <c r="B1190" s="140"/>
      <c r="C1190" s="14"/>
      <c r="D1190" s="282"/>
      <c r="E1190" s="282"/>
      <c r="F1190" s="282"/>
    </row>
    <row r="1191" spans="1:7" ht="13">
      <c r="A1191" s="1599" t="s">
        <v>2307</v>
      </c>
      <c r="B1191" s="1599"/>
      <c r="C1191" s="1599"/>
      <c r="D1191" s="1599"/>
      <c r="E1191" s="1599"/>
      <c r="F1191" s="1599"/>
      <c r="G1191" s="1599"/>
    </row>
    <row r="1192" spans="1:7" ht="12.5">
      <c r="A1192" s="140"/>
      <c r="B1192" s="140"/>
      <c r="C1192" s="14"/>
      <c r="D1192" s="282"/>
      <c r="E1192" s="282"/>
      <c r="F1192" s="282"/>
    </row>
    <row r="1193" spans="1:7" ht="13">
      <c r="A1193" s="1599" t="s">
        <v>1560</v>
      </c>
      <c r="B1193" s="1599"/>
      <c r="C1193" s="1599"/>
      <c r="D1193" s="1599"/>
      <c r="E1193" s="1599"/>
      <c r="F1193" s="1599"/>
      <c r="G1193" s="1599"/>
    </row>
    <row r="1194" spans="1:7" ht="12.5">
      <c r="A1194" s="140"/>
      <c r="B1194" s="140"/>
      <c r="C1194" s="14"/>
      <c r="D1194" s="282"/>
      <c r="E1194" s="282"/>
      <c r="F1194" s="282"/>
    </row>
    <row r="1195" spans="1:7" ht="13">
      <c r="A1195" s="150"/>
      <c r="B1195" s="150"/>
      <c r="D1195" s="1646" t="s">
        <v>1689</v>
      </c>
      <c r="E1195" s="1646"/>
      <c r="F1195" s="1646"/>
    </row>
    <row r="1196" spans="1:7" ht="12.5">
      <c r="A1196" s="150"/>
      <c r="B1196" s="150"/>
      <c r="D1196" s="1647" t="s">
        <v>2185</v>
      </c>
      <c r="E1196" s="1647"/>
      <c r="F1196" s="1647"/>
    </row>
    <row r="1197" spans="1:7" ht="13">
      <c r="A1197" s="430"/>
      <c r="B1197" s="430"/>
      <c r="C1197" s="406"/>
    </row>
    <row r="1198" spans="1:7" ht="13">
      <c r="A1198" s="413"/>
      <c r="B1198" s="413"/>
      <c r="C1198" s="299"/>
      <c r="D1198" s="1646" t="s">
        <v>1690</v>
      </c>
      <c r="E1198" s="1646"/>
      <c r="F1198" s="1646"/>
    </row>
    <row r="1199" spans="1:7" ht="12.5">
      <c r="A1199" s="140"/>
      <c r="B1199" s="949" t="s">
        <v>1530</v>
      </c>
      <c r="C1199" s="14"/>
      <c r="D1199" s="1650" t="s">
        <v>1691</v>
      </c>
      <c r="E1199" s="1650"/>
      <c r="F1199" s="1650"/>
    </row>
    <row r="1200" spans="1:7" ht="12.5">
      <c r="A1200" s="140"/>
      <c r="B1200" s="140"/>
      <c r="C1200" s="14"/>
      <c r="D1200" s="1647" t="s">
        <v>2186</v>
      </c>
      <c r="E1200" s="1647"/>
      <c r="F1200" s="1647"/>
    </row>
    <row r="1201" spans="1:7" ht="12.5">
      <c r="A1201" s="150"/>
      <c r="B1201" s="150"/>
      <c r="G1201" s="2"/>
    </row>
    <row r="1202" spans="1:7" ht="12.75" customHeight="1">
      <c r="A1202" s="150"/>
      <c r="B1202" s="1312" t="s">
        <v>136</v>
      </c>
      <c r="D1202" s="1601" t="s">
        <v>2075</v>
      </c>
      <c r="E1202" s="1601"/>
      <c r="F1202" s="1601"/>
      <c r="G1202" s="2"/>
    </row>
    <row r="1203" spans="1:7" ht="12.5">
      <c r="A1203" s="150"/>
      <c r="B1203" s="150"/>
      <c r="D1203" s="1601"/>
      <c r="E1203" s="1601"/>
      <c r="F1203" s="1601"/>
      <c r="G1203" s="2"/>
    </row>
    <row r="1204" spans="1:7" ht="12.5">
      <c r="A1204" s="150"/>
      <c r="B1204" s="150"/>
      <c r="G1204" s="2"/>
    </row>
    <row r="1205" spans="1:7" ht="12.75" customHeight="1">
      <c r="A1205" s="150"/>
      <c r="B1205" s="150"/>
    </row>
    <row r="1206" spans="1:7" ht="13">
      <c r="A1206" s="1633" t="s">
        <v>1562</v>
      </c>
      <c r="B1206" s="1633"/>
      <c r="C1206" s="1633"/>
      <c r="D1206" s="1633"/>
      <c r="E1206" s="1633"/>
      <c r="F1206" s="1633"/>
      <c r="G1206" s="1633"/>
    </row>
    <row r="1207" spans="1:7" ht="12.5">
      <c r="A1207" s="76"/>
      <c r="B1207" s="76"/>
      <c r="C1207" s="285"/>
      <c r="D1207" s="288"/>
      <c r="E1207" s="288"/>
      <c r="F1207" s="288"/>
      <c r="G1207" s="288"/>
    </row>
    <row r="1208" spans="1:7" ht="12.75" customHeight="1">
      <c r="A1208" s="76"/>
      <c r="B1208" s="76"/>
      <c r="C1208" s="285"/>
      <c r="D1208" s="1644" t="s">
        <v>1561</v>
      </c>
      <c r="E1208" s="1644"/>
      <c r="F1208" s="1644"/>
      <c r="G1208" s="288"/>
    </row>
    <row r="1209" spans="1:7" ht="12.75" customHeight="1">
      <c r="A1209" s="76"/>
      <c r="B1209" s="76"/>
      <c r="C1209" s="285"/>
      <c r="D1209" s="1645" t="s">
        <v>1571</v>
      </c>
      <c r="E1209" s="1645"/>
      <c r="F1209" s="1645"/>
      <c r="G1209" s="288"/>
    </row>
    <row r="1210" spans="1:7" ht="12.75" customHeight="1">
      <c r="A1210" s="76"/>
      <c r="B1210" s="76"/>
      <c r="C1210" s="285"/>
      <c r="D1210" s="288"/>
      <c r="E1210" s="288"/>
      <c r="F1210" s="288"/>
      <c r="G1210" s="288"/>
    </row>
    <row r="1211" spans="1:7" ht="13">
      <c r="A1211" s="413"/>
      <c r="B1211" s="949" t="s">
        <v>136</v>
      </c>
      <c r="C1211" s="14"/>
      <c r="D1211" s="1592" t="s">
        <v>1124</v>
      </c>
      <c r="E1211" s="1592"/>
      <c r="F1211" s="1592"/>
    </row>
    <row r="1212" spans="1:7" ht="12.5">
      <c r="A1212" s="140"/>
      <c r="B1212" s="140"/>
      <c r="C1212" s="14"/>
      <c r="D1212" s="1585" t="s">
        <v>1255</v>
      </c>
      <c r="E1212" s="1585"/>
      <c r="F1212" s="1585"/>
    </row>
    <row r="1213" spans="1:7" ht="13">
      <c r="A1213" s="140"/>
      <c r="B1213" s="140"/>
      <c r="C1213" s="14"/>
      <c r="D1213" s="282"/>
      <c r="E1213" s="1609" t="s">
        <v>1692</v>
      </c>
      <c r="F1213" s="1609"/>
    </row>
    <row r="1214" spans="1:7" ht="13">
      <c r="A1214" s="140"/>
      <c r="B1214" s="140"/>
      <c r="C1214" s="14"/>
      <c r="D1214" s="6"/>
      <c r="E1214" s="282"/>
      <c r="F1214" s="282"/>
    </row>
    <row r="1215" spans="1:7" ht="12.5">
      <c r="A1215" s="140"/>
      <c r="B1215" s="140"/>
      <c r="C1215" s="14"/>
      <c r="D1215" s="1643" t="s">
        <v>1406</v>
      </c>
      <c r="E1215" s="1643"/>
      <c r="F1215" s="1643"/>
    </row>
    <row r="1216" spans="1:7" ht="12.5">
      <c r="A1216" s="140"/>
      <c r="B1216" s="949" t="s">
        <v>136</v>
      </c>
      <c r="C1216" s="140"/>
      <c r="D1216" s="1583" t="s">
        <v>1693</v>
      </c>
      <c r="E1216" s="1583"/>
      <c r="F1216" s="1583"/>
      <c r="G1216" s="2"/>
    </row>
    <row r="1217" spans="1:7" ht="12.5">
      <c r="A1217" s="140"/>
      <c r="B1217" s="140"/>
      <c r="C1217" s="14"/>
      <c r="D1217" s="1583"/>
      <c r="E1217" s="1583"/>
      <c r="F1217" s="1583"/>
      <c r="G1217" s="2"/>
    </row>
    <row r="1218" spans="1:7" ht="12.5">
      <c r="A1218" s="140"/>
      <c r="B1218" s="140"/>
      <c r="C1218" s="14"/>
      <c r="D1218" s="809" t="s">
        <v>1409</v>
      </c>
      <c r="E1218" s="2"/>
      <c r="F1218" s="2"/>
      <c r="G1218" s="2"/>
    </row>
    <row r="1219" spans="1:7" ht="13.75" customHeight="1">
      <c r="A1219" s="140"/>
      <c r="B1219" s="140"/>
      <c r="C1219" s="14"/>
      <c r="D1219" s="1583" t="s">
        <v>1694</v>
      </c>
      <c r="E1219" s="1583"/>
      <c r="F1219" s="1583"/>
      <c r="G1219" s="2"/>
    </row>
    <row r="1220" spans="1:7" ht="12.5">
      <c r="A1220" s="140"/>
      <c r="B1220" s="140"/>
      <c r="C1220" s="14"/>
      <c r="D1220" s="1583"/>
      <c r="E1220" s="1583"/>
      <c r="F1220" s="1583"/>
      <c r="G1220" s="2"/>
    </row>
    <row r="1221" spans="1:7" ht="12.5">
      <c r="A1221" s="140"/>
      <c r="B1221" s="140"/>
      <c r="C1221" s="14"/>
      <c r="D1221" s="1583"/>
      <c r="E1221" s="1583"/>
      <c r="F1221" s="1583"/>
      <c r="G1221" s="2"/>
    </row>
    <row r="1222" spans="1:7" ht="12.5">
      <c r="A1222" s="140"/>
      <c r="B1222" s="140"/>
      <c r="C1222" s="14"/>
      <c r="D1222" s="1583"/>
      <c r="E1222" s="1583"/>
      <c r="F1222" s="1583"/>
      <c r="G1222" s="2"/>
    </row>
    <row r="1223" spans="1:7" ht="13">
      <c r="A1223" s="140"/>
      <c r="B1223" s="140"/>
      <c r="C1223" s="14"/>
      <c r="D1223" s="1609" t="s">
        <v>1127</v>
      </c>
      <c r="E1223" s="1609"/>
      <c r="F1223" s="1609"/>
      <c r="G1223" s="2"/>
    </row>
    <row r="1224" spans="1:7" ht="12.5">
      <c r="A1224" s="140"/>
      <c r="B1224" s="949" t="s">
        <v>136</v>
      </c>
      <c r="C1224" s="140"/>
      <c r="D1224" s="1592" t="s">
        <v>1407</v>
      </c>
      <c r="E1224" s="1592"/>
      <c r="F1224" s="1592"/>
      <c r="G1224" s="2"/>
    </row>
    <row r="1225" spans="1:7" ht="12.5">
      <c r="A1225" s="140"/>
      <c r="B1225" s="140"/>
      <c r="C1225" s="14"/>
      <c r="D1225" s="282"/>
      <c r="E1225" s="2"/>
      <c r="F1225" s="2"/>
      <c r="G1225" s="2"/>
    </row>
    <row r="1226" spans="1:7" ht="13">
      <c r="A1226" s="140"/>
      <c r="B1226" s="140"/>
      <c r="C1226" s="14"/>
      <c r="D1226" s="1615" t="s">
        <v>1408</v>
      </c>
      <c r="E1226" s="1615"/>
      <c r="F1226" s="1615"/>
      <c r="G1226" s="2"/>
    </row>
    <row r="1227" spans="1:7" ht="13">
      <c r="A1227" s="140"/>
      <c r="B1227" s="140"/>
      <c r="C1227" s="14"/>
      <c r="D1227" s="6" t="s">
        <v>1125</v>
      </c>
      <c r="E1227" s="2"/>
      <c r="F1227" s="2"/>
      <c r="G1227" s="2"/>
    </row>
    <row r="1228" spans="1:7" ht="14.5" customHeight="1">
      <c r="A1228" s="413"/>
      <c r="B1228" s="949" t="s">
        <v>136</v>
      </c>
      <c r="C1228" s="140"/>
      <c r="D1228" s="1583" t="s">
        <v>1695</v>
      </c>
      <c r="E1228" s="1583"/>
      <c r="F1228" s="1583"/>
      <c r="G1228" s="2"/>
    </row>
    <row r="1229" spans="1:7" ht="13">
      <c r="A1229" s="413"/>
      <c r="B1229" s="413"/>
      <c r="C1229" s="140"/>
      <c r="D1229" s="1583"/>
      <c r="E1229" s="1583"/>
      <c r="F1229" s="1583"/>
      <c r="G1229" s="2"/>
    </row>
    <row r="1230" spans="1:7" ht="13">
      <c r="A1230" s="413"/>
      <c r="B1230" s="413"/>
      <c r="C1230" s="140"/>
      <c r="D1230" s="1583"/>
      <c r="E1230" s="1583"/>
      <c r="F1230" s="1583"/>
      <c r="G1230" s="2"/>
    </row>
    <row r="1231" spans="1:7" ht="13">
      <c r="A1231" s="413"/>
      <c r="B1231" s="413"/>
      <c r="C1231" s="14"/>
      <c r="D1231" s="282"/>
      <c r="E1231" s="2"/>
      <c r="F1231" s="2"/>
      <c r="G1231" s="2"/>
    </row>
    <row r="1232" spans="1:7" ht="13">
      <c r="A1232" s="413"/>
      <c r="B1232" s="413"/>
      <c r="C1232" s="14"/>
      <c r="D1232" s="665" t="s">
        <v>1253</v>
      </c>
      <c r="E1232" s="665"/>
      <c r="F1232" s="665"/>
    </row>
    <row r="1233" spans="1:7" ht="13">
      <c r="A1233" s="413"/>
      <c r="B1233" s="949" t="s">
        <v>136</v>
      </c>
      <c r="C1233" s="14"/>
      <c r="D1233" s="1583" t="s">
        <v>1696</v>
      </c>
      <c r="E1233" s="1583"/>
      <c r="F1233" s="1583"/>
    </row>
    <row r="1234" spans="1:7" ht="13">
      <c r="A1234" s="413"/>
      <c r="B1234" s="413"/>
      <c r="C1234" s="14"/>
      <c r="D1234" s="1583"/>
      <c r="E1234" s="1583"/>
      <c r="F1234" s="1583"/>
    </row>
    <row r="1235" spans="1:7" ht="13">
      <c r="A1235" s="413"/>
      <c r="B1235" s="413"/>
      <c r="C1235" s="14"/>
      <c r="D1235" s="1583"/>
      <c r="E1235" s="1583"/>
      <c r="F1235" s="1583"/>
    </row>
    <row r="1236" spans="1:7" ht="13">
      <c r="A1236" s="413"/>
      <c r="B1236" s="413"/>
      <c r="C1236" s="14"/>
      <c r="D1236" s="1583"/>
      <c r="E1236" s="1583"/>
      <c r="F1236" s="1583"/>
    </row>
    <row r="1237" spans="1:7" ht="13">
      <c r="A1237" s="413"/>
      <c r="B1237" s="413"/>
      <c r="C1237" s="14"/>
      <c r="D1237" s="1583"/>
      <c r="E1237" s="1583"/>
      <c r="F1237" s="1583"/>
    </row>
    <row r="1238" spans="1:7" ht="12.75" customHeight="1">
      <c r="A1238" s="76"/>
      <c r="B1238" s="76"/>
      <c r="C1238" s="285"/>
      <c r="D1238" s="288"/>
      <c r="E1238" s="288"/>
      <c r="F1238" s="288"/>
      <c r="G1238" s="288"/>
    </row>
    <row r="1239" spans="1:7" ht="13">
      <c r="A1239" s="1633" t="s">
        <v>1604</v>
      </c>
      <c r="B1239" s="1633"/>
      <c r="C1239" s="1633"/>
      <c r="D1239" s="1633"/>
      <c r="E1239" s="1633"/>
      <c r="F1239" s="1633"/>
      <c r="G1239" s="1633"/>
    </row>
    <row r="1240" spans="1:7" ht="12.5">
      <c r="A1240" s="76"/>
      <c r="B1240" s="76"/>
      <c r="C1240" s="285"/>
      <c r="D1240" s="288"/>
      <c r="E1240" s="288"/>
      <c r="F1240" s="288"/>
      <c r="G1240" s="288"/>
    </row>
    <row r="1241" spans="1:7" ht="13">
      <c r="A1241" s="76"/>
      <c r="B1241" s="76"/>
      <c r="C1241" s="285"/>
      <c r="D1241" s="1629" t="s">
        <v>1605</v>
      </c>
      <c r="E1241" s="1629"/>
      <c r="F1241" s="1629"/>
      <c r="G1241" s="288"/>
    </row>
    <row r="1242" spans="1:7" ht="12.5">
      <c r="A1242" s="419"/>
      <c r="B1242" s="419"/>
      <c r="C1242" s="407"/>
      <c r="D1242" s="1630" t="s">
        <v>1622</v>
      </c>
      <c r="E1242" s="1630"/>
      <c r="F1242" s="1630"/>
      <c r="G1242" s="408"/>
    </row>
    <row r="1243" spans="1:7" ht="10.5" customHeight="1">
      <c r="A1243" s="150"/>
      <c r="B1243" s="150"/>
    </row>
    <row r="1244" spans="1:7" ht="13">
      <c r="A1244" s="413"/>
      <c r="B1244" s="949" t="s">
        <v>136</v>
      </c>
      <c r="D1244" s="1592" t="s">
        <v>1256</v>
      </c>
      <c r="E1244" s="1592"/>
      <c r="F1244" s="1592"/>
    </row>
    <row r="1245" spans="1:7" ht="13">
      <c r="A1245" s="150"/>
      <c r="B1245" s="150"/>
      <c r="D1245" s="282"/>
      <c r="E1245" s="1615" t="s">
        <v>1531</v>
      </c>
      <c r="F1245" s="1615"/>
    </row>
    <row r="1246" spans="1:7" ht="13">
      <c r="A1246" s="140"/>
      <c r="B1246" s="140"/>
      <c r="C1246" s="14"/>
      <c r="D1246" s="955"/>
      <c r="E1246" s="955"/>
      <c r="F1246" s="955"/>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view="pageBreakPreview" zoomScale="110" zoomScaleNormal="110" zoomScaleSheetLayoutView="110" workbookViewId="0">
      <selection activeCell="T126" sqref="T125:T126"/>
    </sheetView>
  </sheetViews>
  <sheetFormatPr defaultColWidth="0" defaultRowHeight="0" customHeight="1" zeroHeight="1"/>
  <cols>
    <col min="1" max="38" width="2.453125" style="16" customWidth="1"/>
    <col min="39" max="41" width="2.6328125" style="16" customWidth="1"/>
    <col min="42" max="45" width="2.453125" style="16" customWidth="1"/>
    <col min="46" max="46" width="1.6328125" style="16" customWidth="1"/>
    <col min="47" max="52" width="3.6328125" style="16" hidden="1" customWidth="1"/>
    <col min="53" max="53" width="6" style="16" hidden="1" customWidth="1"/>
    <col min="54" max="67" width="3.6328125" style="16" hidden="1" customWidth="1"/>
    <col min="68" max="81" width="2.453125" style="16" hidden="1" customWidth="1"/>
    <col min="82" max="83" width="2.6328125" style="16" hidden="1" customWidth="1"/>
    <col min="84" max="84" width="2.453125" style="16" hidden="1" customWidth="1"/>
    <col min="85" max="126" width="2.6328125" style="16" hidden="1" customWidth="1"/>
    <col min="127" max="16384" width="9.1796875" style="16" hidden="1"/>
  </cols>
  <sheetData>
    <row r="1" spans="1:38"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2" t="s">
        <v>867</v>
      </c>
      <c r="B9" s="2012"/>
      <c r="C9" s="2012"/>
      <c r="D9" s="2012"/>
      <c r="E9" s="2012"/>
      <c r="F9" s="2012"/>
      <c r="G9" s="2012"/>
      <c r="H9" s="2012"/>
      <c r="I9" s="2012"/>
      <c r="J9" s="2012"/>
      <c r="K9" s="2012"/>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row>
    <row r="10" spans="1:38" ht="15" customHeight="1">
      <c r="A10" s="2014" t="s">
        <v>2245</v>
      </c>
      <c r="B10" s="2014"/>
      <c r="C10" s="2014"/>
      <c r="D10" s="2014"/>
      <c r="E10" s="2014"/>
      <c r="F10" s="2014"/>
      <c r="G10" s="2014"/>
      <c r="H10" s="2014"/>
      <c r="I10" s="2014"/>
      <c r="J10" s="2014"/>
      <c r="K10" s="2014"/>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row>
    <row r="11" spans="1:38" s="644" customFormat="1" ht="12.5">
      <c r="A11" s="2015" t="s">
        <v>2368</v>
      </c>
      <c r="B11" s="2016"/>
      <c r="C11" s="2016"/>
      <c r="D11" s="2016"/>
      <c r="E11" s="2016"/>
      <c r="F11" s="2016"/>
      <c r="G11" s="2016"/>
      <c r="H11" s="2016"/>
      <c r="I11" s="2016"/>
      <c r="J11" s="2016"/>
      <c r="K11" s="2016"/>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c r="AH11" s="2016"/>
      <c r="AI11" s="2016"/>
      <c r="AJ11" s="2016"/>
      <c r="AK11" s="2016"/>
      <c r="AL11" s="2016"/>
    </row>
    <row r="12" spans="1:38" ht="12.5">
      <c r="A12" s="1555" t="s">
        <v>2135</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75"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89" t="s">
        <v>2369</v>
      </c>
      <c r="I15" s="1689"/>
      <c r="J15" s="1689"/>
      <c r="K15" s="1689"/>
      <c r="L15" s="1689"/>
      <c r="M15" s="1689"/>
      <c r="N15" s="1689"/>
      <c r="O15" s="1689"/>
      <c r="P15" s="1689"/>
      <c r="Q15" s="1689"/>
      <c r="R15" s="1689"/>
      <c r="S15" s="1689"/>
      <c r="T15" s="1689"/>
      <c r="U15" s="1689"/>
      <c r="V15" s="1689"/>
      <c r="W15" s="1689"/>
      <c r="X15" s="1689"/>
      <c r="Y15" s="1689"/>
      <c r="Z15" s="1689"/>
      <c r="AA15" s="1689"/>
      <c r="AB15" s="1689"/>
      <c r="AC15" s="1689"/>
      <c r="AD15" s="1689"/>
      <c r="AE15" s="1689"/>
      <c r="AF15" s="1689"/>
      <c r="AG15" s="1689"/>
      <c r="AH15" s="1689"/>
      <c r="AI15" s="1689"/>
      <c r="AJ15" s="1689"/>
    </row>
    <row r="16" spans="1:38" ht="12.75" customHeight="1"/>
    <row r="17" spans="1:40" ht="12.75" customHeight="1">
      <c r="A17" s="142" t="s">
        <v>868</v>
      </c>
      <c r="C17" s="8"/>
      <c r="D17" s="8"/>
      <c r="E17" s="8"/>
      <c r="F17" s="8"/>
      <c r="G17" s="8"/>
      <c r="H17" s="1697" t="s">
        <v>2370</v>
      </c>
      <c r="I17" s="1692"/>
      <c r="J17" s="1692"/>
      <c r="K17" s="1692"/>
      <c r="L17" s="1692"/>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row>
    <row r="18" spans="1:40" ht="12.75" customHeight="1"/>
    <row r="19" spans="1:40" ht="15" customHeight="1">
      <c r="A19" s="1576" t="s">
        <v>1217</v>
      </c>
      <c r="B19" s="1576"/>
      <c r="C19" s="1576"/>
      <c r="D19" s="1576"/>
      <c r="E19" s="1576"/>
      <c r="F19" s="1576"/>
      <c r="G19" s="1576"/>
      <c r="H19" s="1576"/>
      <c r="I19" s="1576"/>
      <c r="J19" s="1576"/>
      <c r="K19" s="1576"/>
      <c r="L19" s="157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row>
    <row r="20" spans="1:40" ht="12.75" customHeight="1">
      <c r="A20" s="2017" t="s">
        <v>1492</v>
      </c>
      <c r="B20" s="2017"/>
      <c r="C20" s="2017"/>
      <c r="D20" s="2017"/>
      <c r="E20" s="2017"/>
      <c r="F20" s="2017"/>
      <c r="G20" s="2017"/>
      <c r="H20" s="2017"/>
      <c r="I20" s="2017"/>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8">
        <f>ROUND('Basis &amp; Credits'!AB55,0)</f>
        <v>2022980</v>
      </c>
      <c r="N25" s="1998"/>
      <c r="O25" s="1998"/>
      <c r="P25" s="1998"/>
      <c r="Q25" s="1998"/>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8">
        <f>'Basis &amp; Credits'!AB76</f>
        <v>0</v>
      </c>
      <c r="N27" s="1998"/>
      <c r="O27" s="1998"/>
      <c r="P27" s="1998"/>
      <c r="Q27" s="1998"/>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699" t="s">
        <v>531</v>
      </c>
      <c r="P33" s="1699"/>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328</v>
      </c>
      <c r="AM87" s="41"/>
    </row>
    <row r="88" spans="1:39" ht="12.75" customHeight="1">
      <c r="A88" s="222" t="s">
        <v>329</v>
      </c>
      <c r="AM88" s="41"/>
    </row>
    <row r="89" spans="1:39" ht="12.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339"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340"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339"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1496</v>
      </c>
    </row>
    <row r="117" spans="1:39" ht="12.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105"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999</v>
      </c>
    </row>
    <row r="125" spans="1:39" ht="12.5">
      <c r="A125" s="222" t="s">
        <v>1150</v>
      </c>
      <c r="V125" s="72"/>
      <c r="W125" s="72"/>
      <c r="AL125" s="72"/>
    </row>
    <row r="126" spans="1:39" ht="12.5">
      <c r="A126" s="72"/>
      <c r="B126" s="72"/>
      <c r="AL126" s="72"/>
    </row>
    <row r="127" spans="1:39" ht="12.5">
      <c r="A127" s="72"/>
      <c r="B127" s="72"/>
      <c r="AL127" s="72"/>
    </row>
    <row r="128" spans="1:39" ht="12.5">
      <c r="A128" s="72"/>
      <c r="B128" s="72"/>
      <c r="C128" s="72" t="s">
        <v>460</v>
      </c>
      <c r="E128" s="72"/>
      <c r="F128" s="72"/>
      <c r="G128" s="1873" t="s">
        <v>2545</v>
      </c>
      <c r="H128" s="1892"/>
      <c r="I128" s="72" t="s">
        <v>461</v>
      </c>
      <c r="J128" s="72"/>
      <c r="L128" s="1884" t="s">
        <v>2371</v>
      </c>
      <c r="M128" s="1885"/>
      <c r="N128" s="1885"/>
      <c r="O128" s="72" t="s">
        <v>2246</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5">
      <c r="A130" s="72"/>
      <c r="B130" s="72"/>
      <c r="C130" s="1884" t="s">
        <v>896</v>
      </c>
      <c r="D130" s="1885"/>
      <c r="E130" s="1885"/>
      <c r="F130" s="1885"/>
      <c r="G130" s="1885"/>
      <c r="H130" s="1885"/>
      <c r="I130" s="1885"/>
      <c r="J130" s="1885"/>
      <c r="K130" s="1885"/>
      <c r="L130" s="494" t="s">
        <v>462</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7" t="s">
        <v>2372</v>
      </c>
      <c r="Z131" s="1692"/>
      <c r="AA131" s="1692"/>
      <c r="AB131" s="1692"/>
      <c r="AC131" s="1692"/>
      <c r="AD131" s="1692"/>
      <c r="AE131" s="1692"/>
      <c r="AF131" s="1692"/>
      <c r="AG131" s="1692"/>
      <c r="AH131" s="1692"/>
      <c r="AI131" s="1692"/>
      <c r="AJ131" s="1692"/>
      <c r="AK131" s="1692"/>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697" t="s">
        <v>2373</v>
      </c>
      <c r="Z134" s="1692"/>
      <c r="AA134" s="1692"/>
      <c r="AB134" s="1692"/>
      <c r="AC134" s="1692"/>
      <c r="AD134" s="1692"/>
      <c r="AE134" s="1692"/>
      <c r="AF134" s="1692"/>
      <c r="AG134" s="1692"/>
      <c r="AH134" s="1692"/>
      <c r="AI134" s="1692"/>
      <c r="AJ134" s="1692"/>
      <c r="AK134" s="1692"/>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6"/>
    </row>
    <row r="136" spans="1:56" ht="12.5">
      <c r="A136" s="775"/>
      <c r="B136" s="8"/>
      <c r="AL136" s="776"/>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7" t="s">
        <v>2374</v>
      </c>
      <c r="P156" s="1692"/>
      <c r="Q156" s="1692"/>
      <c r="R156" s="1692"/>
      <c r="S156" s="1692"/>
      <c r="T156" s="1692"/>
      <c r="U156" s="1692"/>
      <c r="V156" s="1692"/>
      <c r="W156" s="1692"/>
      <c r="X156" s="1692"/>
      <c r="Y156" s="1692"/>
      <c r="Z156" s="1692"/>
      <c r="AA156" s="1692"/>
      <c r="AB156" s="1692"/>
      <c r="AC156" s="1692"/>
      <c r="AD156" s="1692"/>
      <c r="AE156" s="1692"/>
      <c r="AF156" s="1692"/>
      <c r="AG156" s="1692"/>
      <c r="AH156" s="1692"/>
      <c r="BT156" s="16" t="s">
        <v>86</v>
      </c>
    </row>
    <row r="157" spans="1:72" ht="12.75" customHeight="1">
      <c r="D157" s="734" t="s">
        <v>602</v>
      </c>
      <c r="F157" s="42"/>
      <c r="G157" s="42"/>
      <c r="H157" s="42"/>
      <c r="I157" s="42"/>
      <c r="J157" s="42"/>
      <c r="K157" s="42"/>
      <c r="L157" s="42"/>
      <c r="M157" s="42"/>
      <c r="N157" s="42"/>
      <c r="O157" s="1695" t="s">
        <v>2375</v>
      </c>
      <c r="P157" s="1700"/>
      <c r="Q157" s="1700"/>
      <c r="R157" s="1700"/>
      <c r="S157" s="1700"/>
      <c r="T157" s="1700"/>
      <c r="U157" s="1700"/>
      <c r="V157" s="1700"/>
      <c r="W157" s="1700"/>
      <c r="X157" s="1700"/>
      <c r="Y157" s="1700"/>
      <c r="Z157" s="1700"/>
      <c r="AA157" s="1700"/>
      <c r="AB157" s="1700"/>
      <c r="AC157" s="1700"/>
      <c r="AD157" s="1700"/>
      <c r="AE157" s="1700"/>
      <c r="AF157" s="1700"/>
      <c r="AG157" s="1700"/>
      <c r="AH157" s="1700"/>
      <c r="AI157" s="16" t="s">
        <v>774</v>
      </c>
      <c r="BN157" s="47" t="s">
        <v>471</v>
      </c>
      <c r="BT157" s="16" t="s">
        <v>32</v>
      </c>
    </row>
    <row r="158" spans="1:72" ht="12.75" customHeight="1">
      <c r="D158" s="17" t="s">
        <v>603</v>
      </c>
      <c r="F158" s="17"/>
      <c r="G158" s="17"/>
      <c r="H158" s="17"/>
      <c r="I158" s="17"/>
      <c r="J158" s="17"/>
      <c r="K158" s="17"/>
      <c r="L158" s="17"/>
      <c r="M158" s="17"/>
      <c r="N158" s="17"/>
      <c r="O158" s="1881" t="s">
        <v>2376</v>
      </c>
      <c r="P158" s="1882"/>
      <c r="Q158" s="1882"/>
      <c r="R158" s="1882"/>
      <c r="S158" s="1882"/>
      <c r="T158" s="1882"/>
      <c r="U158" s="1882"/>
      <c r="V158" s="1882"/>
      <c r="W158" s="1882"/>
      <c r="X158" s="1882"/>
      <c r="Y158" s="1882"/>
      <c r="Z158" s="1882"/>
      <c r="AA158" s="1882"/>
      <c r="AB158" s="1882"/>
      <c r="AC158" s="1882"/>
      <c r="AD158" s="1882"/>
      <c r="AE158" s="1882"/>
      <c r="AF158" s="1882"/>
      <c r="AG158" s="1882"/>
      <c r="AH158" s="1882"/>
      <c r="BN158" s="47" t="s">
        <v>472</v>
      </c>
      <c r="BT158" s="16" t="s">
        <v>33</v>
      </c>
    </row>
    <row r="159" spans="1:72" ht="12.75" customHeight="1">
      <c r="D159" s="42" t="s">
        <v>712</v>
      </c>
      <c r="F159" s="42"/>
      <c r="G159" s="42"/>
      <c r="H159" s="42"/>
      <c r="I159" s="42"/>
      <c r="J159" s="42"/>
      <c r="K159" s="42"/>
      <c r="L159" s="42"/>
      <c r="M159" s="42"/>
      <c r="N159" s="42"/>
      <c r="O159" s="1698" t="s">
        <v>2377</v>
      </c>
      <c r="P159" s="1698"/>
      <c r="Q159" s="1698"/>
      <c r="R159" s="1698"/>
      <c r="S159" s="1698"/>
      <c r="T159" s="1698"/>
      <c r="U159" s="1698"/>
      <c r="V159" s="1698"/>
      <c r="W159" s="1698"/>
      <c r="X159" s="1698"/>
      <c r="Y159" s="1698"/>
      <c r="Z159" s="1698"/>
      <c r="AA159" s="1698"/>
      <c r="AB159" s="1698"/>
      <c r="AC159" s="1698"/>
      <c r="AD159" s="1698"/>
      <c r="AE159" s="1698"/>
      <c r="AF159" s="1698"/>
      <c r="AG159" s="1698"/>
      <c r="AH159" s="1698"/>
      <c r="BN159" s="47" t="s">
        <v>80</v>
      </c>
      <c r="BT159" s="16" t="s">
        <v>432</v>
      </c>
    </row>
    <row r="160" spans="1:72" ht="12.75" customHeight="1">
      <c r="D160" s="42" t="s">
        <v>713</v>
      </c>
      <c r="F160" s="42"/>
      <c r="G160" s="42"/>
      <c r="H160" s="42"/>
      <c r="I160" s="42"/>
      <c r="J160" s="42"/>
      <c r="K160" s="42"/>
      <c r="L160" s="42"/>
      <c r="M160" s="42"/>
      <c r="N160" s="42"/>
      <c r="O160" s="1697" t="s">
        <v>896</v>
      </c>
      <c r="P160" s="1692"/>
      <c r="Q160" s="1692"/>
      <c r="R160" s="1692"/>
      <c r="S160" s="1692"/>
      <c r="T160" s="1692"/>
      <c r="U160" s="1692"/>
      <c r="V160" s="1692"/>
      <c r="W160" s="1692"/>
      <c r="X160" s="1692"/>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88">
        <v>93001</v>
      </c>
      <c r="P161" s="1888"/>
      <c r="Q161" s="1888"/>
      <c r="R161" s="188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871" t="s">
        <v>2378</v>
      </c>
      <c r="P162" s="1871"/>
      <c r="Q162" s="1871"/>
      <c r="R162" s="1871"/>
      <c r="S162" s="1871"/>
      <c r="T162" s="1871"/>
      <c r="V162" s="271" t="s">
        <v>12</v>
      </c>
      <c r="W162" s="1889"/>
      <c r="X162" s="1889"/>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871" t="s">
        <v>2379</v>
      </c>
      <c r="P163" s="1871"/>
      <c r="Q163" s="1871"/>
      <c r="R163" s="1871"/>
      <c r="S163" s="1871"/>
      <c r="T163" s="1871"/>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93" t="s">
        <v>2380</v>
      </c>
      <c r="P164" s="1693"/>
      <c r="Q164" s="1693"/>
      <c r="R164" s="1693"/>
      <c r="S164" s="1693"/>
      <c r="T164" s="1693"/>
      <c r="U164" s="1693"/>
      <c r="V164" s="1693"/>
      <c r="W164" s="1693"/>
      <c r="X164" s="1693"/>
      <c r="Y164" s="1693"/>
      <c r="Z164" s="1693"/>
      <c r="AA164" s="1693"/>
      <c r="AB164" s="1693"/>
      <c r="AC164" s="1693"/>
      <c r="AD164" s="1693"/>
      <c r="AE164" s="1693"/>
      <c r="AF164" s="1693"/>
      <c r="AG164" s="1693"/>
      <c r="AH164" s="169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87" t="s">
        <v>2194</v>
      </c>
      <c r="E167" s="1887"/>
      <c r="F167" s="1887"/>
      <c r="G167" s="1887"/>
      <c r="H167" s="1887"/>
      <c r="I167" s="1887"/>
      <c r="J167" s="1887"/>
      <c r="K167" s="1887"/>
      <c r="L167" s="1887"/>
      <c r="M167" s="1887"/>
      <c r="N167" s="1887"/>
      <c r="O167" s="1887"/>
      <c r="P167" s="1887"/>
      <c r="Q167" s="1887"/>
      <c r="R167" s="1887"/>
      <c r="S167" s="1887"/>
      <c r="T167" s="1887"/>
      <c r="U167" s="1887"/>
      <c r="V167" s="1887"/>
      <c r="W167" s="1887"/>
      <c r="X167" s="1887"/>
      <c r="Y167" s="188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1703" t="s">
        <v>423</v>
      </c>
      <c r="B169" s="1703"/>
      <c r="C169" s="1703"/>
      <c r="D169" s="1703"/>
      <c r="E169" s="1703"/>
      <c r="F169" s="1703"/>
      <c r="G169" s="1703"/>
      <c r="H169" s="1703"/>
      <c r="I169" s="1703"/>
      <c r="J169" s="1703"/>
      <c r="K169" s="1703"/>
      <c r="L169" s="1703"/>
      <c r="M169" s="1703"/>
      <c r="N169" s="1703"/>
      <c r="O169" s="1703"/>
      <c r="P169" s="1703"/>
      <c r="Q169" s="1703"/>
      <c r="R169" s="1703"/>
      <c r="S169" s="1703"/>
      <c r="T169" s="1703"/>
      <c r="U169" s="1703"/>
      <c r="V169" s="1703"/>
      <c r="W169" s="1703"/>
      <c r="X169" s="1703"/>
      <c r="Y169" s="1703"/>
      <c r="Z169" s="1703"/>
      <c r="AA169" s="1703"/>
      <c r="AB169" s="1703"/>
      <c r="AC169" s="1703"/>
      <c r="AD169" s="1703"/>
      <c r="AE169" s="1703"/>
      <c r="AF169" s="1703"/>
      <c r="AG169" s="1703"/>
      <c r="AH169" s="1703"/>
      <c r="AI169" s="1703"/>
      <c r="AJ169" s="1703"/>
      <c r="AK169" s="1703"/>
      <c r="AL169" s="1703"/>
      <c r="BN169" s="47" t="s">
        <v>535</v>
      </c>
      <c r="BT169" s="16" t="s">
        <v>442</v>
      </c>
    </row>
    <row r="170" spans="1:72" ht="12.75" customHeight="1" thickBot="1">
      <c r="A170" s="1704"/>
      <c r="B170" s="1704"/>
      <c r="C170" s="1704"/>
      <c r="D170" s="1704"/>
      <c r="E170" s="1704"/>
      <c r="F170" s="1704"/>
      <c r="G170" s="1704"/>
      <c r="H170" s="1704"/>
      <c r="I170" s="1704"/>
      <c r="J170" s="1704"/>
      <c r="K170" s="1704"/>
      <c r="L170" s="1704"/>
      <c r="M170" s="1704"/>
      <c r="N170" s="1704"/>
      <c r="O170" s="1704"/>
      <c r="P170" s="1704"/>
      <c r="Q170" s="1704"/>
      <c r="R170" s="1704"/>
      <c r="S170" s="1704"/>
      <c r="T170" s="1704"/>
      <c r="U170" s="1704"/>
      <c r="V170" s="1704"/>
      <c r="W170" s="1704"/>
      <c r="X170" s="1704"/>
      <c r="Y170" s="1704"/>
      <c r="Z170" s="1704"/>
      <c r="AA170" s="1704"/>
      <c r="AB170" s="1704"/>
      <c r="AC170" s="1704"/>
      <c r="AD170" s="1704"/>
      <c r="AE170" s="1704"/>
      <c r="AF170" s="1704"/>
      <c r="AG170" s="1704"/>
      <c r="AH170" s="1704"/>
      <c r="AI170" s="1704"/>
      <c r="AJ170" s="1704"/>
      <c r="AK170" s="1704"/>
      <c r="AL170" s="170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1883" t="s">
        <v>563</v>
      </c>
      <c r="K173" s="1883"/>
      <c r="L173" s="1883"/>
      <c r="M173" s="1883"/>
      <c r="N173" s="1883"/>
      <c r="O173" s="1883"/>
      <c r="P173" s="1883"/>
      <c r="Q173" s="1883"/>
      <c r="R173" s="1883"/>
      <c r="S173" s="1883"/>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699" t="s">
        <v>531</v>
      </c>
      <c r="V174" s="1699"/>
      <c r="W174" s="3"/>
      <c r="X174" s="3"/>
      <c r="Y174" s="3"/>
      <c r="Z174" s="3"/>
      <c r="AA174" s="3"/>
      <c r="AH174" s="35"/>
      <c r="AJ174" s="3"/>
      <c r="AK174" s="3"/>
      <c r="AL174" s="3"/>
      <c r="BN174" s="47" t="s">
        <v>659</v>
      </c>
      <c r="BT174" s="16" t="s">
        <v>447</v>
      </c>
    </row>
    <row r="175" spans="1:72" ht="13">
      <c r="A175" s="35"/>
      <c r="C175" s="17"/>
      <c r="D175" s="52"/>
      <c r="E175" s="16" t="s">
        <v>256</v>
      </c>
      <c r="O175" s="53"/>
      <c r="P175" s="35" t="s">
        <v>257</v>
      </c>
      <c r="Q175" s="35"/>
      <c r="R175" s="35"/>
      <c r="S175" s="35" t="s">
        <v>258</v>
      </c>
      <c r="U175" s="1879"/>
      <c r="V175" s="1879"/>
      <c r="W175" s="4" t="s">
        <v>259</v>
      </c>
      <c r="X175" s="1886"/>
      <c r="Y175" s="1886"/>
      <c r="Z175" s="35"/>
      <c r="AC175" s="35"/>
      <c r="AD175" s="35"/>
      <c r="AE175" s="35"/>
      <c r="AF175" s="35"/>
      <c r="AH175" s="35"/>
      <c r="AJ175" s="3"/>
      <c r="AK175" s="3"/>
      <c r="AL175" s="3"/>
      <c r="BN175" s="47" t="s">
        <v>660</v>
      </c>
      <c r="BT175" s="16" t="s">
        <v>448</v>
      </c>
    </row>
    <row r="176" spans="1:72" ht="13">
      <c r="A176" s="35"/>
      <c r="C176" s="54"/>
      <c r="D176" s="35" t="s">
        <v>307</v>
      </c>
      <c r="E176" s="35"/>
      <c r="F176" s="35"/>
      <c r="G176" s="35"/>
      <c r="H176" s="35"/>
      <c r="I176" s="35"/>
      <c r="J176" s="35"/>
      <c r="K176" s="35"/>
      <c r="L176" s="35"/>
      <c r="M176" s="35"/>
      <c r="N176" s="35"/>
      <c r="O176" s="35"/>
      <c r="S176" s="35"/>
      <c r="T176" s="3"/>
      <c r="U176" s="1699" t="s">
        <v>531</v>
      </c>
      <c r="V176" s="1699"/>
      <c r="W176" s="3"/>
      <c r="X176" s="3"/>
      <c r="Y176" s="3"/>
      <c r="AD176" s="35"/>
      <c r="AF176" s="35"/>
      <c r="AH176" s="35"/>
      <c r="AJ176" s="3"/>
      <c r="AK176" s="3"/>
      <c r="AL176" s="3"/>
      <c r="BN176" s="47" t="s">
        <v>662</v>
      </c>
      <c r="BT176" s="16" t="s">
        <v>449</v>
      </c>
    </row>
    <row r="177" spans="1:72" ht="13">
      <c r="A177" s="35"/>
      <c r="C177" s="54"/>
      <c r="D177" s="596" t="s">
        <v>1362</v>
      </c>
      <c r="AD177" s="35"/>
      <c r="AF177" s="35"/>
      <c r="AH177" s="35"/>
      <c r="AJ177" s="3"/>
      <c r="AK177" s="3"/>
      <c r="AL177" s="3"/>
      <c r="BN177" s="47" t="s">
        <v>663</v>
      </c>
      <c r="BT177" s="16" t="s">
        <v>450</v>
      </c>
    </row>
    <row r="178" spans="1:72" ht="13">
      <c r="A178" s="35"/>
      <c r="C178" s="54"/>
      <c r="E178" s="781" t="s">
        <v>257</v>
      </c>
      <c r="F178" s="597"/>
      <c r="G178" s="781"/>
      <c r="H178" s="781" t="s">
        <v>258</v>
      </c>
      <c r="I178" s="597"/>
      <c r="J178" s="2007"/>
      <c r="K178" s="2007"/>
      <c r="L178" s="780" t="s">
        <v>259</v>
      </c>
      <c r="M178" s="1891"/>
      <c r="N178" s="1891"/>
      <c r="O178" s="597"/>
      <c r="P178" s="597"/>
      <c r="Q178" s="597"/>
      <c r="R178" s="597"/>
      <c r="U178" s="743" t="s">
        <v>1363</v>
      </c>
      <c r="V178" s="597"/>
      <c r="W178" s="781"/>
      <c r="X178" s="781"/>
      <c r="Y178" s="781"/>
      <c r="Z178" s="781"/>
      <c r="AA178" s="781"/>
      <c r="AB178" s="781"/>
      <c r="AD178" s="2008"/>
      <c r="AE178" s="2008"/>
      <c r="AF178" s="2008"/>
      <c r="AG178" s="2008"/>
      <c r="AH178" s="2008"/>
      <c r="AJ178" s="3"/>
      <c r="AK178" s="3"/>
      <c r="AL178" s="3"/>
      <c r="BN178" s="47" t="s">
        <v>664</v>
      </c>
      <c r="BT178" s="16" t="s">
        <v>451</v>
      </c>
    </row>
    <row r="179" spans="1:72" ht="13">
      <c r="A179" s="35"/>
      <c r="C179" s="54"/>
      <c r="AE179" s="35"/>
      <c r="AJ179" s="3"/>
      <c r="AK179" s="3"/>
      <c r="AL179" s="3"/>
      <c r="BN179" s="47" t="s">
        <v>665</v>
      </c>
      <c r="BT179" s="16" t="s">
        <v>452</v>
      </c>
    </row>
    <row r="180" spans="1:72" ht="13">
      <c r="A180" s="35"/>
      <c r="C180" s="55"/>
      <c r="D180" s="3" t="s">
        <v>604</v>
      </c>
      <c r="O180" s="597"/>
      <c r="P180" s="781"/>
      <c r="Q180" s="597"/>
      <c r="R180" s="597"/>
      <c r="Y180" s="1699" t="s">
        <v>531</v>
      </c>
      <c r="Z180" s="1872"/>
      <c r="AE180" s="35"/>
      <c r="AJ180" s="3"/>
      <c r="AK180" s="3"/>
      <c r="AL180" s="3"/>
      <c r="BN180" s="47" t="s">
        <v>667</v>
      </c>
      <c r="BT180" s="16" t="s">
        <v>453</v>
      </c>
    </row>
    <row r="181" spans="1:72" ht="13">
      <c r="A181" s="35"/>
      <c r="C181" s="55"/>
      <c r="D181" s="57"/>
      <c r="E181" s="596" t="s">
        <v>1361</v>
      </c>
      <c r="R181" s="597"/>
      <c r="Z181" s="35"/>
      <c r="AA181" s="35"/>
      <c r="AE181" s="35"/>
      <c r="AF181" s="35"/>
      <c r="AH181" s="35"/>
      <c r="AJ181" s="3"/>
      <c r="AK181" s="3"/>
      <c r="AL181" s="3"/>
      <c r="BN181" s="47" t="s">
        <v>668</v>
      </c>
      <c r="BT181" s="16" t="s">
        <v>454</v>
      </c>
    </row>
    <row r="182" spans="1:72" ht="13">
      <c r="A182" s="35"/>
      <c r="C182" s="55"/>
      <c r="D182" s="56"/>
      <c r="E182" s="35"/>
      <c r="AJ182" s="3"/>
      <c r="AK182" s="3"/>
      <c r="AL182" s="3"/>
      <c r="BN182" s="47" t="s">
        <v>669</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
      <c r="A184" s="35"/>
      <c r="C184" s="58"/>
      <c r="D184" s="35" t="s">
        <v>10</v>
      </c>
      <c r="E184" s="35"/>
      <c r="F184" s="35"/>
      <c r="G184" s="35"/>
      <c r="H184" s="35"/>
      <c r="I184" s="1875" t="str">
        <f>H17</f>
        <v>Westview Village II</v>
      </c>
      <c r="J184" s="1875"/>
      <c r="K184" s="1875"/>
      <c r="L184" s="1875"/>
      <c r="M184" s="1875"/>
      <c r="N184" s="1875"/>
      <c r="O184" s="1875"/>
      <c r="P184" s="1875"/>
      <c r="Q184" s="1875"/>
      <c r="R184" s="1875"/>
      <c r="S184" s="1875"/>
      <c r="T184" s="1875"/>
      <c r="U184" s="1875"/>
      <c r="V184" s="1875"/>
      <c r="W184" s="1875"/>
      <c r="X184" s="1875"/>
      <c r="Y184" s="1875"/>
      <c r="Z184" s="1875"/>
      <c r="AA184" s="1875"/>
      <c r="AB184" s="1875"/>
      <c r="AC184" s="1875"/>
      <c r="AD184" s="1875"/>
      <c r="AE184" s="1875"/>
      <c r="AF184" s="35"/>
      <c r="AH184" s="35"/>
      <c r="AJ184" s="3"/>
      <c r="AK184" s="3"/>
      <c r="AL184" s="3"/>
      <c r="BC184" s="35" t="s">
        <v>132</v>
      </c>
      <c r="BN184" s="47" t="s">
        <v>633</v>
      </c>
      <c r="BT184" s="16" t="s">
        <v>457</v>
      </c>
    </row>
    <row r="185" spans="1:72" ht="13">
      <c r="A185" s="35"/>
      <c r="C185" s="58"/>
      <c r="D185" s="35" t="s">
        <v>478</v>
      </c>
      <c r="E185" s="35"/>
      <c r="F185" s="35"/>
      <c r="G185" s="35"/>
      <c r="H185" s="35"/>
      <c r="I185" s="1696" t="s">
        <v>2381</v>
      </c>
      <c r="J185" s="1696"/>
      <c r="K185" s="1696"/>
      <c r="L185" s="1696"/>
      <c r="M185" s="1696"/>
      <c r="N185" s="1696"/>
      <c r="O185" s="1696"/>
      <c r="P185" s="1696"/>
      <c r="Q185" s="1696"/>
      <c r="R185" s="1696"/>
      <c r="S185" s="1696"/>
      <c r="T185" s="1696"/>
      <c r="U185" s="1696"/>
      <c r="V185" s="1696"/>
      <c r="W185" s="1696"/>
      <c r="X185" s="1696"/>
      <c r="Y185" s="1696"/>
      <c r="Z185" s="1696"/>
      <c r="AA185" s="1696"/>
      <c r="AB185" s="1696"/>
      <c r="AC185" s="1696"/>
      <c r="AD185" s="1696"/>
      <c r="AE185" s="1696"/>
      <c r="AF185" s="35"/>
      <c r="AH185" s="35"/>
      <c r="AJ185" s="3"/>
      <c r="AK185" s="3"/>
      <c r="AL185" s="3"/>
      <c r="BC185" s="326" t="s">
        <v>133</v>
      </c>
      <c r="BN185" s="47" t="s">
        <v>634</v>
      </c>
      <c r="BT185" s="16" t="s">
        <v>920</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9"/>
      <c r="F187" s="2009"/>
      <c r="G187" s="2009"/>
      <c r="H187" s="2009"/>
      <c r="I187" s="2009"/>
      <c r="J187" s="2009"/>
      <c r="K187" s="2009"/>
      <c r="L187" s="2009"/>
      <c r="M187" s="2009"/>
      <c r="N187" s="2009"/>
      <c r="O187" s="2009"/>
      <c r="P187" s="2009"/>
      <c r="Q187" s="2009"/>
      <c r="R187" s="2009"/>
      <c r="S187" s="2009"/>
      <c r="T187" s="2009"/>
      <c r="U187" s="2009"/>
      <c r="V187" s="2009"/>
      <c r="W187" s="2009"/>
      <c r="X187" s="2009"/>
      <c r="Y187" s="2009"/>
      <c r="Z187" s="2009"/>
      <c r="AA187" s="2009"/>
      <c r="AB187" s="2009"/>
      <c r="AC187" s="2009"/>
      <c r="AD187" s="2009"/>
      <c r="AE187" s="2009"/>
      <c r="AF187" s="35"/>
      <c r="AH187" s="35"/>
      <c r="AJ187" s="3"/>
      <c r="AK187" s="3"/>
      <c r="AL187" s="3"/>
      <c r="BN187" s="47" t="s">
        <v>636</v>
      </c>
      <c r="BT187" s="16" t="s">
        <v>922</v>
      </c>
    </row>
    <row r="188" spans="1:72" ht="13">
      <c r="A188" s="35"/>
      <c r="C188" s="58"/>
      <c r="D188" s="35"/>
      <c r="E188" s="2010"/>
      <c r="F188" s="2010"/>
      <c r="G188" s="2010"/>
      <c r="H188" s="2010"/>
      <c r="I188" s="2010"/>
      <c r="J188" s="2010"/>
      <c r="K188" s="2010"/>
      <c r="L188" s="2010"/>
      <c r="M188" s="2010"/>
      <c r="N188" s="2010"/>
      <c r="O188" s="2010"/>
      <c r="P188" s="2010"/>
      <c r="Q188" s="2010"/>
      <c r="R188" s="2010"/>
      <c r="S188" s="2010"/>
      <c r="T188" s="2010"/>
      <c r="U188" s="2010"/>
      <c r="V188" s="2010"/>
      <c r="W188" s="2010"/>
      <c r="X188" s="2010"/>
      <c r="Y188" s="2010"/>
      <c r="Z188" s="2010"/>
      <c r="AA188" s="2010"/>
      <c r="AB188" s="2010"/>
      <c r="AC188" s="2010"/>
      <c r="AD188" s="2010"/>
      <c r="AE188" s="2010"/>
      <c r="AF188" s="35"/>
      <c r="AH188" s="35"/>
      <c r="AJ188" s="3"/>
      <c r="AK188" s="3"/>
      <c r="AL188" s="3"/>
      <c r="BN188" s="47" t="s">
        <v>638</v>
      </c>
      <c r="BT188" s="16" t="s">
        <v>923</v>
      </c>
    </row>
    <row r="189" spans="1:72" ht="13">
      <c r="A189" s="35"/>
      <c r="C189" s="58"/>
      <c r="D189" s="35" t="s">
        <v>479</v>
      </c>
      <c r="E189" s="35"/>
      <c r="I189" s="1698" t="s">
        <v>896</v>
      </c>
      <c r="J189" s="1698"/>
      <c r="K189" s="1698"/>
      <c r="L189" s="1698"/>
      <c r="M189" s="1698"/>
      <c r="N189" s="1698"/>
      <c r="O189" s="1698"/>
      <c r="P189" s="1698"/>
      <c r="Q189" s="35" t="s">
        <v>481</v>
      </c>
      <c r="T189" s="1698" t="s">
        <v>896</v>
      </c>
      <c r="U189" s="1698"/>
      <c r="V189" s="1698"/>
      <c r="W189" s="1698"/>
      <c r="X189" s="1698"/>
      <c r="Y189" s="1698"/>
      <c r="Z189" s="1698"/>
      <c r="AA189" s="1698"/>
      <c r="AB189" s="1698"/>
      <c r="AC189" s="1698"/>
      <c r="AD189" s="1698"/>
      <c r="AE189" s="1698"/>
      <c r="AH189" s="35"/>
      <c r="AJ189" s="3"/>
      <c r="AK189" s="3"/>
      <c r="AL189" s="3"/>
      <c r="BC189" s="16" t="s">
        <v>86</v>
      </c>
      <c r="BH189" s="72" t="s">
        <v>136</v>
      </c>
      <c r="BN189" s="47" t="s">
        <v>639</v>
      </c>
      <c r="BT189" s="16" t="s">
        <v>120</v>
      </c>
    </row>
    <row r="190" spans="1:72" ht="13">
      <c r="A190" s="35"/>
      <c r="C190" s="59"/>
      <c r="D190" s="35" t="s">
        <v>482</v>
      </c>
      <c r="E190" s="35"/>
      <c r="F190" s="35"/>
      <c r="G190" s="35"/>
      <c r="I190" s="1696">
        <v>93001</v>
      </c>
      <c r="J190" s="1696"/>
      <c r="K190" s="1696"/>
      <c r="L190" s="1696"/>
      <c r="M190" s="1696"/>
      <c r="N190" s="1696"/>
      <c r="O190" s="35" t="s">
        <v>484</v>
      </c>
      <c r="P190" s="35"/>
      <c r="Q190" s="35"/>
      <c r="R190" s="35"/>
      <c r="S190" s="35"/>
      <c r="T190" s="1880">
        <v>23</v>
      </c>
      <c r="U190" s="1880"/>
      <c r="V190" s="1880"/>
      <c r="W190" s="1880"/>
      <c r="X190" s="1880"/>
      <c r="Y190" s="1880"/>
      <c r="Z190" s="1880"/>
      <c r="AA190" s="1880"/>
      <c r="AB190" s="1880"/>
      <c r="AC190" s="1880"/>
      <c r="AD190" s="1880"/>
      <c r="AE190" s="1880"/>
      <c r="AF190" s="35"/>
      <c r="AH190" s="35"/>
      <c r="AJ190" s="3"/>
      <c r="AK190" s="3"/>
      <c r="AL190" s="3"/>
      <c r="BC190" s="16" t="s">
        <v>728</v>
      </c>
      <c r="BH190" s="16" t="s">
        <v>728</v>
      </c>
      <c r="BN190" s="47" t="s">
        <v>470</v>
      </c>
      <c r="BT190" s="16" t="s">
        <v>121</v>
      </c>
    </row>
    <row r="191" spans="1:72" ht="13">
      <c r="A191" s="35"/>
      <c r="C191" s="59"/>
      <c r="D191" s="35" t="s">
        <v>92</v>
      </c>
      <c r="E191" s="35"/>
      <c r="F191" s="35"/>
      <c r="G191" s="35"/>
      <c r="H191" s="35"/>
      <c r="I191" s="35"/>
      <c r="J191" s="35"/>
      <c r="K191" s="35"/>
      <c r="L191" s="35"/>
      <c r="M191" s="35"/>
      <c r="N191" s="2009" t="s">
        <v>2382</v>
      </c>
      <c r="O191" s="2009"/>
      <c r="P191" s="2009"/>
      <c r="Q191" s="2009"/>
      <c r="R191" s="2009"/>
      <c r="S191" s="2009"/>
      <c r="T191" s="2009"/>
      <c r="U191" s="2009"/>
      <c r="V191" s="2009"/>
      <c r="W191" s="2009"/>
      <c r="X191" s="2009"/>
      <c r="Y191" s="2009"/>
      <c r="Z191" s="2009"/>
      <c r="AA191" s="2009"/>
      <c r="AB191" s="2009"/>
      <c r="AC191" s="2009"/>
      <c r="AD191" s="2009"/>
      <c r="AE191" s="2009"/>
      <c r="AF191" s="35"/>
      <c r="AH191" s="35"/>
      <c r="AJ191" s="3"/>
      <c r="AK191" s="3"/>
      <c r="AL191" s="3"/>
      <c r="BC191" s="16" t="s">
        <v>1582</v>
      </c>
      <c r="BH191" s="16" t="s">
        <v>1582</v>
      </c>
      <c r="BN191" s="47" t="s">
        <v>641</v>
      </c>
      <c r="BT191" s="16" t="s">
        <v>122</v>
      </c>
    </row>
    <row r="192" spans="1:72" ht="13">
      <c r="A192" s="35"/>
      <c r="C192" s="59"/>
      <c r="D192" s="35"/>
      <c r="E192" s="35"/>
      <c r="F192" s="35"/>
      <c r="G192" s="35"/>
      <c r="H192" s="35"/>
      <c r="I192" s="35"/>
      <c r="J192" s="35"/>
      <c r="K192" s="35"/>
      <c r="L192" s="35"/>
      <c r="M192" s="316"/>
      <c r="N192" s="2010"/>
      <c r="O192" s="2010"/>
      <c r="P192" s="2010"/>
      <c r="Q192" s="2010"/>
      <c r="R192" s="2010"/>
      <c r="S192" s="2010"/>
      <c r="T192" s="2010"/>
      <c r="U192" s="2010"/>
      <c r="V192" s="2010"/>
      <c r="W192" s="2010"/>
      <c r="X192" s="2010"/>
      <c r="Y192" s="2010"/>
      <c r="Z192" s="2010"/>
      <c r="AA192" s="2010"/>
      <c r="AB192" s="2010"/>
      <c r="AC192" s="2010"/>
      <c r="AD192" s="2010"/>
      <c r="AE192" s="2010"/>
      <c r="AF192" s="35"/>
      <c r="AH192" s="35"/>
      <c r="AJ192" s="3"/>
      <c r="AK192" s="3"/>
      <c r="AL192" s="3"/>
      <c r="BC192" s="16" t="s">
        <v>729</v>
      </c>
      <c r="BH192" s="8" t="s">
        <v>1589</v>
      </c>
      <c r="BN192" s="47" t="s">
        <v>642</v>
      </c>
      <c r="BT192" s="16" t="s">
        <v>123</v>
      </c>
    </row>
    <row r="193" spans="1:73" ht="13">
      <c r="A193" s="35"/>
      <c r="C193" s="59"/>
      <c r="D193" s="3" t="s">
        <v>485</v>
      </c>
      <c r="E193" s="3"/>
      <c r="F193" s="3"/>
      <c r="G193" s="3"/>
      <c r="H193" s="3"/>
      <c r="I193" s="3"/>
      <c r="J193" s="3"/>
      <c r="K193" s="3"/>
      <c r="L193" s="3"/>
      <c r="M193" s="3"/>
      <c r="N193" s="35"/>
      <c r="O193" s="35"/>
      <c r="P193" s="35"/>
      <c r="Q193" s="35"/>
      <c r="R193" s="35"/>
      <c r="T193" s="1699" t="s">
        <v>531</v>
      </c>
      <c r="U193" s="1699"/>
      <c r="W193" s="72" t="s">
        <v>2153</v>
      </c>
      <c r="AA193" s="1878"/>
      <c r="AB193" s="1878"/>
      <c r="AC193" s="1878"/>
      <c r="AJ193" s="3"/>
      <c r="AK193" s="3"/>
      <c r="AL193" s="3"/>
      <c r="BC193" s="16" t="s">
        <v>623</v>
      </c>
      <c r="BH193" s="8" t="s">
        <v>1590</v>
      </c>
      <c r="BN193" s="47" t="s">
        <v>643</v>
      </c>
      <c r="BT193" s="16" t="s">
        <v>124</v>
      </c>
    </row>
    <row r="194" spans="1:73" ht="13">
      <c r="A194" s="35"/>
      <c r="C194" s="59"/>
      <c r="D194" s="3" t="s">
        <v>130</v>
      </c>
      <c r="E194" s="3"/>
      <c r="F194" s="3"/>
      <c r="G194" s="3"/>
      <c r="H194" s="3"/>
      <c r="I194" s="3"/>
      <c r="J194" s="3"/>
      <c r="K194" s="3"/>
      <c r="L194" s="3"/>
      <c r="M194" s="3"/>
      <c r="N194" s="35"/>
      <c r="O194" s="35"/>
      <c r="P194" s="35"/>
      <c r="Q194" s="35"/>
      <c r="R194" s="35"/>
      <c r="T194" s="1723" t="s">
        <v>119</v>
      </c>
      <c r="U194" s="1723"/>
      <c r="W194" s="35" t="s">
        <v>68</v>
      </c>
      <c r="X194" s="35"/>
      <c r="Y194" s="35"/>
      <c r="Z194" s="35"/>
      <c r="AA194" s="35"/>
      <c r="AB194" s="35"/>
      <c r="AC194" s="35"/>
      <c r="AD194" s="35"/>
      <c r="AE194" s="35"/>
      <c r="AF194" s="35"/>
      <c r="AG194" s="35"/>
      <c r="AH194" s="35"/>
      <c r="AI194" s="1699" t="s">
        <v>531</v>
      </c>
      <c r="AJ194" s="1699"/>
      <c r="AK194" s="3"/>
      <c r="AL194" s="3"/>
      <c r="AX194" s="8" t="s">
        <v>136</v>
      </c>
      <c r="BC194" s="16" t="s">
        <v>680</v>
      </c>
      <c r="BN194" s="47" t="s">
        <v>824</v>
      </c>
      <c r="BT194" s="16" t="s">
        <v>125</v>
      </c>
    </row>
    <row r="195" spans="1:73" ht="13">
      <c r="A195" s="35"/>
      <c r="C195" s="59"/>
      <c r="D195" s="1104" t="s">
        <v>1956</v>
      </c>
      <c r="E195" s="3"/>
      <c r="F195" s="3"/>
      <c r="G195" s="3"/>
      <c r="H195" s="3"/>
      <c r="I195" s="3"/>
      <c r="J195" s="3"/>
      <c r="K195" s="3"/>
      <c r="L195" s="3"/>
      <c r="M195" s="3"/>
      <c r="N195" s="35"/>
      <c r="O195" s="35"/>
      <c r="P195" s="35"/>
      <c r="Q195" s="35"/>
      <c r="R195" s="35"/>
      <c r="T195" s="1723" t="s">
        <v>531</v>
      </c>
      <c r="U195" s="1723"/>
      <c r="X195" s="1359" t="s">
        <v>2175</v>
      </c>
      <c r="AJ195" s="3"/>
      <c r="AK195" s="3"/>
      <c r="AL195" s="3"/>
      <c r="AX195" s="8" t="s">
        <v>1274</v>
      </c>
      <c r="BN195" s="47" t="s">
        <v>825</v>
      </c>
      <c r="BT195" s="16" t="s">
        <v>126</v>
      </c>
    </row>
    <row r="196" spans="1:73" ht="13">
      <c r="A196" s="35"/>
      <c r="C196" s="59"/>
      <c r="D196" s="74" t="s">
        <v>1280</v>
      </c>
      <c r="E196" s="35"/>
      <c r="F196" s="35"/>
      <c r="G196" s="35"/>
      <c r="H196" s="35"/>
      <c r="I196" s="35"/>
      <c r="J196" s="35"/>
      <c r="K196" s="35"/>
      <c r="L196" s="35"/>
      <c r="M196" s="35"/>
      <c r="N196" s="35"/>
      <c r="O196" s="35"/>
      <c r="P196" s="35"/>
      <c r="Q196" s="35"/>
      <c r="R196" s="35"/>
      <c r="T196" s="1723" t="s">
        <v>531</v>
      </c>
      <c r="U196" s="1723"/>
      <c r="W196" s="3"/>
      <c r="X196" s="3"/>
      <c r="Y196" s="3"/>
      <c r="Z196" s="3"/>
      <c r="AA196" s="3"/>
      <c r="AB196" s="3"/>
      <c r="AC196" s="3"/>
      <c r="AD196" s="3"/>
      <c r="AE196" s="3"/>
      <c r="AF196" s="3"/>
      <c r="AG196" s="3"/>
      <c r="AH196" s="3"/>
      <c r="AI196" s="3"/>
      <c r="AJ196" s="3"/>
      <c r="AK196" s="1877"/>
      <c r="AL196" s="1877"/>
      <c r="AX196" s="8" t="s">
        <v>1275</v>
      </c>
      <c r="BN196" s="47" t="s">
        <v>826</v>
      </c>
      <c r="BT196" s="16" t="s">
        <v>127</v>
      </c>
    </row>
    <row r="197" spans="1:73" ht="13">
      <c r="A197" s="35"/>
      <c r="C197" s="59"/>
      <c r="D197" s="72" t="s">
        <v>2154</v>
      </c>
      <c r="T197" s="1699" t="s">
        <v>531</v>
      </c>
      <c r="U197" s="1699"/>
      <c r="AJ197" s="3"/>
      <c r="AK197" s="3"/>
      <c r="AL197" s="3"/>
      <c r="AX197" s="8" t="s">
        <v>1276</v>
      </c>
      <c r="BC197" s="16" t="s">
        <v>86</v>
      </c>
      <c r="BN197" s="47" t="s">
        <v>827</v>
      </c>
      <c r="BT197" s="16" t="s">
        <v>128</v>
      </c>
    </row>
    <row r="198" spans="1:73" ht="13">
      <c r="A198" s="35"/>
      <c r="C198" s="59"/>
      <c r="D198" s="1104" t="s">
        <v>2184</v>
      </c>
      <c r="W198" s="1873" t="s">
        <v>531</v>
      </c>
      <c r="X198" s="1699"/>
      <c r="AG198" s="35"/>
      <c r="AH198" s="3"/>
      <c r="AI198" s="3"/>
      <c r="AJ198" s="3"/>
      <c r="AK198" s="3"/>
      <c r="AL198" s="3"/>
      <c r="AX198" s="8" t="s">
        <v>1277</v>
      </c>
      <c r="BC198" s="645" t="s">
        <v>1221</v>
      </c>
      <c r="BN198" s="47" t="s">
        <v>828</v>
      </c>
      <c r="BT198" s="16" t="s">
        <v>884</v>
      </c>
    </row>
    <row r="199" spans="1:73" ht="13">
      <c r="A199" s="35"/>
      <c r="C199" s="59"/>
      <c r="D199" s="1104" t="s">
        <v>2329</v>
      </c>
      <c r="L199" s="1505"/>
      <c r="M199" s="1505"/>
      <c r="N199" s="1505"/>
      <c r="O199" s="1505"/>
      <c r="P199" s="1505"/>
      <c r="Q199" s="1505"/>
      <c r="R199" s="1876" t="s">
        <v>2325</v>
      </c>
      <c r="S199" s="1876"/>
      <c r="T199" s="1876"/>
      <c r="U199" s="1876"/>
      <c r="V199" s="1876"/>
      <c r="W199" s="1876"/>
      <c r="X199" s="1876"/>
      <c r="Y199" s="1876"/>
      <c r="Z199" s="1876"/>
      <c r="AA199" s="1876"/>
      <c r="AB199" s="1876"/>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
      <c r="A200" s="35"/>
      <c r="C200" s="59"/>
      <c r="D200" s="3" t="s">
        <v>619</v>
      </c>
      <c r="AB200" s="35"/>
      <c r="AC200" s="35"/>
      <c r="AE200" s="35"/>
      <c r="AF200" s="35"/>
      <c r="AG200" s="35"/>
      <c r="AH200" s="390"/>
      <c r="AI200" s="390"/>
      <c r="AJ200" s="3"/>
      <c r="AK200" s="3"/>
      <c r="AL200" s="3"/>
      <c r="AX200" s="72" t="s">
        <v>2366</v>
      </c>
      <c r="BC200" s="1081" t="s">
        <v>2367</v>
      </c>
      <c r="BN200" s="1539" t="s">
        <v>723</v>
      </c>
      <c r="BO200" s="65"/>
      <c r="BP200" s="68"/>
      <c r="BQ200" s="68"/>
      <c r="BR200" s="68"/>
      <c r="BS200" s="68"/>
      <c r="BT200" s="68" t="s">
        <v>886</v>
      </c>
    </row>
    <row r="201" spans="1:73" ht="12.75" customHeight="1">
      <c r="A201" s="35"/>
      <c r="C201" s="59"/>
      <c r="G201" s="1504"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3">
      <c r="A203" s="35"/>
      <c r="C203" s="35"/>
      <c r="D203" s="1875" t="str">
        <f>IF(AND(M25&gt;0,M27&gt;0),"Federal and State","Federal Only")</f>
        <v>Federal Only</v>
      </c>
      <c r="E203" s="1875"/>
      <c r="F203" s="1875"/>
      <c r="G203" s="1875"/>
      <c r="H203" s="1875"/>
      <c r="I203" s="1875"/>
      <c r="J203" s="1875"/>
      <c r="K203" s="1875"/>
      <c r="L203" s="1875"/>
      <c r="M203" s="1875"/>
      <c r="P203" s="2013">
        <f>M25</f>
        <v>2022980</v>
      </c>
      <c r="Q203" s="2013"/>
      <c r="R203" s="2013"/>
      <c r="S203" s="2013"/>
      <c r="T203" s="2013"/>
      <c r="U203" s="2013"/>
      <c r="V203" s="35"/>
      <c r="W203" s="2013">
        <f>M27</f>
        <v>0</v>
      </c>
      <c r="X203" s="2013"/>
      <c r="Y203" s="2013"/>
      <c r="Z203" s="2013"/>
      <c r="AA203" s="2013"/>
      <c r="AB203" s="2013"/>
      <c r="AD203" s="35"/>
      <c r="AE203" s="35"/>
      <c r="AF203" s="35"/>
      <c r="AG203" s="35"/>
      <c r="AH203" s="35"/>
      <c r="AI203" s="35"/>
      <c r="AJ203" s="3"/>
      <c r="AK203" s="3"/>
      <c r="AL203" s="3"/>
      <c r="AV203" s="16" t="s">
        <v>136</v>
      </c>
      <c r="AX203" s="8" t="s">
        <v>729</v>
      </c>
      <c r="BC203" s="3" t="s">
        <v>1600</v>
      </c>
      <c r="BN203" s="47" t="s">
        <v>726</v>
      </c>
      <c r="BT203" s="69" t="s">
        <v>889</v>
      </c>
      <c r="BU203" s="65"/>
    </row>
    <row r="204" spans="1:73" ht="13">
      <c r="A204" s="35"/>
      <c r="C204" s="58"/>
      <c r="E204" s="35"/>
      <c r="F204" s="35"/>
      <c r="G204" s="35"/>
      <c r="P204" s="2000" t="s">
        <v>192</v>
      </c>
      <c r="Q204" s="2000"/>
      <c r="R204" s="2000"/>
      <c r="S204" s="2000"/>
      <c r="T204" s="2000"/>
      <c r="U204" s="2000"/>
      <c r="V204" s="60"/>
      <c r="W204" s="2000" t="s">
        <v>193</v>
      </c>
      <c r="X204" s="2000"/>
      <c r="Y204" s="2000"/>
      <c r="Z204" s="2000"/>
      <c r="AA204" s="2000"/>
      <c r="AB204" s="2000"/>
      <c r="AD204" s="35"/>
      <c r="AE204" s="35"/>
      <c r="AF204" s="35"/>
      <c r="AG204" s="35"/>
      <c r="AH204" s="35"/>
      <c r="AI204" s="35"/>
      <c r="AJ204" s="3"/>
      <c r="AK204" s="3"/>
      <c r="AL204" s="3"/>
      <c r="AV204" s="16" t="s">
        <v>119</v>
      </c>
      <c r="AX204" s="8" t="s">
        <v>1528</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AX206" s="16" t="s">
        <v>86</v>
      </c>
      <c r="BC206" s="273" t="s">
        <v>1603</v>
      </c>
      <c r="BN206" s="47" t="s">
        <v>1001</v>
      </c>
      <c r="BT206" s="69" t="s">
        <v>891</v>
      </c>
    </row>
    <row r="207" spans="1:73" ht="13">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1"/>
      <c r="Y207" s="1532" t="s">
        <v>2356</v>
      </c>
      <c r="Z207" s="1372"/>
      <c r="AA207" s="1372"/>
      <c r="AB207" s="1372"/>
      <c r="AC207" s="1372"/>
      <c r="AD207" s="1372"/>
      <c r="AE207" s="1372"/>
      <c r="AF207" s="1372"/>
      <c r="AG207" s="1372"/>
      <c r="AH207" s="1372"/>
      <c r="AI207" s="1372"/>
      <c r="AJ207" s="1372"/>
      <c r="AK207" s="1373"/>
      <c r="AL207" s="3"/>
      <c r="AX207" s="16" t="s">
        <v>2321</v>
      </c>
      <c r="BC207" s="272" t="s">
        <v>1984</v>
      </c>
      <c r="BN207" s="47" t="s">
        <v>1</v>
      </c>
      <c r="BT207" s="69" t="s">
        <v>892</v>
      </c>
    </row>
    <row r="208" spans="1:73" ht="13">
      <c r="A208" s="35"/>
      <c r="C208" s="58"/>
      <c r="D208" s="1692" t="s">
        <v>2544</v>
      </c>
      <c r="E208" s="1692"/>
      <c r="F208" s="1692"/>
      <c r="G208" s="1692"/>
      <c r="H208" s="1692"/>
      <c r="I208" s="1692"/>
      <c r="J208" s="1692"/>
      <c r="K208" s="1692"/>
      <c r="L208" s="1692"/>
      <c r="M208" s="1692"/>
      <c r="N208" s="35"/>
      <c r="O208" s="35"/>
      <c r="P208" s="35"/>
      <c r="Q208" s="35"/>
      <c r="R208" s="35"/>
      <c r="S208" s="35"/>
      <c r="T208" s="35"/>
      <c r="U208" s="35"/>
      <c r="V208" s="35"/>
      <c r="W208" s="35"/>
      <c r="X208" s="1371"/>
      <c r="Y208" s="1533" t="s">
        <v>2358</v>
      </c>
      <c r="Z208" s="1372"/>
      <c r="AA208" s="1372"/>
      <c r="AB208" s="1372"/>
      <c r="AC208" s="1372"/>
      <c r="AD208" s="1372"/>
      <c r="AE208" s="1372"/>
      <c r="AF208" s="1372"/>
      <c r="AG208" s="1372"/>
      <c r="AH208" s="1372"/>
      <c r="AI208" s="1372"/>
      <c r="AJ208" s="1372"/>
      <c r="AK208" s="1373"/>
      <c r="AL208" s="3"/>
      <c r="AX208" s="16" t="s">
        <v>2322</v>
      </c>
      <c r="BC208" s="3" t="s">
        <v>1601</v>
      </c>
      <c r="BN208" s="47" t="s">
        <v>2</v>
      </c>
      <c r="BT208" s="69" t="s">
        <v>893</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534" t="s">
        <v>2359</v>
      </c>
      <c r="Z209" s="1372"/>
      <c r="AA209" s="1372"/>
      <c r="AB209" s="1372"/>
      <c r="AC209" s="1372"/>
      <c r="AD209" s="1372"/>
      <c r="AE209" s="1372"/>
      <c r="AF209" s="1372"/>
      <c r="AG209" s="1372"/>
      <c r="AH209" s="1372"/>
      <c r="AI209" s="1372"/>
      <c r="AJ209" s="1372"/>
      <c r="AK209" s="1373"/>
      <c r="AL209" s="3"/>
      <c r="AX209" s="16" t="s">
        <v>2323</v>
      </c>
      <c r="BC209" s="272" t="s">
        <v>81</v>
      </c>
      <c r="BN209" s="47" t="s">
        <v>3</v>
      </c>
      <c r="BT209" s="69" t="s">
        <v>894</v>
      </c>
    </row>
    <row r="210" spans="1:72" ht="13">
      <c r="A210" s="63" t="s">
        <v>135</v>
      </c>
      <c r="C210" s="63" t="s">
        <v>1272</v>
      </c>
      <c r="X210" s="1371"/>
      <c r="Y210" s="1535" t="s">
        <v>2357</v>
      </c>
      <c r="Z210" s="1372"/>
      <c r="AA210" s="1372"/>
      <c r="AB210" s="1372"/>
      <c r="AC210" s="1372"/>
      <c r="AD210" s="1372"/>
      <c r="AE210" s="1372"/>
      <c r="AF210" s="1372"/>
      <c r="AG210" s="1372"/>
      <c r="AH210" s="1372"/>
      <c r="AI210" s="1372"/>
      <c r="AJ210" s="1372"/>
      <c r="AK210" s="1373"/>
      <c r="AL210" s="3"/>
      <c r="AX210" s="16" t="s">
        <v>2324</v>
      </c>
      <c r="BN210" s="47" t="s">
        <v>4</v>
      </c>
      <c r="BT210" s="69" t="s">
        <v>895</v>
      </c>
    </row>
    <row r="211" spans="1:72" ht="13">
      <c r="C211" s="58"/>
      <c r="D211" s="1692" t="s">
        <v>1274</v>
      </c>
      <c r="E211" s="1692"/>
      <c r="F211" s="1692"/>
      <c r="G211" s="1692"/>
      <c r="H211" s="1692"/>
      <c r="I211" s="1692"/>
      <c r="J211" s="1692"/>
      <c r="K211" s="1692"/>
      <c r="L211" s="1692"/>
      <c r="M211" s="1692"/>
      <c r="N211" s="1692"/>
      <c r="O211" s="1692"/>
      <c r="P211" s="1692"/>
      <c r="X211" s="1371"/>
      <c r="Y211" s="1699" t="s">
        <v>119</v>
      </c>
      <c r="Z211" s="1699"/>
      <c r="AA211" s="1372"/>
      <c r="AB211" s="1372"/>
      <c r="AC211" s="1372"/>
      <c r="AD211" s="1372"/>
      <c r="AE211" s="1372"/>
      <c r="AF211" s="1372"/>
      <c r="AG211" s="1372"/>
      <c r="AH211" s="1372"/>
      <c r="AI211" s="1372"/>
      <c r="AJ211" s="1372"/>
      <c r="AK211" s="1373"/>
      <c r="AL211" s="3"/>
      <c r="AX211" s="16" t="s">
        <v>2325</v>
      </c>
      <c r="BN211" s="47" t="s">
        <v>21</v>
      </c>
      <c r="BT211" s="69" t="s">
        <v>22</v>
      </c>
    </row>
    <row r="212" spans="1:72" ht="13.5" thickBot="1">
      <c r="X212" s="1376"/>
      <c r="Y212" s="1374"/>
      <c r="Z212" s="1374"/>
      <c r="AA212" s="1374"/>
      <c r="AB212" s="1374"/>
      <c r="AC212" s="1374"/>
      <c r="AD212" s="1374"/>
      <c r="AE212" s="1374"/>
      <c r="AF212" s="1374"/>
      <c r="AG212" s="1374"/>
      <c r="AH212" s="1374"/>
      <c r="AI212" s="1374"/>
      <c r="AJ212" s="1374"/>
      <c r="AK212" s="1375"/>
      <c r="AL212" s="3"/>
      <c r="AX212" s="16" t="s">
        <v>2326</v>
      </c>
      <c r="BC212" s="750" t="s">
        <v>86</v>
      </c>
      <c r="BN212" s="47" t="s">
        <v>5</v>
      </c>
      <c r="BT212" s="69" t="s">
        <v>896</v>
      </c>
    </row>
    <row r="213" spans="1:72" ht="13">
      <c r="A213" s="63" t="s">
        <v>137</v>
      </c>
      <c r="C213" s="63" t="s">
        <v>1583</v>
      </c>
      <c r="AG213" s="3"/>
      <c r="AJ213" s="3"/>
      <c r="AK213" s="3"/>
      <c r="AL213" s="3"/>
      <c r="AX213" s="72" t="s">
        <v>2328</v>
      </c>
      <c r="BC213" s="16" t="s">
        <v>691</v>
      </c>
      <c r="BN213" s="47" t="s">
        <v>6</v>
      </c>
      <c r="BT213" s="69" t="s">
        <v>897</v>
      </c>
    </row>
    <row r="214" spans="1:72" ht="13">
      <c r="C214" s="58"/>
      <c r="D214" s="1692" t="s">
        <v>1582</v>
      </c>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G214" s="3"/>
      <c r="AJ214" s="3"/>
      <c r="AK214" s="3"/>
      <c r="AL214" s="3"/>
      <c r="BC214" s="16" t="s">
        <v>695</v>
      </c>
      <c r="BN214" s="47" t="s">
        <v>492</v>
      </c>
      <c r="BT214" s="69" t="s">
        <v>898</v>
      </c>
    </row>
    <row r="215" spans="1:72" ht="12.5">
      <c r="D215" s="64"/>
      <c r="E215" s="8" t="s">
        <v>1599</v>
      </c>
      <c r="AE215" s="2011">
        <v>0</v>
      </c>
      <c r="AF215" s="2011"/>
      <c r="AG215" s="3"/>
      <c r="AJ215" s="3"/>
      <c r="AK215" s="3"/>
      <c r="AL215" s="3"/>
      <c r="BC215" s="16" t="s">
        <v>692</v>
      </c>
    </row>
    <row r="216" spans="1:72" ht="12.75" customHeight="1">
      <c r="D216" s="64"/>
      <c r="E216" s="8" t="s">
        <v>1596</v>
      </c>
      <c r="AG216" s="3"/>
      <c r="AJ216" s="3"/>
      <c r="AK216" s="3"/>
      <c r="AL216" s="3"/>
      <c r="BC216" s="16" t="s">
        <v>811</v>
      </c>
    </row>
    <row r="217" spans="1:72" ht="12.5">
      <c r="E217" s="2018" t="s">
        <v>136</v>
      </c>
      <c r="F217" s="2010"/>
      <c r="G217" s="2010"/>
      <c r="H217" s="2010"/>
      <c r="I217" s="2010"/>
      <c r="J217" s="2010"/>
      <c r="K217" s="2010"/>
      <c r="L217" s="2010"/>
      <c r="M217" s="2010"/>
      <c r="N217" s="2010"/>
      <c r="O217" s="2010"/>
      <c r="P217" s="2010"/>
      <c r="Q217" s="2010"/>
      <c r="R217" s="2010"/>
      <c r="S217" s="2010"/>
      <c r="T217" s="2010"/>
      <c r="U217" s="2010"/>
      <c r="V217" s="2010"/>
      <c r="W217" s="2010"/>
      <c r="X217" s="2010"/>
      <c r="Y217" s="2010"/>
      <c r="Z217" s="2010"/>
      <c r="AA217" s="83"/>
      <c r="AB217" s="83"/>
      <c r="AC217" s="83"/>
      <c r="AD217" s="83"/>
      <c r="AE217" s="83"/>
      <c r="AF217" s="83"/>
      <c r="AG217" s="3"/>
      <c r="AJ217" s="3"/>
      <c r="AK217" s="3"/>
      <c r="AL217" s="3"/>
      <c r="BC217" s="16" t="s">
        <v>693</v>
      </c>
    </row>
    <row r="218" spans="1:72" ht="12.5">
      <c r="E218" s="72" t="s">
        <v>2247</v>
      </c>
      <c r="AA218" s="83"/>
      <c r="AC218" s="1874">
        <v>62</v>
      </c>
      <c r="AD218" s="1874"/>
      <c r="AE218" s="1874"/>
      <c r="AF218" s="1874"/>
      <c r="AG218" s="1874"/>
      <c r="AH218" s="1874"/>
      <c r="AI218" s="1874"/>
      <c r="AJ218" s="1874"/>
      <c r="AK218" s="1874"/>
      <c r="AL218" s="1874"/>
      <c r="AM218" s="1874"/>
      <c r="BC218" s="16" t="s">
        <v>694</v>
      </c>
      <c r="BI218" s="67"/>
    </row>
    <row r="219" spans="1:72" ht="12.75" customHeight="1">
      <c r="E219" s="72" t="s">
        <v>2248</v>
      </c>
      <c r="AA219" s="83"/>
      <c r="AC219" s="1874"/>
      <c r="AD219" s="1874"/>
      <c r="AE219" s="1874"/>
      <c r="AF219" s="1874"/>
      <c r="AG219" s="1874"/>
      <c r="AH219" s="1874"/>
      <c r="AI219" s="1874"/>
      <c r="AJ219" s="1874"/>
      <c r="AK219" s="1874"/>
      <c r="AL219" s="1874"/>
      <c r="AM219" s="187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7" t="s">
        <v>1984</v>
      </c>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c r="AB223" s="1697"/>
      <c r="AC223" s="1697"/>
      <c r="AD223" s="1697"/>
      <c r="AE223" s="1697"/>
      <c r="AF223" s="1697"/>
      <c r="AG223" s="1697"/>
      <c r="AH223" s="1697"/>
      <c r="AI223" s="1697"/>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99">
        <v>26</v>
      </c>
      <c r="P225" s="1699"/>
    </row>
    <row r="226" spans="1:59" ht="12.75" customHeight="1">
      <c r="D226" s="35" t="s">
        <v>617</v>
      </c>
      <c r="E226" s="35"/>
      <c r="F226" s="35"/>
      <c r="G226" s="35"/>
      <c r="H226" s="35"/>
      <c r="I226" s="35"/>
      <c r="J226" s="35"/>
      <c r="K226" s="35"/>
      <c r="L226" s="35"/>
      <c r="M226" s="35"/>
      <c r="N226" s="35"/>
      <c r="O226" s="1699">
        <v>37</v>
      </c>
      <c r="P226" s="1699"/>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99">
        <v>19</v>
      </c>
      <c r="P227" s="1699"/>
      <c r="BB227" s="8" t="s">
        <v>703</v>
      </c>
      <c r="BG227" s="646">
        <f>IF(AND(AND($M$251="for profit",$M$259="nonprofit",$M$267="for profit")),2,0)</f>
        <v>0</v>
      </c>
    </row>
    <row r="228" spans="1:59" ht="12.5">
      <c r="D228" s="3" t="s">
        <v>619</v>
      </c>
      <c r="BB228" s="16" t="s">
        <v>703</v>
      </c>
      <c r="BG228" s="646">
        <f>IF(AND(AND($M$251="nonprofit",$M$259="for profit",$M$267="for profit")),2,0)</f>
        <v>0</v>
      </c>
    </row>
    <row r="229" spans="1:59" ht="12.5">
      <c r="D229" s="580" t="s">
        <v>1307</v>
      </c>
      <c r="U229" s="580" t="s">
        <v>1308</v>
      </c>
      <c r="BB229" s="16" t="s">
        <v>703</v>
      </c>
      <c r="BG229" s="646">
        <f>IF(AND(AND($M$251="for profit",$M$259="nonprofit",$M$267="(select one)")),2,0)</f>
        <v>0</v>
      </c>
    </row>
    <row r="230" spans="1:59" ht="12.5">
      <c r="BB230" s="16" t="s">
        <v>703</v>
      </c>
      <c r="BG230" s="647">
        <f>IF(AND(AND($M$251="nonprofit",$M$259="for profit",$M$267="(select one)")),2,0)</f>
        <v>0</v>
      </c>
    </row>
    <row r="231" spans="1:59" ht="12.5">
      <c r="A231" s="1703" t="s">
        <v>544</v>
      </c>
      <c r="B231" s="1703"/>
      <c r="C231" s="1703"/>
      <c r="D231" s="1703"/>
      <c r="E231" s="1703"/>
      <c r="F231" s="1703"/>
      <c r="G231" s="1703"/>
      <c r="H231" s="1703"/>
      <c r="I231" s="1703"/>
      <c r="J231" s="1703"/>
      <c r="K231" s="1703"/>
      <c r="L231" s="1703"/>
      <c r="M231" s="1703"/>
      <c r="N231" s="1703"/>
      <c r="O231" s="1703"/>
      <c r="P231" s="1703"/>
      <c r="Q231" s="1703"/>
      <c r="R231" s="1703"/>
      <c r="S231" s="1703"/>
      <c r="T231" s="1703"/>
      <c r="U231" s="1703"/>
      <c r="V231" s="1703"/>
      <c r="W231" s="1703"/>
      <c r="X231" s="1703"/>
      <c r="Y231" s="1703"/>
      <c r="Z231" s="1703"/>
      <c r="AA231" s="1703"/>
      <c r="AB231" s="1703"/>
      <c r="AC231" s="1703"/>
      <c r="AD231" s="1703"/>
      <c r="AE231" s="1703"/>
      <c r="AF231" s="1703"/>
      <c r="AG231" s="1703"/>
      <c r="AH231" s="1703"/>
      <c r="AI231" s="1703"/>
      <c r="AJ231" s="1703"/>
      <c r="AK231" s="1703"/>
      <c r="AL231" s="1703"/>
    </row>
    <row r="232" spans="1:59" ht="13.5" thickBot="1">
      <c r="A232" s="1704"/>
      <c r="B232" s="1704"/>
      <c r="C232" s="1704"/>
      <c r="D232" s="1704"/>
      <c r="E232" s="1704"/>
      <c r="F232" s="1704"/>
      <c r="G232" s="1704"/>
      <c r="H232" s="1704"/>
      <c r="I232" s="1704"/>
      <c r="J232" s="1704"/>
      <c r="K232" s="1704"/>
      <c r="L232" s="1704"/>
      <c r="M232" s="1704"/>
      <c r="N232" s="1704"/>
      <c r="O232" s="1704"/>
      <c r="P232" s="1704"/>
      <c r="Q232" s="1704"/>
      <c r="R232" s="1704"/>
      <c r="S232" s="1704"/>
      <c r="T232" s="1704"/>
      <c r="U232" s="1704"/>
      <c r="V232" s="1704"/>
      <c r="W232" s="1704"/>
      <c r="X232" s="1704"/>
      <c r="Y232" s="1704"/>
      <c r="Z232" s="1704"/>
      <c r="AA232" s="1704"/>
      <c r="AB232" s="1704"/>
      <c r="AC232" s="1704"/>
      <c r="AD232" s="1704"/>
      <c r="AE232" s="1704"/>
      <c r="AF232" s="1704"/>
      <c r="AG232" s="1704"/>
      <c r="AH232" s="1704"/>
      <c r="AI232" s="1704"/>
      <c r="AJ232" s="1704"/>
      <c r="AK232" s="1704"/>
      <c r="AL232" s="1704"/>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
      <c r="D235" s="71" t="s">
        <v>415</v>
      </c>
      <c r="E235" s="71"/>
      <c r="F235" s="71"/>
      <c r="G235" s="71"/>
      <c r="H235" s="71"/>
      <c r="I235" s="71"/>
      <c r="J235" s="71"/>
      <c r="K235" s="8"/>
      <c r="M235" s="1999" t="str">
        <f>H15</f>
        <v>Westview Village II LP</v>
      </c>
      <c r="N235" s="1999"/>
      <c r="O235" s="1999"/>
      <c r="P235" s="1999"/>
      <c r="Q235" s="1999"/>
      <c r="R235" s="1999"/>
      <c r="S235" s="1999"/>
      <c r="T235" s="1999"/>
      <c r="U235" s="1999"/>
      <c r="V235" s="1999"/>
      <c r="W235" s="1999"/>
      <c r="X235" s="1999"/>
      <c r="Y235" s="1999"/>
      <c r="Z235" s="1999"/>
      <c r="AA235" s="1999"/>
      <c r="AB235" s="1999"/>
      <c r="AC235" s="1999"/>
      <c r="AD235" s="1999"/>
      <c r="AE235" s="1999"/>
      <c r="AF235" s="1999"/>
      <c r="AG235" s="1999"/>
      <c r="AH235" s="1999"/>
      <c r="AI235" s="1999"/>
      <c r="AJ235" s="1999"/>
      <c r="AK235" s="1999"/>
      <c r="BB235" s="62"/>
      <c r="BC235" s="35"/>
      <c r="BD235" s="35"/>
      <c r="BE235" s="35"/>
      <c r="BF235" s="35"/>
      <c r="BG235" s="71"/>
    </row>
    <row r="236" spans="1:59" ht="12.75" customHeight="1">
      <c r="D236" s="71" t="s">
        <v>416</v>
      </c>
      <c r="E236" s="71"/>
      <c r="F236" s="71"/>
      <c r="G236" s="71"/>
      <c r="H236" s="71"/>
      <c r="I236" s="71"/>
      <c r="J236" s="71"/>
      <c r="K236" s="8"/>
      <c r="M236" s="1697" t="s">
        <v>2383</v>
      </c>
      <c r="N236" s="1692"/>
      <c r="O236" s="1692"/>
      <c r="P236" s="1692"/>
      <c r="Q236" s="1692"/>
      <c r="R236" s="1692"/>
      <c r="S236" s="1692"/>
      <c r="T236" s="1692"/>
      <c r="U236" s="1692"/>
      <c r="V236" s="1692"/>
      <c r="W236" s="1692"/>
      <c r="X236" s="1692"/>
      <c r="Y236" s="1692"/>
      <c r="Z236" s="1692"/>
      <c r="AA236" s="1692"/>
      <c r="AB236" s="1692"/>
      <c r="AC236" s="1692"/>
      <c r="AD236" s="1692"/>
      <c r="AE236" s="1692"/>
      <c r="AM236" s="72"/>
      <c r="AN236" s="72"/>
      <c r="BB236" s="16" t="s">
        <v>702</v>
      </c>
      <c r="BG236" s="646">
        <f>IF(AND(AND($M$251="nonprofit",$M$259="nonprofit",$M$267="nonprofit")),1,0)</f>
        <v>0</v>
      </c>
    </row>
    <row r="237" spans="1:59" ht="12.5">
      <c r="D237" s="71" t="s">
        <v>479</v>
      </c>
      <c r="E237" s="71"/>
      <c r="M237" s="1697" t="s">
        <v>896</v>
      </c>
      <c r="N237" s="1692"/>
      <c r="O237" s="1692"/>
      <c r="P237" s="1692"/>
      <c r="Q237" s="1692"/>
      <c r="R237" s="1692"/>
      <c r="S237" s="1692"/>
      <c r="T237" s="1692"/>
      <c r="V237" s="73" t="s">
        <v>417</v>
      </c>
      <c r="W237" s="1695" t="s">
        <v>2384</v>
      </c>
      <c r="X237" s="1700"/>
      <c r="Y237" s="71" t="s">
        <v>482</v>
      </c>
      <c r="AC237" s="1692">
        <v>93001</v>
      </c>
      <c r="AD237" s="1692"/>
      <c r="AE237" s="1692"/>
      <c r="AN237" s="72"/>
      <c r="BB237" s="16" t="s">
        <v>702</v>
      </c>
      <c r="BG237" s="646">
        <f>IF(AND(AND($M$251="nonprofit",$M$259="nonprofit",$M$267="(select one)")),1,0)</f>
        <v>0</v>
      </c>
    </row>
    <row r="238" spans="1:59" ht="12.5">
      <c r="D238" s="74" t="s">
        <v>418</v>
      </c>
      <c r="E238" s="8"/>
      <c r="F238" s="8"/>
      <c r="G238" s="8"/>
      <c r="H238" s="8"/>
      <c r="I238" s="8"/>
      <c r="J238" s="8"/>
      <c r="K238" s="39"/>
      <c r="M238" s="1697" t="s">
        <v>2372</v>
      </c>
      <c r="N238" s="1692"/>
      <c r="O238" s="1692"/>
      <c r="P238" s="1692"/>
      <c r="Q238" s="1692"/>
      <c r="R238" s="1692"/>
      <c r="S238" s="1692"/>
      <c r="T238" s="1692"/>
      <c r="U238" s="1692"/>
      <c r="V238" s="1692"/>
      <c r="W238" s="1692"/>
      <c r="X238" s="1692"/>
      <c r="Y238" s="1692"/>
      <c r="Z238" s="1692"/>
      <c r="AA238" s="1692"/>
      <c r="AB238" s="1692"/>
      <c r="AC238" s="1692"/>
      <c r="AD238" s="1692"/>
      <c r="AE238" s="1692"/>
      <c r="AI238" s="8"/>
      <c r="AJ238" s="8"/>
      <c r="AK238" s="8"/>
      <c r="AL238" s="8"/>
      <c r="AN238" s="72"/>
      <c r="BB238" s="16" t="s">
        <v>702</v>
      </c>
      <c r="BG238" s="646">
        <f>IF(AND(AND($M$251="nonprofit",$M$259="(select one)",$M$267="(select one)")),1,0)</f>
        <v>1</v>
      </c>
    </row>
    <row r="239" spans="1:59" ht="12.5">
      <c r="D239" s="74" t="s">
        <v>419</v>
      </c>
      <c r="E239" s="8"/>
      <c r="F239" s="8"/>
      <c r="M239" s="1694" t="s">
        <v>2385</v>
      </c>
      <c r="N239" s="1688"/>
      <c r="O239" s="1688"/>
      <c r="P239" s="1688"/>
      <c r="Q239" s="1688"/>
      <c r="R239" s="1688"/>
      <c r="S239" s="8" t="s">
        <v>899</v>
      </c>
      <c r="T239" s="8"/>
      <c r="U239" s="1700"/>
      <c r="V239" s="1700"/>
      <c r="W239" s="1700"/>
      <c r="X239" s="8" t="s">
        <v>420</v>
      </c>
      <c r="Z239" s="1694" t="s">
        <v>2386</v>
      </c>
      <c r="AA239" s="1688"/>
      <c r="AB239" s="1688"/>
      <c r="AC239" s="1688"/>
      <c r="AD239" s="1688"/>
      <c r="AE239" s="1688"/>
      <c r="AM239" s="72"/>
      <c r="AN239" s="72"/>
      <c r="BB239" s="16" t="s">
        <v>1113</v>
      </c>
      <c r="BG239" s="646">
        <f>IF(AND(AND($M$251="for profit",$M$259="for profit",$M$267="for profit")),3,0)</f>
        <v>0</v>
      </c>
    </row>
    <row r="240" spans="1:59" ht="12.5">
      <c r="D240" s="74" t="s">
        <v>421</v>
      </c>
      <c r="E240" s="8"/>
      <c r="F240" s="8"/>
      <c r="M240" s="1693" t="s">
        <v>2387</v>
      </c>
      <c r="N240" s="1693"/>
      <c r="O240" s="1693"/>
      <c r="P240" s="1693"/>
      <c r="Q240" s="1693"/>
      <c r="R240" s="1693"/>
      <c r="S240" s="1693"/>
      <c r="T240" s="1693"/>
      <c r="U240" s="1693"/>
      <c r="V240" s="1693"/>
      <c r="W240" s="1693"/>
      <c r="X240" s="1693"/>
      <c r="Y240" s="1693"/>
      <c r="Z240" s="1693"/>
      <c r="AA240" s="1693"/>
      <c r="AB240" s="1693"/>
      <c r="AC240" s="1693"/>
      <c r="AD240" s="1693"/>
      <c r="AE240" s="1693"/>
      <c r="AF240" s="8"/>
      <c r="AG240" s="8"/>
      <c r="AH240" s="8"/>
      <c r="AI240" s="8"/>
      <c r="AJ240" s="8"/>
      <c r="AK240" s="8"/>
      <c r="AL240" s="8"/>
      <c r="AN240" s="72"/>
      <c r="AO240" s="72"/>
      <c r="BB240" s="16" t="s">
        <v>1113</v>
      </c>
      <c r="BG240" s="647">
        <f>IF(AND(AND($M$251="for profit",$M$259="for profit",$M$267="(select one)")),3,0)</f>
        <v>0</v>
      </c>
    </row>
    <row r="241" spans="1:67" ht="13">
      <c r="A241" s="63" t="s">
        <v>8</v>
      </c>
      <c r="C241" s="48" t="s">
        <v>690</v>
      </c>
      <c r="M241" s="1696" t="s">
        <v>693</v>
      </c>
      <c r="N241" s="1696"/>
      <c r="O241" s="1696"/>
      <c r="P241" s="1696"/>
      <c r="Q241" s="1696"/>
      <c r="R241" s="1696"/>
      <c r="S241" s="1696"/>
      <c r="T241" s="1696"/>
      <c r="U241" s="8" t="s">
        <v>1266</v>
      </c>
      <c r="AA241" s="1702"/>
      <c r="AB241" s="1702"/>
      <c r="AC241" s="1702"/>
      <c r="AD241" s="1702"/>
      <c r="AE241" s="1702"/>
      <c r="AF241" s="1702"/>
      <c r="AG241" s="1702"/>
      <c r="AH241" s="1702"/>
      <c r="AI241" s="1702"/>
      <c r="AJ241" s="1702"/>
      <c r="AK241" s="1702"/>
      <c r="AL241" s="72"/>
      <c r="AM241" s="8"/>
      <c r="AN241" s="72"/>
      <c r="AO241" s="72"/>
      <c r="BB241" s="16" t="s">
        <v>1113</v>
      </c>
      <c r="BC241" s="35"/>
      <c r="BD241" s="35"/>
      <c r="BE241" s="35"/>
      <c r="BF241" s="35"/>
      <c r="BG241" s="647">
        <f>IF(AND(AND($M$251="for profit",$M$259="(select one)",$M$267="(select one)")),3,0)</f>
        <v>0</v>
      </c>
    </row>
    <row r="242" spans="1:67" ht="12.5">
      <c r="D242" s="16" t="s">
        <v>696</v>
      </c>
      <c r="M242" s="1698"/>
      <c r="N242" s="1698"/>
      <c r="O242" s="1698"/>
      <c r="P242" s="1698"/>
      <c r="Q242" s="1698"/>
      <c r="R242" s="1698"/>
      <c r="S242" s="1698"/>
      <c r="T242" s="1698"/>
      <c r="U242" s="1698"/>
      <c r="V242" s="1698"/>
      <c r="W242" s="1698"/>
      <c r="X242" s="1698"/>
      <c r="Y242" s="1698"/>
      <c r="Z242" s="1698"/>
      <c r="AA242" s="1698"/>
      <c r="AB242" s="1698"/>
      <c r="AC242" s="1698"/>
      <c r="AD242" s="1698"/>
      <c r="AE242" s="1698"/>
      <c r="AF242" s="8"/>
      <c r="AG242" s="8"/>
      <c r="AH242" s="8"/>
      <c r="AI242" s="8"/>
      <c r="AJ242" s="8"/>
      <c r="AK242" s="72"/>
      <c r="AL242" s="72"/>
    </row>
    <row r="243" spans="1:67" ht="12.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
      <c r="A245" s="39"/>
      <c r="C245" s="147" t="s">
        <v>1640</v>
      </c>
      <c r="D245" s="71" t="s">
        <v>697</v>
      </c>
      <c r="E245" s="71"/>
      <c r="F245" s="71"/>
      <c r="G245" s="71"/>
      <c r="H245" s="71"/>
      <c r="I245" s="71"/>
      <c r="J245" s="71"/>
      <c r="K245" s="71"/>
      <c r="L245" s="8"/>
      <c r="M245" s="1689" t="s">
        <v>2499</v>
      </c>
      <c r="N245" s="1689"/>
      <c r="O245" s="1689"/>
      <c r="P245" s="1689"/>
      <c r="Q245" s="1689"/>
      <c r="R245" s="1689"/>
      <c r="S245" s="1689"/>
      <c r="T245" s="1689"/>
      <c r="U245" s="1689"/>
      <c r="V245" s="1689"/>
      <c r="W245" s="1689"/>
      <c r="X245" s="1689"/>
      <c r="Y245" s="1689"/>
      <c r="Z245" s="1689"/>
      <c r="AA245" s="1689"/>
      <c r="AB245" s="1689"/>
      <c r="AC245" s="1689"/>
      <c r="AD245" s="1689"/>
      <c r="AE245" s="1689"/>
      <c r="AF245" s="1690" t="s">
        <v>2388</v>
      </c>
      <c r="AG245" s="1690"/>
      <c r="AH245" s="1690"/>
      <c r="AI245" s="1690"/>
      <c r="AJ245" s="1690"/>
      <c r="AK245" s="1690"/>
      <c r="AM245" s="8"/>
      <c r="AN245" s="72"/>
      <c r="BB245" s="8" t="s">
        <v>993</v>
      </c>
      <c r="BH245" s="16">
        <v>2</v>
      </c>
      <c r="BI245" s="16" t="s">
        <v>811</v>
      </c>
      <c r="BO245" s="648" t="str">
        <f>VLOOKUP(AT260,BH244:BI246,2,FALSE)</f>
        <v>Nonprofit</v>
      </c>
    </row>
    <row r="246" spans="1:67" ht="12.5">
      <c r="A246" s="39"/>
      <c r="B246" s="8"/>
      <c r="C246" s="8"/>
      <c r="D246" s="71" t="s">
        <v>416</v>
      </c>
      <c r="E246" s="71"/>
      <c r="F246" s="71"/>
      <c r="G246" s="71"/>
      <c r="H246" s="71"/>
      <c r="I246" s="71"/>
      <c r="J246" s="71"/>
      <c r="K246" s="71"/>
      <c r="L246" s="8"/>
      <c r="M246" s="1692" t="str">
        <f>M236</f>
        <v>995 Riverside Street</v>
      </c>
      <c r="N246" s="1692"/>
      <c r="O246" s="1692"/>
      <c r="P246" s="1692"/>
      <c r="Q246" s="1692"/>
      <c r="R246" s="1692"/>
      <c r="S246" s="1692"/>
      <c r="T246" s="1692"/>
      <c r="U246" s="1692"/>
      <c r="V246" s="1692"/>
      <c r="W246" s="1692"/>
      <c r="X246" s="1692"/>
      <c r="Y246" s="1692"/>
      <c r="Z246" s="1692"/>
      <c r="AA246" s="1692"/>
      <c r="AB246" s="1692"/>
      <c r="AC246" s="1692"/>
      <c r="AD246" s="1692"/>
      <c r="AE246" s="1692"/>
      <c r="AL246" s="8"/>
      <c r="AN246" s="72"/>
      <c r="BB246" s="8" t="s">
        <v>503</v>
      </c>
      <c r="BH246" s="16">
        <v>3</v>
      </c>
      <c r="BI246" s="16" t="s">
        <v>701</v>
      </c>
    </row>
    <row r="247" spans="1:67" ht="12.5">
      <c r="A247" s="39"/>
      <c r="B247" s="8"/>
      <c r="C247" s="8"/>
      <c r="D247" s="71" t="s">
        <v>479</v>
      </c>
      <c r="E247" s="71"/>
      <c r="M247" s="1692" t="str">
        <f>M237</f>
        <v>Ventura</v>
      </c>
      <c r="N247" s="1692"/>
      <c r="O247" s="1692"/>
      <c r="P247" s="1692"/>
      <c r="Q247" s="1692"/>
      <c r="R247" s="1692"/>
      <c r="S247" s="1692"/>
      <c r="T247" s="1692"/>
      <c r="V247" s="73" t="s">
        <v>417</v>
      </c>
      <c r="W247" s="1700" t="str">
        <f>W237</f>
        <v>CA</v>
      </c>
      <c r="X247" s="1700"/>
      <c r="Y247" s="71" t="s">
        <v>482</v>
      </c>
      <c r="AC247" s="1692">
        <f>AC237</f>
        <v>93001</v>
      </c>
      <c r="AD247" s="1692"/>
      <c r="AE247" s="1692"/>
      <c r="AN247" s="72"/>
    </row>
    <row r="248" spans="1:67" ht="12.5">
      <c r="A248" s="39"/>
      <c r="B248" s="8"/>
      <c r="C248" s="8"/>
      <c r="D248" s="74" t="s">
        <v>418</v>
      </c>
      <c r="E248" s="8"/>
      <c r="F248" s="8"/>
      <c r="G248" s="8"/>
      <c r="H248" s="8"/>
      <c r="I248" s="8"/>
      <c r="J248" s="8"/>
      <c r="K248" s="8"/>
      <c r="L248" s="39"/>
      <c r="M248" s="1692" t="str">
        <f>M238</f>
        <v>Denise M. Wise</v>
      </c>
      <c r="N248" s="1692"/>
      <c r="O248" s="1692"/>
      <c r="P248" s="1692"/>
      <c r="Q248" s="1692"/>
      <c r="R248" s="1692"/>
      <c r="S248" s="1692"/>
      <c r="T248" s="1692"/>
      <c r="U248" s="1692"/>
      <c r="V248" s="1692"/>
      <c r="W248" s="1692"/>
      <c r="X248" s="1692"/>
      <c r="Y248" s="1692"/>
      <c r="Z248" s="1692"/>
      <c r="AA248" s="1692"/>
      <c r="AB248" s="1692"/>
      <c r="AC248" s="1692"/>
      <c r="AD248" s="1692"/>
      <c r="AE248" s="1692"/>
      <c r="AJ248" s="8"/>
      <c r="AK248" s="8"/>
      <c r="AL248" s="8"/>
      <c r="AN248" s="72"/>
    </row>
    <row r="249" spans="1:67" ht="12.5">
      <c r="A249" s="39"/>
      <c r="B249" s="8"/>
      <c r="C249" s="8"/>
      <c r="D249" s="74" t="s">
        <v>419</v>
      </c>
      <c r="E249" s="8"/>
      <c r="F249" s="8"/>
      <c r="M249" s="1688" t="str">
        <f>M239</f>
        <v>805-648-5008</v>
      </c>
      <c r="N249" s="1688"/>
      <c r="O249" s="1688"/>
      <c r="P249" s="1688"/>
      <c r="Q249" s="1688"/>
      <c r="R249" s="1688"/>
      <c r="S249" s="8" t="s">
        <v>899</v>
      </c>
      <c r="T249" s="8"/>
      <c r="U249" s="1700"/>
      <c r="V249" s="1700"/>
      <c r="W249" s="1700"/>
      <c r="X249" s="8" t="s">
        <v>420</v>
      </c>
      <c r="Z249" s="1688" t="str">
        <f>Z239</f>
        <v>805-686-5811</v>
      </c>
      <c r="AA249" s="1688"/>
      <c r="AB249" s="1688"/>
      <c r="AC249" s="1688"/>
      <c r="AD249" s="1688"/>
      <c r="AE249" s="1688"/>
      <c r="AM249" s="8"/>
      <c r="AN249" s="72"/>
    </row>
    <row r="250" spans="1:67" ht="12.5">
      <c r="A250" s="39"/>
      <c r="B250" s="8"/>
      <c r="C250" s="8"/>
      <c r="D250" s="74" t="s">
        <v>421</v>
      </c>
      <c r="E250" s="8"/>
      <c r="F250" s="8"/>
      <c r="M250" s="1693" t="str">
        <f>M240</f>
        <v>dwise@hacityventura.org</v>
      </c>
      <c r="N250" s="1693"/>
      <c r="O250" s="1693"/>
      <c r="P250" s="1693"/>
      <c r="Q250" s="1693"/>
      <c r="R250" s="1693"/>
      <c r="S250" s="1693"/>
      <c r="T250" s="1693"/>
      <c r="U250" s="1693"/>
      <c r="V250" s="1693"/>
      <c r="W250" s="1693"/>
      <c r="X250" s="1693"/>
      <c r="Y250" s="1693"/>
      <c r="Z250" s="1693"/>
      <c r="AA250" s="1693"/>
      <c r="AB250" s="1693"/>
      <c r="AC250" s="1693"/>
      <c r="AD250" s="1693"/>
      <c r="AE250" s="1693"/>
      <c r="AG250" s="8"/>
      <c r="AH250" s="8"/>
      <c r="AI250" s="8"/>
      <c r="AJ250" s="8"/>
      <c r="AK250" s="8"/>
      <c r="AL250" s="8"/>
    </row>
    <row r="251" spans="1:67" ht="13">
      <c r="A251" s="33"/>
      <c r="B251" s="8"/>
      <c r="C251" s="147"/>
      <c r="D251" s="74" t="s">
        <v>700</v>
      </c>
      <c r="E251" s="8"/>
      <c r="F251" s="8"/>
      <c r="G251" s="8"/>
      <c r="H251" s="8"/>
      <c r="I251" s="8"/>
      <c r="J251" s="8"/>
      <c r="K251" s="8"/>
      <c r="L251" s="8"/>
      <c r="M251" s="1696" t="s">
        <v>699</v>
      </c>
      <c r="N251" s="1696"/>
      <c r="O251" s="1696"/>
      <c r="P251" s="1696"/>
      <c r="Q251" s="1696"/>
      <c r="R251" s="1696"/>
      <c r="S251" s="1696"/>
      <c r="T251" s="1696"/>
      <c r="U251" s="8" t="s">
        <v>1266</v>
      </c>
      <c r="AA251" s="1702"/>
      <c r="AB251" s="1702"/>
      <c r="AC251" s="1702"/>
      <c r="AD251" s="1702"/>
      <c r="AE251" s="1702"/>
      <c r="AF251" s="1702"/>
      <c r="AG251" s="1702"/>
      <c r="AH251" s="1702"/>
      <c r="AI251" s="1702"/>
      <c r="AJ251" s="1702"/>
      <c r="AK251" s="1702"/>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1641</v>
      </c>
      <c r="D253" s="71" t="s">
        <v>1342</v>
      </c>
      <c r="E253" s="71"/>
      <c r="F253" s="71"/>
      <c r="G253" s="71"/>
      <c r="H253" s="71"/>
      <c r="I253" s="71"/>
      <c r="J253" s="71"/>
      <c r="K253" s="71"/>
      <c r="L253" s="8"/>
      <c r="M253" s="1689" t="s">
        <v>136</v>
      </c>
      <c r="N253" s="1689"/>
      <c r="O253" s="1689"/>
      <c r="P253" s="1689"/>
      <c r="Q253" s="1689"/>
      <c r="R253" s="1689"/>
      <c r="S253" s="1689"/>
      <c r="T253" s="1689"/>
      <c r="U253" s="1689"/>
      <c r="V253" s="1689"/>
      <c r="W253" s="1689"/>
      <c r="X253" s="1689"/>
      <c r="Y253" s="1689"/>
      <c r="Z253" s="1689"/>
      <c r="AA253" s="1689"/>
      <c r="AB253" s="1689"/>
      <c r="AC253" s="1689"/>
      <c r="AD253" s="1689"/>
      <c r="AE253" s="1689"/>
      <c r="AF253" s="1690" t="s">
        <v>86</v>
      </c>
      <c r="AG253" s="1690"/>
      <c r="AH253" s="1690"/>
      <c r="AI253" s="1690"/>
      <c r="AJ253" s="1690"/>
      <c r="AK253" s="1690"/>
      <c r="AM253" s="8"/>
    </row>
    <row r="254" spans="1:67" ht="12.5">
      <c r="A254" s="39"/>
      <c r="B254" s="8"/>
      <c r="C254" s="8"/>
      <c r="D254" s="71" t="s">
        <v>416</v>
      </c>
      <c r="E254" s="71"/>
      <c r="F254" s="71"/>
      <c r="G254" s="71"/>
      <c r="H254" s="71"/>
      <c r="I254" s="71"/>
      <c r="J254" s="71"/>
      <c r="K254" s="71"/>
      <c r="L254" s="8"/>
      <c r="M254" s="1692"/>
      <c r="N254" s="1692"/>
      <c r="O254" s="1692"/>
      <c r="P254" s="1692"/>
      <c r="Q254" s="1692"/>
      <c r="R254" s="1692"/>
      <c r="S254" s="1692"/>
      <c r="T254" s="1692"/>
      <c r="U254" s="1692"/>
      <c r="V254" s="1692"/>
      <c r="W254" s="1692"/>
      <c r="X254" s="1692"/>
      <c r="Y254" s="1692"/>
      <c r="Z254" s="1692"/>
      <c r="AA254" s="1692"/>
      <c r="AB254" s="1692"/>
      <c r="AC254" s="1692"/>
      <c r="AD254" s="1692"/>
      <c r="AE254" s="1692"/>
      <c r="AL254" s="8"/>
    </row>
    <row r="255" spans="1:67" ht="12.5">
      <c r="A255" s="39"/>
      <c r="B255" s="8"/>
      <c r="C255" s="8"/>
      <c r="D255" s="71" t="s">
        <v>479</v>
      </c>
      <c r="E255" s="71"/>
      <c r="M255" s="1692"/>
      <c r="N255" s="1692"/>
      <c r="O255" s="1692"/>
      <c r="P255" s="1692"/>
      <c r="Q255" s="1692"/>
      <c r="R255" s="1692"/>
      <c r="S255" s="1692"/>
      <c r="T255" s="1692"/>
      <c r="V255" s="73" t="s">
        <v>417</v>
      </c>
      <c r="W255" s="1700"/>
      <c r="X255" s="1700"/>
      <c r="Y255" s="71" t="s">
        <v>482</v>
      </c>
      <c r="AC255" s="1692"/>
      <c r="AD255" s="1692"/>
      <c r="AE255" s="1692"/>
    </row>
    <row r="256" spans="1:67" ht="12.5">
      <c r="A256" s="39"/>
      <c r="B256" s="8"/>
      <c r="C256" s="8"/>
      <c r="D256" s="74" t="s">
        <v>418</v>
      </c>
      <c r="E256" s="8"/>
      <c r="F256" s="8"/>
      <c r="G256" s="8"/>
      <c r="H256" s="8"/>
      <c r="I256" s="8"/>
      <c r="J256" s="8"/>
      <c r="K256" s="8"/>
      <c r="L256" s="39"/>
      <c r="M256" s="1692"/>
      <c r="N256" s="1692"/>
      <c r="O256" s="1692"/>
      <c r="P256" s="1692"/>
      <c r="Q256" s="1692"/>
      <c r="R256" s="1692"/>
      <c r="S256" s="1692"/>
      <c r="T256" s="1692"/>
      <c r="U256" s="1692"/>
      <c r="V256" s="1692"/>
      <c r="W256" s="1692"/>
      <c r="X256" s="1692"/>
      <c r="Y256" s="1692"/>
      <c r="Z256" s="1692"/>
      <c r="AA256" s="1692"/>
      <c r="AB256" s="1692"/>
      <c r="AC256" s="1692"/>
      <c r="AD256" s="1692"/>
      <c r="AE256" s="1692"/>
      <c r="AJ256" s="8"/>
      <c r="AK256" s="8"/>
      <c r="AL256" s="8"/>
    </row>
    <row r="257" spans="1:53" ht="12.5">
      <c r="A257" s="39"/>
      <c r="B257" s="8"/>
      <c r="C257" s="8"/>
      <c r="D257" s="74" t="s">
        <v>419</v>
      </c>
      <c r="E257" s="8"/>
      <c r="F257" s="8"/>
      <c r="M257" s="1688"/>
      <c r="N257" s="1688"/>
      <c r="O257" s="1688"/>
      <c r="P257" s="1688"/>
      <c r="Q257" s="1688"/>
      <c r="R257" s="1688"/>
      <c r="S257" s="8" t="s">
        <v>899</v>
      </c>
      <c r="T257" s="8"/>
      <c r="U257" s="1700"/>
      <c r="V257" s="1700"/>
      <c r="W257" s="1700"/>
      <c r="X257" s="8" t="s">
        <v>420</v>
      </c>
      <c r="Z257" s="1688"/>
      <c r="AA257" s="1688"/>
      <c r="AB257" s="1688"/>
      <c r="AC257" s="1688"/>
      <c r="AD257" s="1688"/>
      <c r="AE257" s="1688"/>
      <c r="BA257" s="75"/>
    </row>
    <row r="258" spans="1:53" ht="12.5">
      <c r="A258" s="39"/>
      <c r="B258" s="8"/>
      <c r="C258" s="8"/>
      <c r="D258" s="74" t="s">
        <v>421</v>
      </c>
      <c r="E258" s="8"/>
      <c r="F258" s="8"/>
      <c r="M258" s="1693"/>
      <c r="N258" s="1693"/>
      <c r="O258" s="1693"/>
      <c r="P258" s="1693"/>
      <c r="Q258" s="1693"/>
      <c r="R258" s="1693"/>
      <c r="S258" s="1693"/>
      <c r="T258" s="1693"/>
      <c r="U258" s="1693"/>
      <c r="V258" s="1693"/>
      <c r="W258" s="1693"/>
      <c r="X258" s="1693"/>
      <c r="Y258" s="1693"/>
      <c r="Z258" s="1693"/>
      <c r="AA258" s="1693"/>
      <c r="AB258" s="1693"/>
      <c r="AC258" s="1693"/>
      <c r="AD258" s="1693"/>
      <c r="AE258" s="1693"/>
      <c r="AG258" s="8"/>
      <c r="AH258" s="8"/>
      <c r="AI258" s="8"/>
      <c r="AJ258" s="8"/>
      <c r="AK258" s="8"/>
      <c r="AL258" s="8"/>
      <c r="BA258" s="35"/>
    </row>
    <row r="259" spans="1:53" ht="13">
      <c r="A259" s="33"/>
      <c r="B259" s="8"/>
      <c r="C259" s="147"/>
      <c r="D259" s="74" t="s">
        <v>700</v>
      </c>
      <c r="E259" s="8"/>
      <c r="F259" s="8"/>
      <c r="G259" s="8"/>
      <c r="H259" s="8"/>
      <c r="I259" s="8"/>
      <c r="J259" s="8"/>
      <c r="K259" s="8"/>
      <c r="L259" s="8"/>
      <c r="M259" s="1696" t="s">
        <v>86</v>
      </c>
      <c r="N259" s="1696"/>
      <c r="O259" s="1696"/>
      <c r="P259" s="1696"/>
      <c r="Q259" s="1696"/>
      <c r="R259" s="1696"/>
      <c r="S259" s="1696"/>
      <c r="T259" s="1696"/>
      <c r="U259" s="8" t="s">
        <v>1266</v>
      </c>
      <c r="AA259" s="1702"/>
      <c r="AB259" s="1702"/>
      <c r="AC259" s="1702"/>
      <c r="AD259" s="1702"/>
      <c r="AE259" s="1702"/>
      <c r="AF259" s="1702"/>
      <c r="AG259" s="1702"/>
      <c r="AH259" s="1702"/>
      <c r="AI259" s="1702"/>
      <c r="AJ259" s="1702"/>
      <c r="AK259" s="1702"/>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2152</v>
      </c>
      <c r="D261" s="71" t="s">
        <v>697</v>
      </c>
      <c r="E261" s="71"/>
      <c r="F261" s="71"/>
      <c r="G261" s="71"/>
      <c r="H261" s="71"/>
      <c r="I261" s="71"/>
      <c r="J261" s="71"/>
      <c r="K261" s="71"/>
      <c r="L261" s="8"/>
      <c r="M261" s="1689" t="s">
        <v>136</v>
      </c>
      <c r="N261" s="1690"/>
      <c r="O261" s="1690"/>
      <c r="P261" s="1690"/>
      <c r="Q261" s="1690"/>
      <c r="R261" s="1690"/>
      <c r="S261" s="1690"/>
      <c r="T261" s="1690"/>
      <c r="U261" s="1690"/>
      <c r="V261" s="1690"/>
      <c r="W261" s="1690"/>
      <c r="X261" s="1690"/>
      <c r="Y261" s="1690"/>
      <c r="Z261" s="1690"/>
      <c r="AA261" s="1690"/>
      <c r="AB261" s="1690"/>
      <c r="AC261" s="1690"/>
      <c r="AD261" s="1690"/>
      <c r="AE261" s="1690"/>
      <c r="AF261" s="1690" t="s">
        <v>86</v>
      </c>
      <c r="AG261" s="1690"/>
      <c r="AH261" s="1690"/>
      <c r="AI261" s="1690"/>
      <c r="AJ261" s="1690"/>
      <c r="AK261" s="1690"/>
      <c r="AL261" s="72"/>
      <c r="BA261" s="3"/>
    </row>
    <row r="262" spans="1:53" ht="13">
      <c r="A262" s="33"/>
      <c r="B262" s="8"/>
      <c r="C262" s="8"/>
      <c r="D262" s="71" t="s">
        <v>416</v>
      </c>
      <c r="E262" s="71"/>
      <c r="F262" s="71"/>
      <c r="G262" s="71"/>
      <c r="H262" s="71"/>
      <c r="I262" s="71"/>
      <c r="J262" s="71"/>
      <c r="K262" s="71"/>
      <c r="L262" s="8"/>
      <c r="M262" s="1692"/>
      <c r="N262" s="1692"/>
      <c r="O262" s="1692"/>
      <c r="P262" s="1692"/>
      <c r="Q262" s="1692"/>
      <c r="R262" s="1692"/>
      <c r="S262" s="1692"/>
      <c r="T262" s="1692"/>
      <c r="U262" s="1692"/>
      <c r="V262" s="1692"/>
      <c r="W262" s="1692"/>
      <c r="X262" s="1692"/>
      <c r="Y262" s="1692"/>
      <c r="Z262" s="1692"/>
      <c r="AA262" s="1692"/>
      <c r="AB262" s="1692"/>
      <c r="AC262" s="1692"/>
      <c r="AD262" s="1692"/>
      <c r="AE262" s="1692"/>
      <c r="AL262" s="72"/>
      <c r="BA262" s="651"/>
    </row>
    <row r="263" spans="1:53" ht="13">
      <c r="A263" s="33"/>
      <c r="B263" s="8"/>
      <c r="C263" s="8"/>
      <c r="D263" s="71" t="s">
        <v>479</v>
      </c>
      <c r="E263" s="71"/>
      <c r="M263" s="1692"/>
      <c r="N263" s="1692"/>
      <c r="O263" s="1692"/>
      <c r="P263" s="1692"/>
      <c r="Q263" s="1692"/>
      <c r="R263" s="1692"/>
      <c r="S263" s="1692"/>
      <c r="T263" s="1692"/>
      <c r="V263" s="73" t="s">
        <v>417</v>
      </c>
      <c r="W263" s="1700"/>
      <c r="X263" s="1700"/>
      <c r="Y263" s="71" t="s">
        <v>482</v>
      </c>
      <c r="AC263" s="1692"/>
      <c r="AD263" s="1692"/>
      <c r="AE263" s="1692"/>
      <c r="AL263" s="72"/>
      <c r="BA263" s="75"/>
    </row>
    <row r="264" spans="1:53" ht="13">
      <c r="A264" s="33"/>
      <c r="B264" s="8"/>
      <c r="C264" s="8"/>
      <c r="D264" s="74" t="s">
        <v>418</v>
      </c>
      <c r="E264" s="8"/>
      <c r="F264" s="8"/>
      <c r="G264" s="8"/>
      <c r="H264" s="8"/>
      <c r="I264" s="8"/>
      <c r="J264" s="8"/>
      <c r="K264" s="8"/>
      <c r="L264" s="39"/>
      <c r="M264" s="1692"/>
      <c r="N264" s="1692"/>
      <c r="O264" s="1692"/>
      <c r="P264" s="1692"/>
      <c r="Q264" s="1692"/>
      <c r="R264" s="1692"/>
      <c r="S264" s="1692"/>
      <c r="T264" s="1692"/>
      <c r="U264" s="1692"/>
      <c r="V264" s="1692"/>
      <c r="W264" s="1692"/>
      <c r="X264" s="1692"/>
      <c r="Y264" s="1692"/>
      <c r="Z264" s="1692"/>
      <c r="AA264" s="1692"/>
      <c r="AB264" s="1692"/>
      <c r="AC264" s="1692"/>
      <c r="AD264" s="1692"/>
      <c r="AE264" s="1692"/>
      <c r="AJ264" s="8"/>
      <c r="AK264" s="8"/>
      <c r="AL264" s="72"/>
      <c r="BA264" s="75"/>
    </row>
    <row r="265" spans="1:53" ht="13">
      <c r="A265" s="33"/>
      <c r="B265" s="8"/>
      <c r="C265" s="8"/>
      <c r="D265" s="74" t="s">
        <v>419</v>
      </c>
      <c r="E265" s="8"/>
      <c r="F265" s="8"/>
      <c r="M265" s="1688"/>
      <c r="N265" s="1688"/>
      <c r="O265" s="1688"/>
      <c r="P265" s="1688"/>
      <c r="Q265" s="1688"/>
      <c r="R265" s="1688"/>
      <c r="S265" s="8" t="s">
        <v>899</v>
      </c>
      <c r="T265" s="8"/>
      <c r="U265" s="1700"/>
      <c r="V265" s="1700"/>
      <c r="W265" s="1700"/>
      <c r="X265" s="8" t="s">
        <v>420</v>
      </c>
      <c r="Z265" s="1688"/>
      <c r="AA265" s="1688"/>
      <c r="AB265" s="1688"/>
      <c r="AC265" s="1688"/>
      <c r="AD265" s="1688"/>
      <c r="AE265" s="1688"/>
      <c r="AL265" s="72"/>
      <c r="BA265" s="75"/>
    </row>
    <row r="266" spans="1:53" ht="13">
      <c r="A266" s="33"/>
      <c r="B266" s="8"/>
      <c r="C266" s="8"/>
      <c r="D266" s="74" t="s">
        <v>421</v>
      </c>
      <c r="E266" s="8"/>
      <c r="F266" s="8"/>
      <c r="M266" s="1693"/>
      <c r="N266" s="1693"/>
      <c r="O266" s="1693"/>
      <c r="P266" s="1693"/>
      <c r="Q266" s="1693"/>
      <c r="R266" s="1693"/>
      <c r="S266" s="1693"/>
      <c r="T266" s="1693"/>
      <c r="U266" s="1693"/>
      <c r="V266" s="1693"/>
      <c r="W266" s="1693"/>
      <c r="X266" s="1693"/>
      <c r="Y266" s="1693"/>
      <c r="Z266" s="1693"/>
      <c r="AA266" s="1693"/>
      <c r="AB266" s="1693"/>
      <c r="AC266" s="1693"/>
      <c r="AD266" s="1693"/>
      <c r="AE266" s="1693"/>
      <c r="AG266" s="8"/>
      <c r="AH266" s="8"/>
      <c r="AI266" s="8"/>
      <c r="AJ266" s="8"/>
      <c r="AK266" s="8"/>
      <c r="AL266" s="72"/>
      <c r="BA266" s="75"/>
    </row>
    <row r="267" spans="1:53" ht="13">
      <c r="A267" s="33"/>
      <c r="B267" s="8"/>
      <c r="C267" s="147"/>
      <c r="D267" s="74" t="s">
        <v>700</v>
      </c>
      <c r="E267" s="8"/>
      <c r="F267" s="8"/>
      <c r="G267" s="8"/>
      <c r="H267" s="8"/>
      <c r="I267" s="8"/>
      <c r="J267" s="8"/>
      <c r="K267" s="8"/>
      <c r="L267" s="8"/>
      <c r="M267" s="1696" t="s">
        <v>86</v>
      </c>
      <c r="N267" s="1696"/>
      <c r="O267" s="1696"/>
      <c r="P267" s="1696"/>
      <c r="Q267" s="1696"/>
      <c r="R267" s="1696"/>
      <c r="S267" s="1696"/>
      <c r="T267" s="1696"/>
      <c r="U267" s="8" t="s">
        <v>1266</v>
      </c>
      <c r="AA267" s="1702"/>
      <c r="AB267" s="1702"/>
      <c r="AC267" s="1702"/>
      <c r="AD267" s="1702"/>
      <c r="AE267" s="1702"/>
      <c r="AF267" s="1702"/>
      <c r="AG267" s="1702"/>
      <c r="AH267" s="1702"/>
      <c r="AI267" s="1702"/>
      <c r="AJ267" s="1702"/>
      <c r="AK267" s="1702"/>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1691" t="str">
        <f>BO245</f>
        <v>Nonprofit</v>
      </c>
      <c r="U269" s="1691"/>
      <c r="V269" s="1691"/>
      <c r="W269" s="1691"/>
      <c r="X269" s="1691"/>
      <c r="Z269" s="757" t="s">
        <v>1343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5">
      <c r="A272" s="71"/>
      <c r="B272" s="77">
        <v>0</v>
      </c>
      <c r="D272" s="1692" t="s">
        <v>993</v>
      </c>
      <c r="E272" s="1692"/>
      <c r="F272" s="1692"/>
      <c r="G272" s="1692"/>
      <c r="H272" s="1692"/>
      <c r="J272" s="16" t="s">
        <v>992</v>
      </c>
      <c r="X272" s="1890"/>
      <c r="Y272" s="1890"/>
      <c r="Z272" s="1890"/>
      <c r="AA272" s="1890"/>
      <c r="AB272" s="1890"/>
      <c r="AC272" s="1890"/>
      <c r="BA272" s="75"/>
    </row>
    <row r="273" spans="1:53" ht="12.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 customHeight="1">
      <c r="D276" s="71" t="s">
        <v>296</v>
      </c>
      <c r="E276" s="71"/>
      <c r="F276" s="71"/>
      <c r="G276" s="71"/>
      <c r="H276" s="71"/>
      <c r="I276" s="71"/>
      <c r="J276" s="71"/>
      <c r="K276" s="8"/>
      <c r="L276" s="1689" t="s">
        <v>2389</v>
      </c>
      <c r="M276" s="1690"/>
      <c r="N276" s="1690"/>
      <c r="O276" s="1690"/>
      <c r="P276" s="1690"/>
      <c r="Q276" s="1690"/>
      <c r="R276" s="1690"/>
      <c r="S276" s="1690"/>
      <c r="T276" s="1690"/>
      <c r="U276" s="1690"/>
      <c r="V276" s="1690"/>
      <c r="W276" s="1690"/>
      <c r="X276" s="1690"/>
      <c r="Y276" s="1690"/>
      <c r="Z276" s="1690"/>
      <c r="AA276" s="1690"/>
      <c r="AB276" s="1690"/>
      <c r="AC276" s="1690"/>
      <c r="AD276" s="1690"/>
      <c r="AE276" s="1690"/>
      <c r="AF276" s="1690"/>
      <c r="AG276" s="1690"/>
      <c r="AH276" s="1690"/>
      <c r="AI276" s="1690"/>
      <c r="AJ276" s="1690"/>
      <c r="AK276" s="72"/>
      <c r="AL276" s="72"/>
      <c r="BA276" s="75"/>
    </row>
    <row r="277" spans="1:53" ht="12.75" customHeight="1">
      <c r="D277" s="71" t="s">
        <v>416</v>
      </c>
      <c r="E277" s="71"/>
      <c r="F277" s="71"/>
      <c r="G277" s="71"/>
      <c r="H277" s="71"/>
      <c r="I277" s="71"/>
      <c r="J277" s="71"/>
      <c r="K277" s="8"/>
      <c r="L277" s="1692" t="str">
        <f>M236</f>
        <v>995 Riverside Street</v>
      </c>
      <c r="M277" s="1692"/>
      <c r="N277" s="1692"/>
      <c r="O277" s="1692"/>
      <c r="P277" s="1692"/>
      <c r="Q277" s="1692"/>
      <c r="R277" s="1692"/>
      <c r="S277" s="1692"/>
      <c r="T277" s="1692"/>
      <c r="U277" s="1692"/>
      <c r="V277" s="1692"/>
      <c r="W277" s="1692"/>
      <c r="X277" s="1692"/>
      <c r="Y277" s="1692"/>
      <c r="Z277" s="1692"/>
      <c r="AA277" s="1692"/>
      <c r="AB277" s="1692"/>
      <c r="AC277" s="1692"/>
      <c r="AD277" s="1692"/>
      <c r="AK277" s="72"/>
      <c r="AL277" s="72"/>
      <c r="BA277" s="75"/>
    </row>
    <row r="278" spans="1:53" ht="12.5">
      <c r="D278" s="71" t="s">
        <v>479</v>
      </c>
      <c r="E278" s="71"/>
      <c r="L278" s="1692" t="str">
        <f>M237</f>
        <v>Ventura</v>
      </c>
      <c r="M278" s="1692"/>
      <c r="N278" s="1692"/>
      <c r="O278" s="1692"/>
      <c r="P278" s="1692"/>
      <c r="Q278" s="1692"/>
      <c r="R278" s="1692"/>
      <c r="S278" s="1692"/>
      <c r="U278" s="73" t="s">
        <v>417</v>
      </c>
      <c r="V278" s="1700" t="str">
        <f>W237</f>
        <v>CA</v>
      </c>
      <c r="W278" s="1700"/>
      <c r="X278" s="71" t="s">
        <v>482</v>
      </c>
      <c r="AB278" s="1692">
        <f>AC237</f>
        <v>93001</v>
      </c>
      <c r="AC278" s="1692"/>
      <c r="AD278" s="1692"/>
      <c r="AK278" s="72"/>
      <c r="AL278" s="72"/>
      <c r="BA278" s="75"/>
    </row>
    <row r="279" spans="1:53" ht="12.5">
      <c r="D279" s="74" t="s">
        <v>418</v>
      </c>
      <c r="E279" s="8"/>
      <c r="F279" s="8"/>
      <c r="G279" s="8"/>
      <c r="H279" s="8"/>
      <c r="I279" s="8"/>
      <c r="J279" s="8"/>
      <c r="K279" s="39"/>
      <c r="L279" s="1697" t="s">
        <v>2392</v>
      </c>
      <c r="M279" s="1692"/>
      <c r="N279" s="1692"/>
      <c r="O279" s="1692"/>
      <c r="P279" s="1692"/>
      <c r="Q279" s="1692"/>
      <c r="R279" s="1692"/>
      <c r="S279" s="1692"/>
      <c r="T279" s="1692"/>
      <c r="U279" s="1692"/>
      <c r="V279" s="1692"/>
      <c r="W279" s="1692"/>
      <c r="X279" s="1692"/>
      <c r="Y279" s="1692"/>
      <c r="Z279" s="1692"/>
      <c r="AA279" s="1692"/>
      <c r="AB279" s="1692"/>
      <c r="AC279" s="1692"/>
      <c r="AD279" s="1692"/>
      <c r="AI279" s="8"/>
      <c r="AJ279" s="8"/>
      <c r="AK279" s="72"/>
      <c r="AL279" s="72"/>
      <c r="BA279" s="75"/>
    </row>
    <row r="280" spans="1:53" ht="12.5">
      <c r="D280" s="74" t="s">
        <v>419</v>
      </c>
      <c r="E280" s="8"/>
      <c r="F280" s="8"/>
      <c r="L280" s="1688" t="str">
        <f>M239</f>
        <v>805-648-5008</v>
      </c>
      <c r="M280" s="1688"/>
      <c r="N280" s="1688"/>
      <c r="O280" s="1688"/>
      <c r="P280" s="1688"/>
      <c r="Q280" s="1688"/>
      <c r="R280" s="8" t="s">
        <v>899</v>
      </c>
      <c r="S280" s="8"/>
      <c r="T280" s="1700"/>
      <c r="U280" s="1700"/>
      <c r="V280" s="1700"/>
      <c r="W280" s="8" t="s">
        <v>420</v>
      </c>
      <c r="Y280" s="1694" t="s">
        <v>2393</v>
      </c>
      <c r="Z280" s="1688"/>
      <c r="AA280" s="1688"/>
      <c r="AB280" s="1688"/>
      <c r="AC280" s="1688"/>
      <c r="AD280" s="1688"/>
      <c r="BA280" s="75"/>
    </row>
    <row r="281" spans="1:53" ht="12.5">
      <c r="D281" s="74" t="s">
        <v>421</v>
      </c>
      <c r="E281" s="8"/>
      <c r="F281" s="8"/>
      <c r="L281" s="1693" t="s">
        <v>2394</v>
      </c>
      <c r="M281" s="1693"/>
      <c r="N281" s="1693"/>
      <c r="O281" s="1693"/>
      <c r="P281" s="1693"/>
      <c r="Q281" s="1693"/>
      <c r="R281" s="1693"/>
      <c r="S281" s="1693"/>
      <c r="T281" s="1693"/>
      <c r="U281" s="1693"/>
      <c r="V281" s="1693"/>
      <c r="W281" s="1693"/>
      <c r="X281" s="1693"/>
      <c r="Y281" s="1693"/>
      <c r="Z281" s="1693"/>
      <c r="AA281" s="1693"/>
      <c r="AB281" s="1693"/>
      <c r="AC281" s="1693"/>
      <c r="AD281" s="1693"/>
      <c r="AF281" s="8"/>
      <c r="AG281" s="8"/>
      <c r="AH281" s="8"/>
      <c r="AI281" s="8"/>
      <c r="AJ281" s="8"/>
      <c r="BA281" s="75"/>
    </row>
    <row r="282" spans="1:53" ht="12.5">
      <c r="D282" s="72" t="s">
        <v>203</v>
      </c>
      <c r="E282" s="72"/>
      <c r="F282" s="72"/>
      <c r="G282" s="72"/>
      <c r="H282" s="72"/>
      <c r="I282" s="72"/>
      <c r="L282" s="1695" t="s">
        <v>2390</v>
      </c>
      <c r="M282" s="1695"/>
      <c r="N282" s="1695"/>
      <c r="O282" s="1695"/>
      <c r="P282" s="1695"/>
      <c r="Q282" s="1695"/>
      <c r="R282" s="1695"/>
      <c r="S282" s="1695"/>
      <c r="T282" s="1695"/>
      <c r="U282" s="1695"/>
      <c r="V282" s="1695"/>
      <c r="W282" s="1695"/>
      <c r="X282" s="1695"/>
      <c r="Y282" s="1695"/>
      <c r="Z282" s="1695"/>
      <c r="AA282" s="1695"/>
      <c r="AB282" s="1695"/>
      <c r="AC282" s="1695"/>
      <c r="AD282" s="1695"/>
      <c r="AK282" s="72"/>
      <c r="AL282" s="72"/>
      <c r="BA282" s="75"/>
    </row>
    <row r="283" spans="1:53" ht="12.5">
      <c r="L283" s="46" t="s">
        <v>204</v>
      </c>
      <c r="BA283" s="75"/>
    </row>
    <row r="284" spans="1:53" ht="12.5">
      <c r="A284" s="1703" t="s">
        <v>545</v>
      </c>
      <c r="B284" s="1703"/>
      <c r="C284" s="1703"/>
      <c r="D284" s="1703"/>
      <c r="E284" s="1703"/>
      <c r="F284" s="1703"/>
      <c r="G284" s="1703"/>
      <c r="H284" s="1703"/>
      <c r="I284" s="1703"/>
      <c r="J284" s="1703"/>
      <c r="K284" s="1703"/>
      <c r="L284" s="1703"/>
      <c r="M284" s="1703"/>
      <c r="N284" s="1703"/>
      <c r="O284" s="1703"/>
      <c r="P284" s="1703"/>
      <c r="Q284" s="1703"/>
      <c r="R284" s="1703"/>
      <c r="S284" s="1703"/>
      <c r="T284" s="1703"/>
      <c r="U284" s="1703"/>
      <c r="V284" s="1703"/>
      <c r="W284" s="1703"/>
      <c r="X284" s="1703"/>
      <c r="Y284" s="1703"/>
      <c r="Z284" s="1703"/>
      <c r="AA284" s="1703"/>
      <c r="AB284" s="1703"/>
      <c r="AC284" s="1703"/>
      <c r="AD284" s="1703"/>
      <c r="AE284" s="1703"/>
      <c r="AF284" s="1703"/>
      <c r="AG284" s="1703"/>
      <c r="AH284" s="1703"/>
      <c r="AI284" s="1703"/>
      <c r="AJ284" s="1703"/>
      <c r="AK284" s="1703"/>
      <c r="AL284" s="1703"/>
      <c r="BA284" s="75"/>
    </row>
    <row r="285" spans="1:53" ht="13" thickBot="1">
      <c r="A285" s="1704"/>
      <c r="B285" s="1704"/>
      <c r="C285" s="1704"/>
      <c r="D285" s="1704"/>
      <c r="E285" s="1704"/>
      <c r="F285" s="1704"/>
      <c r="G285" s="1704"/>
      <c r="H285" s="1704"/>
      <c r="I285" s="1704"/>
      <c r="J285" s="1704"/>
      <c r="K285" s="1704"/>
      <c r="L285" s="1704"/>
      <c r="M285" s="1704"/>
      <c r="N285" s="1704"/>
      <c r="O285" s="1704"/>
      <c r="P285" s="1704"/>
      <c r="Q285" s="1704"/>
      <c r="R285" s="1704"/>
      <c r="S285" s="1704"/>
      <c r="T285" s="1704"/>
      <c r="U285" s="1704"/>
      <c r="V285" s="1704"/>
      <c r="W285" s="1704"/>
      <c r="X285" s="1704"/>
      <c r="Y285" s="1704"/>
      <c r="Z285" s="1704"/>
      <c r="AA285" s="1704"/>
      <c r="AB285" s="1704"/>
      <c r="AC285" s="1704"/>
      <c r="AD285" s="1704"/>
      <c r="AE285" s="1704"/>
      <c r="AF285" s="1704"/>
      <c r="AG285" s="1704"/>
      <c r="AH285" s="1704"/>
      <c r="AI285" s="1704"/>
      <c r="AJ285" s="1704"/>
      <c r="AK285" s="1704"/>
      <c r="AL285" s="1704"/>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8" t="str">
        <f>L276</f>
        <v>Homecomings, Inc.</v>
      </c>
      <c r="I289" s="1698"/>
      <c r="J289" s="1698"/>
      <c r="K289" s="1698"/>
      <c r="L289" s="1698"/>
      <c r="M289" s="1698"/>
      <c r="N289" s="1698"/>
      <c r="O289" s="1698"/>
      <c r="P289" s="1698"/>
      <c r="Q289" s="1698"/>
      <c r="R289" s="1698"/>
      <c r="T289" s="72" t="s">
        <v>812</v>
      </c>
      <c r="V289" s="72"/>
      <c r="W289" s="72"/>
      <c r="X289" s="72"/>
      <c r="Y289" s="72"/>
      <c r="AA289" s="1698" t="s">
        <v>2395</v>
      </c>
      <c r="AB289" s="1698"/>
      <c r="AC289" s="1698"/>
      <c r="AD289" s="1698"/>
      <c r="AE289" s="1698"/>
      <c r="AF289" s="1698"/>
      <c r="AG289" s="1698"/>
      <c r="AH289" s="1698"/>
      <c r="AI289" s="1698"/>
      <c r="AJ289" s="1698"/>
      <c r="AK289" s="1698"/>
      <c r="BA289" s="75"/>
    </row>
    <row r="290" spans="2:53" ht="12.5">
      <c r="B290" s="72" t="s">
        <v>764</v>
      </c>
      <c r="C290" s="72"/>
      <c r="D290" s="72"/>
      <c r="E290" s="72"/>
      <c r="F290" s="72"/>
      <c r="H290" s="1696" t="str">
        <f>L277</f>
        <v>995 Riverside Street</v>
      </c>
      <c r="I290" s="1696"/>
      <c r="J290" s="1696"/>
      <c r="K290" s="1696"/>
      <c r="L290" s="1696"/>
      <c r="M290" s="1696"/>
      <c r="N290" s="1696"/>
      <c r="O290" s="1696"/>
      <c r="P290" s="1696"/>
      <c r="Q290" s="1696"/>
      <c r="R290" s="1696"/>
      <c r="T290" s="72" t="s">
        <v>764</v>
      </c>
      <c r="V290" s="72"/>
      <c r="W290" s="72"/>
      <c r="X290" s="72"/>
      <c r="Y290" s="72"/>
      <c r="AA290" s="1696" t="s">
        <v>2396</v>
      </c>
      <c r="AB290" s="1696"/>
      <c r="AC290" s="1696"/>
      <c r="AD290" s="1696"/>
      <c r="AE290" s="1696"/>
      <c r="AF290" s="1696"/>
      <c r="AG290" s="1696"/>
      <c r="AH290" s="1696"/>
      <c r="AI290" s="1696"/>
      <c r="AJ290" s="1696"/>
      <c r="AK290" s="1696"/>
      <c r="BA290" s="75"/>
    </row>
    <row r="291" spans="2:53" ht="12.5">
      <c r="B291" s="72" t="s">
        <v>766</v>
      </c>
      <c r="C291" s="72"/>
      <c r="D291" s="72"/>
      <c r="E291" s="72"/>
      <c r="F291" s="72"/>
      <c r="H291" s="1696" t="s">
        <v>2391</v>
      </c>
      <c r="I291" s="1696"/>
      <c r="J291" s="1696"/>
      <c r="K291" s="1696"/>
      <c r="L291" s="1696"/>
      <c r="M291" s="1696"/>
      <c r="N291" s="1696"/>
      <c r="O291" s="1696"/>
      <c r="P291" s="1696"/>
      <c r="Q291" s="1696"/>
      <c r="R291" s="1696"/>
      <c r="T291" s="72" t="s">
        <v>765</v>
      </c>
      <c r="V291" s="72"/>
      <c r="W291" s="72"/>
      <c r="X291" s="72"/>
      <c r="Y291" s="72"/>
      <c r="AA291" s="1696" t="str">
        <f>H291</f>
        <v>Ventura, CA 93001</v>
      </c>
      <c r="AB291" s="1696"/>
      <c r="AC291" s="1696"/>
      <c r="AD291" s="1696"/>
      <c r="AE291" s="1696"/>
      <c r="AF291" s="1696"/>
      <c r="AG291" s="1696"/>
      <c r="AH291" s="1696"/>
      <c r="AI291" s="1696"/>
      <c r="AJ291" s="1696"/>
      <c r="AK291" s="1696"/>
      <c r="BA291" s="75"/>
    </row>
    <row r="292" spans="2:53" ht="12.5">
      <c r="B292" s="72" t="s">
        <v>418</v>
      </c>
      <c r="C292" s="72"/>
      <c r="D292" s="72"/>
      <c r="E292" s="72"/>
      <c r="F292" s="72"/>
      <c r="H292" s="1696" t="str">
        <f>L279</f>
        <v>Karen Flock</v>
      </c>
      <c r="I292" s="1696"/>
      <c r="J292" s="1696"/>
      <c r="K292" s="1696"/>
      <c r="L292" s="1696"/>
      <c r="M292" s="1696"/>
      <c r="N292" s="1696"/>
      <c r="O292" s="1696"/>
      <c r="P292" s="1696"/>
      <c r="Q292" s="1696"/>
      <c r="R292" s="1696"/>
      <c r="T292" s="72" t="s">
        <v>418</v>
      </c>
      <c r="V292" s="72"/>
      <c r="W292" s="72"/>
      <c r="X292" s="72"/>
      <c r="Y292" s="72"/>
      <c r="AA292" s="1696" t="s">
        <v>2397</v>
      </c>
      <c r="AB292" s="1696"/>
      <c r="AC292" s="1696"/>
      <c r="AD292" s="1696"/>
      <c r="AE292" s="1696"/>
      <c r="AF292" s="1696"/>
      <c r="AG292" s="1696"/>
      <c r="AH292" s="1696"/>
      <c r="AI292" s="1696"/>
      <c r="AJ292" s="1696"/>
      <c r="AK292" s="1696"/>
      <c r="BA292" s="75"/>
    </row>
    <row r="293" spans="2:53" ht="12.75" customHeight="1">
      <c r="B293" s="72" t="s">
        <v>419</v>
      </c>
      <c r="C293" s="72"/>
      <c r="D293" s="72"/>
      <c r="E293" s="72"/>
      <c r="F293" s="72"/>
      <c r="G293" s="72"/>
      <c r="H293" s="1702" t="str">
        <f>L280</f>
        <v>805-648-5008</v>
      </c>
      <c r="I293" s="1702"/>
      <c r="J293" s="1702"/>
      <c r="K293" s="1702"/>
      <c r="L293" s="1702"/>
      <c r="M293" s="1702"/>
      <c r="N293" s="8" t="s">
        <v>899</v>
      </c>
      <c r="O293" s="8"/>
      <c r="P293" s="1692"/>
      <c r="Q293" s="1692"/>
      <c r="R293" s="1692"/>
      <c r="S293" s="72"/>
      <c r="T293" s="72" t="s">
        <v>419</v>
      </c>
      <c r="V293" s="72"/>
      <c r="W293" s="72"/>
      <c r="X293" s="72"/>
      <c r="Y293" s="72"/>
      <c r="AA293" s="1701" t="s">
        <v>2398</v>
      </c>
      <c r="AB293" s="1702"/>
      <c r="AC293" s="1702"/>
      <c r="AD293" s="1702"/>
      <c r="AE293" s="1702"/>
      <c r="AF293" s="1702"/>
      <c r="AG293" s="8" t="s">
        <v>899</v>
      </c>
      <c r="AH293" s="8"/>
      <c r="AI293" s="1692"/>
      <c r="AJ293" s="1692"/>
      <c r="AK293" s="1692"/>
      <c r="BA293" s="75"/>
    </row>
    <row r="294" spans="2:53" ht="12.5">
      <c r="B294" s="72" t="s">
        <v>420</v>
      </c>
      <c r="C294" s="72"/>
      <c r="D294" s="72"/>
      <c r="E294" s="72"/>
      <c r="F294" s="72"/>
      <c r="G294" s="72"/>
      <c r="H294" s="1688" t="str">
        <f>Y280</f>
        <v>805-626-5819</v>
      </c>
      <c r="I294" s="1688"/>
      <c r="J294" s="1688"/>
      <c r="K294" s="1688"/>
      <c r="L294" s="1688"/>
      <c r="M294" s="1688"/>
      <c r="N294" s="74"/>
      <c r="O294" s="74"/>
      <c r="P294" s="76"/>
      <c r="Q294" s="76"/>
      <c r="R294" s="76"/>
      <c r="S294" s="72"/>
      <c r="T294" s="72" t="s">
        <v>420</v>
      </c>
      <c r="V294" s="72"/>
      <c r="W294" s="72"/>
      <c r="X294" s="72"/>
      <c r="Y294" s="72"/>
      <c r="AA294" s="1694" t="s">
        <v>136</v>
      </c>
      <c r="AB294" s="1688"/>
      <c r="AC294" s="1688"/>
      <c r="AD294" s="1688"/>
      <c r="AE294" s="1688"/>
      <c r="AF294" s="1688"/>
      <c r="AG294" s="74"/>
      <c r="AH294" s="74"/>
      <c r="AI294" s="76"/>
      <c r="AJ294" s="76"/>
      <c r="AK294" s="76"/>
      <c r="BA294" s="75"/>
    </row>
    <row r="295" spans="2:53" ht="12.5">
      <c r="B295" s="72" t="s">
        <v>767</v>
      </c>
      <c r="C295" s="72"/>
      <c r="D295" s="72"/>
      <c r="E295" s="72"/>
      <c r="F295" s="72"/>
      <c r="G295" s="72"/>
      <c r="H295" s="1696" t="str">
        <f>L281</f>
        <v>kflock@hacityventura.org</v>
      </c>
      <c r="I295" s="1696"/>
      <c r="J295" s="1696"/>
      <c r="K295" s="1696"/>
      <c r="L295" s="1696"/>
      <c r="M295" s="1696"/>
      <c r="N295" s="1698"/>
      <c r="O295" s="1698"/>
      <c r="P295" s="1698"/>
      <c r="Q295" s="1698"/>
      <c r="R295" s="1698"/>
      <c r="S295" s="72"/>
      <c r="T295" s="72" t="s">
        <v>767</v>
      </c>
      <c r="V295" s="72"/>
      <c r="W295" s="72"/>
      <c r="X295" s="72"/>
      <c r="Y295" s="72"/>
      <c r="AA295" s="1695" t="s">
        <v>2399</v>
      </c>
      <c r="AB295" s="1696"/>
      <c r="AC295" s="1696"/>
      <c r="AD295" s="1696"/>
      <c r="AE295" s="1696"/>
      <c r="AF295" s="1696"/>
      <c r="AG295" s="1698"/>
      <c r="AH295" s="1698"/>
      <c r="AI295" s="1698"/>
      <c r="AJ295" s="1698"/>
      <c r="AK295" s="1698"/>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488</v>
      </c>
      <c r="C297" s="72"/>
      <c r="D297" s="72"/>
      <c r="E297" s="72"/>
      <c r="F297" s="72"/>
      <c r="H297" s="1697" t="s">
        <v>2400</v>
      </c>
      <c r="I297" s="1698"/>
      <c r="J297" s="1698"/>
      <c r="K297" s="1698"/>
      <c r="L297" s="1698"/>
      <c r="M297" s="1698"/>
      <c r="N297" s="1698"/>
      <c r="O297" s="1698"/>
      <c r="P297" s="1698"/>
      <c r="Q297" s="1698"/>
      <c r="R297" s="1698"/>
      <c r="T297" s="72" t="s">
        <v>40</v>
      </c>
      <c r="V297" s="72"/>
      <c r="W297" s="72"/>
      <c r="X297" s="72"/>
      <c r="Y297" s="72"/>
      <c r="AA297" s="1697" t="s">
        <v>2406</v>
      </c>
      <c r="AB297" s="1698"/>
      <c r="AC297" s="1698"/>
      <c r="AD297" s="1698"/>
      <c r="AE297" s="1698"/>
      <c r="AF297" s="1698"/>
      <c r="AG297" s="1698"/>
      <c r="AH297" s="1698"/>
      <c r="AI297" s="1698"/>
      <c r="AJ297" s="1698"/>
      <c r="AK297" s="1698"/>
      <c r="BA297" s="75"/>
    </row>
    <row r="298" spans="2:53" ht="12.5">
      <c r="B298" s="72" t="s">
        <v>764</v>
      </c>
      <c r="C298" s="72"/>
      <c r="D298" s="72"/>
      <c r="E298" s="72"/>
      <c r="F298" s="72"/>
      <c r="H298" s="1695" t="s">
        <v>2401</v>
      </c>
      <c r="I298" s="1696"/>
      <c r="J298" s="1696"/>
      <c r="K298" s="1696"/>
      <c r="L298" s="1696"/>
      <c r="M298" s="1696"/>
      <c r="N298" s="1696"/>
      <c r="O298" s="1696"/>
      <c r="P298" s="1696"/>
      <c r="Q298" s="1696"/>
      <c r="R298" s="1696"/>
      <c r="T298" s="72" t="s">
        <v>764</v>
      </c>
      <c r="V298" s="72"/>
      <c r="W298" s="72"/>
      <c r="X298" s="72"/>
      <c r="Y298" s="72"/>
      <c r="AA298" s="1696"/>
      <c r="AB298" s="1696"/>
      <c r="AC298" s="1696"/>
      <c r="AD298" s="1696"/>
      <c r="AE298" s="1696"/>
      <c r="AF298" s="1696"/>
      <c r="AG298" s="1696"/>
      <c r="AH298" s="1696"/>
      <c r="AI298" s="1696"/>
      <c r="AJ298" s="1696"/>
      <c r="AK298" s="1696"/>
      <c r="BA298" s="75"/>
    </row>
    <row r="299" spans="2:53" ht="12.5">
      <c r="B299" s="72" t="s">
        <v>766</v>
      </c>
      <c r="C299" s="72"/>
      <c r="D299" s="72"/>
      <c r="E299" s="72"/>
      <c r="F299" s="72"/>
      <c r="H299" s="1695" t="s">
        <v>2402</v>
      </c>
      <c r="I299" s="1696"/>
      <c r="J299" s="1696"/>
      <c r="K299" s="1696"/>
      <c r="L299" s="1696"/>
      <c r="M299" s="1696"/>
      <c r="N299" s="1696"/>
      <c r="O299" s="1696"/>
      <c r="P299" s="1696"/>
      <c r="Q299" s="1696"/>
      <c r="R299" s="1696"/>
      <c r="T299" s="72" t="s">
        <v>765</v>
      </c>
      <c r="V299" s="72"/>
      <c r="W299" s="72"/>
      <c r="X299" s="72"/>
      <c r="Y299" s="72"/>
      <c r="AA299" s="1696"/>
      <c r="AB299" s="1696"/>
      <c r="AC299" s="1696"/>
      <c r="AD299" s="1696"/>
      <c r="AE299" s="1696"/>
      <c r="AF299" s="1696"/>
      <c r="AG299" s="1696"/>
      <c r="AH299" s="1696"/>
      <c r="AI299" s="1696"/>
      <c r="AJ299" s="1696"/>
      <c r="AK299" s="1696"/>
      <c r="BA299" s="75"/>
    </row>
    <row r="300" spans="2:53" ht="12.5">
      <c r="B300" s="72" t="s">
        <v>418</v>
      </c>
      <c r="C300" s="72"/>
      <c r="D300" s="72"/>
      <c r="E300" s="72"/>
      <c r="F300" s="72"/>
      <c r="H300" s="1695" t="s">
        <v>2403</v>
      </c>
      <c r="I300" s="1696"/>
      <c r="J300" s="1696"/>
      <c r="K300" s="1696"/>
      <c r="L300" s="1696"/>
      <c r="M300" s="1696"/>
      <c r="N300" s="1696"/>
      <c r="O300" s="1696"/>
      <c r="P300" s="1696"/>
      <c r="Q300" s="1696"/>
      <c r="R300" s="1696"/>
      <c r="T300" s="72" t="s">
        <v>418</v>
      </c>
      <c r="V300" s="72"/>
      <c r="W300" s="72"/>
      <c r="X300" s="72"/>
      <c r="Y300" s="72"/>
      <c r="AA300" s="1696"/>
      <c r="AB300" s="1696"/>
      <c r="AC300" s="1696"/>
      <c r="AD300" s="1696"/>
      <c r="AE300" s="1696"/>
      <c r="AF300" s="1696"/>
      <c r="AG300" s="1696"/>
      <c r="AH300" s="1696"/>
      <c r="AI300" s="1696"/>
      <c r="AJ300" s="1696"/>
      <c r="AK300" s="1696"/>
      <c r="BA300" s="75"/>
    </row>
    <row r="301" spans="2:53" ht="12.75" customHeight="1">
      <c r="B301" s="72" t="s">
        <v>419</v>
      </c>
      <c r="C301" s="72"/>
      <c r="D301" s="72"/>
      <c r="E301" s="72"/>
      <c r="F301" s="72"/>
      <c r="G301" s="72"/>
      <c r="H301" s="1701" t="s">
        <v>2404</v>
      </c>
      <c r="I301" s="1702"/>
      <c r="J301" s="1702"/>
      <c r="K301" s="1702"/>
      <c r="L301" s="1702"/>
      <c r="M301" s="1702"/>
      <c r="N301" s="8" t="s">
        <v>899</v>
      </c>
      <c r="O301" s="8"/>
      <c r="P301" s="1692"/>
      <c r="Q301" s="1692"/>
      <c r="R301" s="1692"/>
      <c r="S301" s="72"/>
      <c r="T301" s="72" t="s">
        <v>419</v>
      </c>
      <c r="V301" s="72"/>
      <c r="W301" s="72"/>
      <c r="X301" s="72"/>
      <c r="Y301" s="72"/>
      <c r="AA301" s="1702"/>
      <c r="AB301" s="1702"/>
      <c r="AC301" s="1702"/>
      <c r="AD301" s="1702"/>
      <c r="AE301" s="1702"/>
      <c r="AF301" s="1702"/>
      <c r="AG301" s="8" t="s">
        <v>899</v>
      </c>
      <c r="AH301" s="8"/>
      <c r="AI301" s="1692"/>
      <c r="AJ301" s="1692"/>
      <c r="AK301" s="1692"/>
      <c r="BA301" s="75"/>
    </row>
    <row r="302" spans="2:53" ht="12.5">
      <c r="B302" s="72" t="s">
        <v>420</v>
      </c>
      <c r="C302" s="72"/>
      <c r="D302" s="72"/>
      <c r="E302" s="72"/>
      <c r="F302" s="72"/>
      <c r="G302" s="72"/>
      <c r="H302" s="1694" t="s">
        <v>136</v>
      </c>
      <c r="I302" s="1688"/>
      <c r="J302" s="1688"/>
      <c r="K302" s="1688"/>
      <c r="L302" s="1688"/>
      <c r="M302" s="1688"/>
      <c r="N302" s="74"/>
      <c r="O302" s="74"/>
      <c r="P302" s="76"/>
      <c r="Q302" s="76"/>
      <c r="R302" s="76"/>
      <c r="S302" s="72"/>
      <c r="T302" s="72" t="s">
        <v>420</v>
      </c>
      <c r="V302" s="72"/>
      <c r="W302" s="72"/>
      <c r="X302" s="72"/>
      <c r="Y302" s="72"/>
      <c r="AA302" s="1688"/>
      <c r="AB302" s="1688"/>
      <c r="AC302" s="1688"/>
      <c r="AD302" s="1688"/>
      <c r="AE302" s="1688"/>
      <c r="AF302" s="1688"/>
      <c r="AG302" s="74"/>
      <c r="AH302" s="74"/>
      <c r="AI302" s="76"/>
      <c r="AJ302" s="76"/>
      <c r="AK302" s="76"/>
      <c r="BA302" s="75"/>
    </row>
    <row r="303" spans="2:53" ht="12.5">
      <c r="B303" s="72" t="s">
        <v>767</v>
      </c>
      <c r="C303" s="72"/>
      <c r="D303" s="72"/>
      <c r="E303" s="72"/>
      <c r="F303" s="72"/>
      <c r="G303" s="72"/>
      <c r="H303" s="1695" t="s">
        <v>2405</v>
      </c>
      <c r="I303" s="1696"/>
      <c r="J303" s="1696"/>
      <c r="K303" s="1696"/>
      <c r="L303" s="1696"/>
      <c r="M303" s="1696"/>
      <c r="N303" s="1698"/>
      <c r="O303" s="1698"/>
      <c r="P303" s="1698"/>
      <c r="Q303" s="1698"/>
      <c r="R303" s="1698"/>
      <c r="S303" s="72"/>
      <c r="T303" s="72" t="s">
        <v>767</v>
      </c>
      <c r="V303" s="72"/>
      <c r="W303" s="72"/>
      <c r="X303" s="72"/>
      <c r="Y303" s="72"/>
      <c r="AA303" s="1696"/>
      <c r="AB303" s="1696"/>
      <c r="AC303" s="1696"/>
      <c r="AD303" s="1696"/>
      <c r="AE303" s="1696"/>
      <c r="AF303" s="1696"/>
      <c r="AG303" s="1698"/>
      <c r="AH303" s="1698"/>
      <c r="AI303" s="1698"/>
      <c r="AJ303" s="1698"/>
      <c r="AK303" s="1698"/>
      <c r="BA303" s="75"/>
    </row>
    <row r="304" spans="2:53" ht="12.5">
      <c r="BA304" s="75"/>
    </row>
    <row r="305" spans="1:53" ht="12.75" customHeight="1">
      <c r="B305" s="72" t="s">
        <v>768</v>
      </c>
      <c r="C305" s="72"/>
      <c r="D305" s="72"/>
      <c r="E305" s="72"/>
      <c r="F305" s="72"/>
      <c r="H305" s="1698" t="str">
        <f>H297</f>
        <v>Goldfarb and Lipman, LLP</v>
      </c>
      <c r="I305" s="1698"/>
      <c r="J305" s="1698"/>
      <c r="K305" s="1698"/>
      <c r="L305" s="1698"/>
      <c r="M305" s="1698"/>
      <c r="N305" s="1698"/>
      <c r="O305" s="1698"/>
      <c r="P305" s="1698"/>
      <c r="Q305" s="1698"/>
      <c r="R305" s="1698"/>
      <c r="T305" s="8" t="s">
        <v>1223</v>
      </c>
      <c r="V305" s="72"/>
      <c r="W305" s="72"/>
      <c r="X305" s="72"/>
      <c r="Y305" s="72"/>
      <c r="AA305" s="1697" t="s">
        <v>2412</v>
      </c>
      <c r="AB305" s="1698"/>
      <c r="AC305" s="1698"/>
      <c r="AD305" s="1698"/>
      <c r="AE305" s="1698"/>
      <c r="AF305" s="1698"/>
      <c r="AG305" s="1698"/>
      <c r="AH305" s="1698"/>
      <c r="AI305" s="1698"/>
      <c r="AJ305" s="1698"/>
      <c r="AK305" s="1698"/>
      <c r="BA305" s="75"/>
    </row>
    <row r="306" spans="1:53" ht="12.75" customHeight="1">
      <c r="B306" s="72" t="s">
        <v>764</v>
      </c>
      <c r="C306" s="72"/>
      <c r="D306" s="72"/>
      <c r="E306" s="72"/>
      <c r="F306" s="72"/>
      <c r="H306" s="1695" t="s">
        <v>2407</v>
      </c>
      <c r="I306" s="1696"/>
      <c r="J306" s="1696"/>
      <c r="K306" s="1696"/>
      <c r="L306" s="1696"/>
      <c r="M306" s="1696"/>
      <c r="N306" s="1696"/>
      <c r="O306" s="1696"/>
      <c r="P306" s="1696"/>
      <c r="Q306" s="1696"/>
      <c r="R306" s="1696"/>
      <c r="T306" s="72" t="s">
        <v>764</v>
      </c>
      <c r="V306" s="72"/>
      <c r="W306" s="72"/>
      <c r="X306" s="72"/>
      <c r="Y306" s="72"/>
      <c r="AA306" s="1695" t="s">
        <v>2413</v>
      </c>
      <c r="AB306" s="1696"/>
      <c r="AC306" s="1696"/>
      <c r="AD306" s="1696"/>
      <c r="AE306" s="1696"/>
      <c r="AF306" s="1696"/>
      <c r="AG306" s="1696"/>
      <c r="AH306" s="1696"/>
      <c r="AI306" s="1696"/>
      <c r="AJ306" s="1696"/>
      <c r="AK306" s="1696"/>
      <c r="BA306" s="75"/>
    </row>
    <row r="307" spans="1:53" ht="12.75" customHeight="1">
      <c r="B307" s="72" t="s">
        <v>766</v>
      </c>
      <c r="C307" s="72"/>
      <c r="D307" s="72"/>
      <c r="E307" s="72"/>
      <c r="F307" s="72"/>
      <c r="H307" s="1695" t="s">
        <v>2408</v>
      </c>
      <c r="I307" s="1696"/>
      <c r="J307" s="1696"/>
      <c r="K307" s="1696"/>
      <c r="L307" s="1696"/>
      <c r="M307" s="1696"/>
      <c r="N307" s="1696"/>
      <c r="O307" s="1696"/>
      <c r="P307" s="1696"/>
      <c r="Q307" s="1696"/>
      <c r="R307" s="1696"/>
      <c r="T307" s="72" t="s">
        <v>765</v>
      </c>
      <c r="V307" s="72"/>
      <c r="W307" s="72"/>
      <c r="X307" s="72"/>
      <c r="Y307" s="72"/>
      <c r="AA307" s="1695" t="s">
        <v>2414</v>
      </c>
      <c r="AB307" s="1696"/>
      <c r="AC307" s="1696"/>
      <c r="AD307" s="1696"/>
      <c r="AE307" s="1696"/>
      <c r="AF307" s="1696"/>
      <c r="AG307" s="1696"/>
      <c r="AH307" s="1696"/>
      <c r="AI307" s="1696"/>
      <c r="AJ307" s="1696"/>
      <c r="AK307" s="1696"/>
      <c r="BA307" s="75"/>
    </row>
    <row r="308" spans="1:53" ht="12.75" customHeight="1">
      <c r="B308" s="72" t="s">
        <v>418</v>
      </c>
      <c r="C308" s="72"/>
      <c r="D308" s="72"/>
      <c r="E308" s="72"/>
      <c r="F308" s="72"/>
      <c r="H308" s="1695" t="s">
        <v>2409</v>
      </c>
      <c r="I308" s="1696"/>
      <c r="J308" s="1696"/>
      <c r="K308" s="1696"/>
      <c r="L308" s="1696"/>
      <c r="M308" s="1696"/>
      <c r="N308" s="1696"/>
      <c r="O308" s="1696"/>
      <c r="P308" s="1696"/>
      <c r="Q308" s="1696"/>
      <c r="R308" s="1696"/>
      <c r="T308" s="72" t="s">
        <v>418</v>
      </c>
      <c r="V308" s="72"/>
      <c r="W308" s="72"/>
      <c r="X308" s="72"/>
      <c r="Y308" s="72"/>
      <c r="AA308" s="1695" t="s">
        <v>2415</v>
      </c>
      <c r="AB308" s="1696"/>
      <c r="AC308" s="1696"/>
      <c r="AD308" s="1696"/>
      <c r="AE308" s="1696"/>
      <c r="AF308" s="1696"/>
      <c r="AG308" s="1696"/>
      <c r="AH308" s="1696"/>
      <c r="AI308" s="1696"/>
      <c r="AJ308" s="1696"/>
      <c r="AK308" s="1696"/>
      <c r="BA308" s="75"/>
    </row>
    <row r="309" spans="1:53" ht="12.5">
      <c r="B309" s="72" t="s">
        <v>419</v>
      </c>
      <c r="C309" s="72"/>
      <c r="D309" s="72"/>
      <c r="E309" s="72"/>
      <c r="F309" s="72"/>
      <c r="G309" s="72"/>
      <c r="H309" s="1701" t="s">
        <v>2410</v>
      </c>
      <c r="I309" s="1702"/>
      <c r="J309" s="1702"/>
      <c r="K309" s="1702"/>
      <c r="L309" s="1702"/>
      <c r="M309" s="1702"/>
      <c r="N309" s="8" t="s">
        <v>899</v>
      </c>
      <c r="O309" s="8"/>
      <c r="P309" s="1692"/>
      <c r="Q309" s="1692"/>
      <c r="R309" s="1692"/>
      <c r="S309" s="72"/>
      <c r="T309" s="72" t="s">
        <v>419</v>
      </c>
      <c r="V309" s="72"/>
      <c r="W309" s="72"/>
      <c r="X309" s="72"/>
      <c r="Y309" s="72"/>
      <c r="AA309" s="1701" t="s">
        <v>2416</v>
      </c>
      <c r="AB309" s="1702"/>
      <c r="AC309" s="1702"/>
      <c r="AD309" s="1702"/>
      <c r="AE309" s="1702"/>
      <c r="AF309" s="1702"/>
      <c r="AG309" s="8" t="s">
        <v>899</v>
      </c>
      <c r="AH309" s="8"/>
      <c r="AI309" s="1692"/>
      <c r="AJ309" s="1692"/>
      <c r="AK309" s="1692"/>
      <c r="BA309" s="75"/>
    </row>
    <row r="310" spans="1:53" ht="12.5">
      <c r="B310" s="72" t="s">
        <v>420</v>
      </c>
      <c r="C310" s="72"/>
      <c r="D310" s="72"/>
      <c r="E310" s="72"/>
      <c r="F310" s="72"/>
      <c r="G310" s="72"/>
      <c r="H310" s="1694" t="s">
        <v>136</v>
      </c>
      <c r="I310" s="1688"/>
      <c r="J310" s="1688"/>
      <c r="K310" s="1688"/>
      <c r="L310" s="1688"/>
      <c r="M310" s="1688"/>
      <c r="N310" s="74"/>
      <c r="O310" s="74"/>
      <c r="P310" s="76"/>
      <c r="Q310" s="76"/>
      <c r="R310" s="76"/>
      <c r="S310" s="72"/>
      <c r="T310" s="72" t="s">
        <v>420</v>
      </c>
      <c r="V310" s="72"/>
      <c r="W310" s="72"/>
      <c r="X310" s="72"/>
      <c r="Y310" s="72"/>
      <c r="AA310" s="1694" t="s">
        <v>2417</v>
      </c>
      <c r="AB310" s="1688"/>
      <c r="AC310" s="1688"/>
      <c r="AD310" s="1688"/>
      <c r="AE310" s="1688"/>
      <c r="AF310" s="1688"/>
      <c r="AG310" s="74"/>
      <c r="AH310" s="74"/>
      <c r="AI310" s="76"/>
      <c r="AJ310" s="76"/>
      <c r="AK310" s="76"/>
      <c r="BA310" s="75"/>
    </row>
    <row r="311" spans="1:53" ht="12.5">
      <c r="B311" s="72" t="s">
        <v>767</v>
      </c>
      <c r="C311" s="72"/>
      <c r="D311" s="72"/>
      <c r="E311" s="72"/>
      <c r="F311" s="72"/>
      <c r="G311" s="72"/>
      <c r="H311" s="1695" t="s">
        <v>2411</v>
      </c>
      <c r="I311" s="1696"/>
      <c r="J311" s="1696"/>
      <c r="K311" s="1696"/>
      <c r="L311" s="1696"/>
      <c r="M311" s="1696"/>
      <c r="N311" s="1698"/>
      <c r="O311" s="1698"/>
      <c r="P311" s="1698"/>
      <c r="Q311" s="1698"/>
      <c r="R311" s="1698"/>
      <c r="S311" s="72"/>
      <c r="T311" s="72" t="s">
        <v>767</v>
      </c>
      <c r="V311" s="72"/>
      <c r="W311" s="72"/>
      <c r="X311" s="72"/>
      <c r="Y311" s="72"/>
      <c r="AA311" s="1695" t="s">
        <v>2418</v>
      </c>
      <c r="AB311" s="1696"/>
      <c r="AC311" s="1696"/>
      <c r="AD311" s="1696"/>
      <c r="AE311" s="1696"/>
      <c r="AF311" s="1696"/>
      <c r="AG311" s="1698"/>
      <c r="AH311" s="1698"/>
      <c r="AI311" s="1698"/>
      <c r="AJ311" s="1698"/>
      <c r="AK311" s="1698"/>
      <c r="BA311" s="75"/>
    </row>
    <row r="312" spans="1:53" ht="12.5">
      <c r="BA312" s="75"/>
    </row>
    <row r="313" spans="1:53" ht="12.5">
      <c r="B313" s="8" t="s">
        <v>1268</v>
      </c>
      <c r="C313" s="72"/>
      <c r="D313" s="72"/>
      <c r="E313" s="72"/>
      <c r="F313" s="72"/>
      <c r="H313" s="1697" t="s">
        <v>2419</v>
      </c>
      <c r="I313" s="1698"/>
      <c r="J313" s="1698"/>
      <c r="K313" s="1698"/>
      <c r="L313" s="1698"/>
      <c r="M313" s="1698"/>
      <c r="N313" s="1698"/>
      <c r="O313" s="1698"/>
      <c r="P313" s="1698"/>
      <c r="Q313" s="1698"/>
      <c r="R313" s="1698"/>
      <c r="T313" s="72" t="s">
        <v>41</v>
      </c>
      <c r="V313" s="72"/>
      <c r="W313" s="72"/>
      <c r="X313" s="72"/>
      <c r="Y313" s="72"/>
      <c r="AA313" s="1697" t="s">
        <v>2406</v>
      </c>
      <c r="AB313" s="1698"/>
      <c r="AC313" s="1698"/>
      <c r="AD313" s="1698"/>
      <c r="AE313" s="1698"/>
      <c r="AF313" s="1698"/>
      <c r="AG313" s="1698"/>
      <c r="AH313" s="1698"/>
      <c r="AI313" s="1698"/>
      <c r="AJ313" s="1698"/>
      <c r="AK313" s="1698"/>
      <c r="BA313" s="75"/>
    </row>
    <row r="314" spans="1:53" ht="12.5">
      <c r="B314" s="72" t="s">
        <v>764</v>
      </c>
      <c r="C314" s="72"/>
      <c r="D314" s="72"/>
      <c r="E314" s="72"/>
      <c r="F314" s="72"/>
      <c r="H314" s="1695" t="s">
        <v>2420</v>
      </c>
      <c r="I314" s="1696"/>
      <c r="J314" s="1696"/>
      <c r="K314" s="1696"/>
      <c r="L314" s="1696"/>
      <c r="M314" s="1696"/>
      <c r="N314" s="1696"/>
      <c r="O314" s="1696"/>
      <c r="P314" s="1696"/>
      <c r="Q314" s="1696"/>
      <c r="R314" s="1696"/>
      <c r="T314" s="72" t="s">
        <v>764</v>
      </c>
      <c r="V314" s="72"/>
      <c r="W314" s="72"/>
      <c r="X314" s="72"/>
      <c r="Y314" s="72"/>
      <c r="AA314" s="1696"/>
      <c r="AB314" s="1696"/>
      <c r="AC314" s="1696"/>
      <c r="AD314" s="1696"/>
      <c r="AE314" s="1696"/>
      <c r="AF314" s="1696"/>
      <c r="AG314" s="1696"/>
      <c r="AH314" s="1696"/>
      <c r="AI314" s="1696"/>
      <c r="AJ314" s="1696"/>
      <c r="AK314" s="1696"/>
      <c r="BA314" s="75"/>
    </row>
    <row r="315" spans="1:53" ht="12.75" customHeight="1">
      <c r="B315" s="72" t="s">
        <v>766</v>
      </c>
      <c r="C315" s="72"/>
      <c r="D315" s="72"/>
      <c r="E315" s="72"/>
      <c r="F315" s="72"/>
      <c r="H315" s="1695" t="s">
        <v>2421</v>
      </c>
      <c r="I315" s="1696"/>
      <c r="J315" s="1696"/>
      <c r="K315" s="1696"/>
      <c r="L315" s="1696"/>
      <c r="M315" s="1696"/>
      <c r="N315" s="1696"/>
      <c r="O315" s="1696"/>
      <c r="P315" s="1696"/>
      <c r="Q315" s="1696"/>
      <c r="R315" s="1696"/>
      <c r="T315" s="72" t="s">
        <v>765</v>
      </c>
      <c r="V315" s="72"/>
      <c r="W315" s="72"/>
      <c r="X315" s="72"/>
      <c r="Y315" s="72"/>
      <c r="AA315" s="1696"/>
      <c r="AB315" s="1696"/>
      <c r="AC315" s="1696"/>
      <c r="AD315" s="1696"/>
      <c r="AE315" s="1696"/>
      <c r="AF315" s="1696"/>
      <c r="AG315" s="1696"/>
      <c r="AH315" s="1696"/>
      <c r="AI315" s="1696"/>
      <c r="AJ315" s="1696"/>
      <c r="AK315" s="1696"/>
      <c r="BA315" s="75"/>
    </row>
    <row r="316" spans="1:53" ht="12.75" customHeight="1">
      <c r="A316" s="50"/>
      <c r="B316" s="72" t="s">
        <v>418</v>
      </c>
      <c r="C316" s="72"/>
      <c r="D316" s="72"/>
      <c r="E316" s="72"/>
      <c r="F316" s="72"/>
      <c r="H316" s="1695" t="s">
        <v>2422</v>
      </c>
      <c r="I316" s="1696"/>
      <c r="J316" s="1696"/>
      <c r="K316" s="1696"/>
      <c r="L316" s="1696"/>
      <c r="M316" s="1696"/>
      <c r="N316" s="1696"/>
      <c r="O316" s="1696"/>
      <c r="P316" s="1696"/>
      <c r="Q316" s="1696"/>
      <c r="R316" s="1696"/>
      <c r="T316" s="72" t="s">
        <v>418</v>
      </c>
      <c r="V316" s="72"/>
      <c r="W316" s="72"/>
      <c r="X316" s="72"/>
      <c r="Y316" s="72"/>
      <c r="AA316" s="1696"/>
      <c r="AB316" s="1696"/>
      <c r="AC316" s="1696"/>
      <c r="AD316" s="1696"/>
      <c r="AE316" s="1696"/>
      <c r="AF316" s="1696"/>
      <c r="AG316" s="1696"/>
      <c r="AH316" s="1696"/>
      <c r="AI316" s="1696"/>
      <c r="AJ316" s="1696"/>
      <c r="AK316" s="1696"/>
      <c r="AL316" s="50"/>
      <c r="BA316" s="75"/>
    </row>
    <row r="317" spans="1:53" ht="12.75" customHeight="1">
      <c r="A317" s="50"/>
      <c r="B317" s="72" t="s">
        <v>419</v>
      </c>
      <c r="C317" s="72"/>
      <c r="D317" s="72"/>
      <c r="E317" s="72"/>
      <c r="F317" s="72"/>
      <c r="G317" s="72"/>
      <c r="H317" s="1701" t="s">
        <v>2423</v>
      </c>
      <c r="I317" s="1702"/>
      <c r="J317" s="1702"/>
      <c r="K317" s="1702"/>
      <c r="L317" s="1702"/>
      <c r="M317" s="1702"/>
      <c r="N317" s="8" t="s">
        <v>899</v>
      </c>
      <c r="O317" s="8"/>
      <c r="P317" s="1692"/>
      <c r="Q317" s="1692"/>
      <c r="R317" s="1692"/>
      <c r="S317" s="72"/>
      <c r="T317" s="72" t="s">
        <v>419</v>
      </c>
      <c r="V317" s="72"/>
      <c r="W317" s="72"/>
      <c r="X317" s="72"/>
      <c r="Y317" s="72"/>
      <c r="AA317" s="1702"/>
      <c r="AB317" s="1702"/>
      <c r="AC317" s="1702"/>
      <c r="AD317" s="1702"/>
      <c r="AE317" s="1702"/>
      <c r="AF317" s="1702"/>
      <c r="AG317" s="8" t="s">
        <v>899</v>
      </c>
      <c r="AH317" s="8"/>
      <c r="AI317" s="1692"/>
      <c r="AJ317" s="1692"/>
      <c r="AK317" s="1692"/>
      <c r="AL317" s="50"/>
      <c r="BA317" s="75"/>
    </row>
    <row r="318" spans="1:53" ht="12.75" customHeight="1">
      <c r="A318" s="50"/>
      <c r="B318" s="72" t="s">
        <v>420</v>
      </c>
      <c r="C318" s="72"/>
      <c r="D318" s="72"/>
      <c r="E318" s="72"/>
      <c r="F318" s="72"/>
      <c r="G318" s="72"/>
      <c r="H318" s="1694" t="s">
        <v>136</v>
      </c>
      <c r="I318" s="1688"/>
      <c r="J318" s="1688"/>
      <c r="K318" s="1688"/>
      <c r="L318" s="1688"/>
      <c r="M318" s="1688"/>
      <c r="N318" s="74"/>
      <c r="O318" s="74"/>
      <c r="P318" s="76"/>
      <c r="Q318" s="76"/>
      <c r="R318" s="76"/>
      <c r="S318" s="72"/>
      <c r="T318" s="72" t="s">
        <v>420</v>
      </c>
      <c r="V318" s="72"/>
      <c r="W318" s="72"/>
      <c r="X318" s="72"/>
      <c r="Y318" s="72"/>
      <c r="AA318" s="1688"/>
      <c r="AB318" s="1688"/>
      <c r="AC318" s="1688"/>
      <c r="AD318" s="1688"/>
      <c r="AE318" s="1688"/>
      <c r="AF318" s="1688"/>
      <c r="AG318" s="74"/>
      <c r="AH318" s="74"/>
      <c r="AI318" s="76"/>
      <c r="AJ318" s="76"/>
      <c r="AK318" s="76"/>
      <c r="AL318" s="50"/>
      <c r="BA318" s="75"/>
    </row>
    <row r="319" spans="1:53" ht="12.5">
      <c r="A319" s="50"/>
      <c r="B319" s="72" t="s">
        <v>767</v>
      </c>
      <c r="C319" s="72"/>
      <c r="D319" s="72"/>
      <c r="E319" s="72"/>
      <c r="F319" s="72"/>
      <c r="G319" s="72"/>
      <c r="H319" s="1695" t="s">
        <v>2424</v>
      </c>
      <c r="I319" s="1696"/>
      <c r="J319" s="1696"/>
      <c r="K319" s="1696"/>
      <c r="L319" s="1696"/>
      <c r="M319" s="1696"/>
      <c r="N319" s="1698"/>
      <c r="O319" s="1698"/>
      <c r="P319" s="1698"/>
      <c r="Q319" s="1698"/>
      <c r="R319" s="1698"/>
      <c r="S319" s="72"/>
      <c r="T319" s="72" t="s">
        <v>767</v>
      </c>
      <c r="V319" s="72"/>
      <c r="W319" s="72"/>
      <c r="X319" s="72"/>
      <c r="Y319" s="72"/>
      <c r="AA319" s="1696"/>
      <c r="AB319" s="1696"/>
      <c r="AC319" s="1696"/>
      <c r="AD319" s="1696"/>
      <c r="AE319" s="1696"/>
      <c r="AF319" s="1696"/>
      <c r="AG319" s="1698"/>
      <c r="AH319" s="1698"/>
      <c r="AI319" s="1698"/>
      <c r="AJ319" s="1698"/>
      <c r="AK319" s="1698"/>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1269</v>
      </c>
      <c r="C321" s="72"/>
      <c r="D321" s="72"/>
      <c r="E321" s="72"/>
      <c r="F321" s="72"/>
      <c r="H321" s="1697" t="s">
        <v>2425</v>
      </c>
      <c r="I321" s="1698"/>
      <c r="J321" s="1698"/>
      <c r="K321" s="1698"/>
      <c r="L321" s="1698"/>
      <c r="M321" s="1698"/>
      <c r="N321" s="1698"/>
      <c r="O321" s="1698"/>
      <c r="P321" s="1698"/>
      <c r="Q321" s="1698"/>
      <c r="R321" s="1698"/>
      <c r="T321" s="72" t="s">
        <v>42</v>
      </c>
      <c r="V321" s="72"/>
      <c r="W321" s="72"/>
      <c r="X321" s="72"/>
      <c r="Y321" s="72"/>
      <c r="AA321" s="1697" t="s">
        <v>2431</v>
      </c>
      <c r="AB321" s="1698"/>
      <c r="AC321" s="1698"/>
      <c r="AD321" s="1698"/>
      <c r="AE321" s="1698"/>
      <c r="AF321" s="1698"/>
      <c r="AG321" s="1698"/>
      <c r="AH321" s="1698"/>
      <c r="AI321" s="1698"/>
      <c r="AJ321" s="1698"/>
      <c r="AK321" s="1698"/>
      <c r="AL321" s="50"/>
      <c r="BA321" s="75"/>
    </row>
    <row r="322" spans="1:53" ht="12.5">
      <c r="A322" s="50"/>
      <c r="B322" s="72" t="s">
        <v>764</v>
      </c>
      <c r="C322" s="72"/>
      <c r="D322" s="72"/>
      <c r="E322" s="72"/>
      <c r="F322" s="72"/>
      <c r="H322" s="1695" t="s">
        <v>2426</v>
      </c>
      <c r="I322" s="1696"/>
      <c r="J322" s="1696"/>
      <c r="K322" s="1696"/>
      <c r="L322" s="1696"/>
      <c r="M322" s="1696"/>
      <c r="N322" s="1696"/>
      <c r="O322" s="1696"/>
      <c r="P322" s="1696"/>
      <c r="Q322" s="1696"/>
      <c r="R322" s="1696"/>
      <c r="T322" s="72" t="s">
        <v>764</v>
      </c>
      <c r="V322" s="72"/>
      <c r="W322" s="72"/>
      <c r="X322" s="72"/>
      <c r="Y322" s="72"/>
      <c r="AA322" s="1695" t="s">
        <v>2432</v>
      </c>
      <c r="AB322" s="1696"/>
      <c r="AC322" s="1696"/>
      <c r="AD322" s="1696"/>
      <c r="AE322" s="1696"/>
      <c r="AF322" s="1696"/>
      <c r="AG322" s="1696"/>
      <c r="AH322" s="1696"/>
      <c r="AI322" s="1696"/>
      <c r="AJ322" s="1696"/>
      <c r="AK322" s="1696"/>
      <c r="AL322" s="50"/>
      <c r="BA322" s="75"/>
    </row>
    <row r="323" spans="1:53" ht="12.5">
      <c r="A323" s="50"/>
      <c r="B323" s="72" t="s">
        <v>766</v>
      </c>
      <c r="C323" s="72"/>
      <c r="D323" s="72"/>
      <c r="E323" s="72"/>
      <c r="F323" s="72"/>
      <c r="H323" s="1695" t="s">
        <v>2427</v>
      </c>
      <c r="I323" s="1696"/>
      <c r="J323" s="1696"/>
      <c r="K323" s="1696"/>
      <c r="L323" s="1696"/>
      <c r="M323" s="1696"/>
      <c r="N323" s="1696"/>
      <c r="O323" s="1696"/>
      <c r="P323" s="1696"/>
      <c r="Q323" s="1696"/>
      <c r="R323" s="1696"/>
      <c r="T323" s="72" t="s">
        <v>765</v>
      </c>
      <c r="V323" s="72"/>
      <c r="W323" s="72"/>
      <c r="X323" s="72"/>
      <c r="Y323" s="72"/>
      <c r="AA323" s="1695" t="s">
        <v>2433</v>
      </c>
      <c r="AB323" s="1696"/>
      <c r="AC323" s="1696"/>
      <c r="AD323" s="1696"/>
      <c r="AE323" s="1696"/>
      <c r="AF323" s="1696"/>
      <c r="AG323" s="1696"/>
      <c r="AH323" s="1696"/>
      <c r="AI323" s="1696"/>
      <c r="AJ323" s="1696"/>
      <c r="AK323" s="1696"/>
      <c r="AL323" s="50"/>
      <c r="BA323" s="75"/>
    </row>
    <row r="324" spans="1:53" ht="12.5">
      <c r="A324" s="50"/>
      <c r="B324" s="72" t="s">
        <v>418</v>
      </c>
      <c r="C324" s="72"/>
      <c r="D324" s="72"/>
      <c r="E324" s="72"/>
      <c r="F324" s="72"/>
      <c r="H324" s="1695" t="s">
        <v>2428</v>
      </c>
      <c r="I324" s="1696"/>
      <c r="J324" s="1696"/>
      <c r="K324" s="1696"/>
      <c r="L324" s="1696"/>
      <c r="M324" s="1696"/>
      <c r="N324" s="1696"/>
      <c r="O324" s="1696"/>
      <c r="P324" s="1696"/>
      <c r="Q324" s="1696"/>
      <c r="R324" s="1696"/>
      <c r="T324" s="72" t="s">
        <v>418</v>
      </c>
      <c r="V324" s="72"/>
      <c r="W324" s="72"/>
      <c r="X324" s="72"/>
      <c r="Y324" s="72"/>
      <c r="AA324" s="1695" t="s">
        <v>2434</v>
      </c>
      <c r="AB324" s="1696"/>
      <c r="AC324" s="1696"/>
      <c r="AD324" s="1696"/>
      <c r="AE324" s="1696"/>
      <c r="AF324" s="1696"/>
      <c r="AG324" s="1696"/>
      <c r="AH324" s="1696"/>
      <c r="AI324" s="1696"/>
      <c r="AJ324" s="1696"/>
      <c r="AK324" s="1696"/>
      <c r="AL324" s="50"/>
      <c r="BA324" s="75"/>
    </row>
    <row r="325" spans="1:53" ht="12.5">
      <c r="A325" s="50"/>
      <c r="B325" s="72" t="s">
        <v>419</v>
      </c>
      <c r="C325" s="72"/>
      <c r="D325" s="72"/>
      <c r="E325" s="72"/>
      <c r="F325" s="72"/>
      <c r="G325" s="72"/>
      <c r="H325" s="1701" t="s">
        <v>2429</v>
      </c>
      <c r="I325" s="1702"/>
      <c r="J325" s="1702"/>
      <c r="K325" s="1702"/>
      <c r="L325" s="1702"/>
      <c r="M325" s="1702"/>
      <c r="N325" s="8" t="s">
        <v>899</v>
      </c>
      <c r="O325" s="8"/>
      <c r="P325" s="1692"/>
      <c r="Q325" s="1692"/>
      <c r="R325" s="1692"/>
      <c r="S325" s="72"/>
      <c r="T325" s="72" t="s">
        <v>419</v>
      </c>
      <c r="V325" s="72"/>
      <c r="W325" s="72"/>
      <c r="X325" s="72"/>
      <c r="Y325" s="72"/>
      <c r="AA325" s="1701" t="s">
        <v>2435</v>
      </c>
      <c r="AB325" s="1702"/>
      <c r="AC325" s="1702"/>
      <c r="AD325" s="1702"/>
      <c r="AE325" s="1702"/>
      <c r="AF325" s="1702"/>
      <c r="AG325" s="8" t="s">
        <v>899</v>
      </c>
      <c r="AH325" s="8"/>
      <c r="AI325" s="1692"/>
      <c r="AJ325" s="1692"/>
      <c r="AK325" s="1692"/>
      <c r="AL325" s="50"/>
      <c r="BA325" s="75"/>
    </row>
    <row r="326" spans="1:53" ht="12.5">
      <c r="A326" s="50"/>
      <c r="B326" s="72" t="s">
        <v>420</v>
      </c>
      <c r="C326" s="72"/>
      <c r="D326" s="72"/>
      <c r="E326" s="72"/>
      <c r="F326" s="72"/>
      <c r="G326" s="72"/>
      <c r="H326" s="1694" t="s">
        <v>136</v>
      </c>
      <c r="I326" s="1688"/>
      <c r="J326" s="1688"/>
      <c r="K326" s="1688"/>
      <c r="L326" s="1688"/>
      <c r="M326" s="1688"/>
      <c r="N326" s="74"/>
      <c r="O326" s="74"/>
      <c r="P326" s="76"/>
      <c r="Q326" s="76"/>
      <c r="R326" s="76"/>
      <c r="S326" s="72"/>
      <c r="T326" s="72" t="s">
        <v>420</v>
      </c>
      <c r="V326" s="72"/>
      <c r="W326" s="72"/>
      <c r="X326" s="72"/>
      <c r="Y326" s="72"/>
      <c r="AA326" s="1694" t="s">
        <v>2436</v>
      </c>
      <c r="AB326" s="1688"/>
      <c r="AC326" s="1688"/>
      <c r="AD326" s="1688"/>
      <c r="AE326" s="1688"/>
      <c r="AF326" s="1688"/>
      <c r="AG326" s="74"/>
      <c r="AH326" s="74"/>
      <c r="AI326" s="76"/>
      <c r="AJ326" s="76"/>
      <c r="AK326" s="76"/>
      <c r="AL326" s="50"/>
      <c r="BA326" s="75"/>
    </row>
    <row r="327" spans="1:53" ht="12.5">
      <c r="A327" s="50"/>
      <c r="B327" s="72" t="s">
        <v>767</v>
      </c>
      <c r="C327" s="72"/>
      <c r="D327" s="72"/>
      <c r="E327" s="72"/>
      <c r="F327" s="72"/>
      <c r="G327" s="72"/>
      <c r="H327" s="1695" t="s">
        <v>2430</v>
      </c>
      <c r="I327" s="1696"/>
      <c r="J327" s="1696"/>
      <c r="K327" s="1696"/>
      <c r="L327" s="1696"/>
      <c r="M327" s="1696"/>
      <c r="N327" s="1698"/>
      <c r="O327" s="1698"/>
      <c r="P327" s="1698"/>
      <c r="Q327" s="1698"/>
      <c r="R327" s="1698"/>
      <c r="S327" s="72"/>
      <c r="T327" s="72" t="s">
        <v>767</v>
      </c>
      <c r="V327" s="72"/>
      <c r="W327" s="72"/>
      <c r="X327" s="72"/>
      <c r="Y327" s="72"/>
      <c r="AA327" s="1695" t="s">
        <v>2437</v>
      </c>
      <c r="AB327" s="1696"/>
      <c r="AC327" s="1696"/>
      <c r="AD327" s="1696"/>
      <c r="AE327" s="1696"/>
      <c r="AF327" s="1696"/>
      <c r="AG327" s="1698"/>
      <c r="AH327" s="1698"/>
      <c r="AI327" s="1698"/>
      <c r="AJ327" s="1698"/>
      <c r="AK327" s="169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697" t="s">
        <v>2438</v>
      </c>
      <c r="I329" s="1698"/>
      <c r="J329" s="1698"/>
      <c r="K329" s="1698"/>
      <c r="L329" s="1698"/>
      <c r="M329" s="1698"/>
      <c r="N329" s="1698"/>
      <c r="O329" s="1698"/>
      <c r="P329" s="1698"/>
      <c r="Q329" s="1698"/>
      <c r="R329" s="1698"/>
      <c r="S329" s="723"/>
      <c r="T329" s="652" t="s">
        <v>1224</v>
      </c>
      <c r="V329" s="72"/>
      <c r="W329" s="72"/>
      <c r="X329" s="72"/>
      <c r="Y329" s="72"/>
      <c r="AA329" s="1697" t="s">
        <v>2444</v>
      </c>
      <c r="AB329" s="1698"/>
      <c r="AC329" s="1698"/>
      <c r="AD329" s="1698"/>
      <c r="AE329" s="1698"/>
      <c r="AF329" s="1698"/>
      <c r="AG329" s="1698"/>
      <c r="AH329" s="1698"/>
      <c r="AI329" s="1698"/>
      <c r="AJ329" s="1698"/>
      <c r="AK329" s="1698"/>
      <c r="AL329" s="50"/>
      <c r="BA329" s="75"/>
    </row>
    <row r="330" spans="1:53" ht="12.5">
      <c r="B330" s="72" t="s">
        <v>764</v>
      </c>
      <c r="C330" s="72"/>
      <c r="D330" s="72"/>
      <c r="E330" s="72"/>
      <c r="F330" s="72"/>
      <c r="H330" s="1695" t="s">
        <v>2439</v>
      </c>
      <c r="I330" s="1696"/>
      <c r="J330" s="1696"/>
      <c r="K330" s="1696"/>
      <c r="L330" s="1696"/>
      <c r="M330" s="1696"/>
      <c r="N330" s="1696"/>
      <c r="O330" s="1696"/>
      <c r="P330" s="1696"/>
      <c r="Q330" s="1696"/>
      <c r="R330" s="1696"/>
      <c r="S330" s="723"/>
      <c r="T330" s="72" t="s">
        <v>764</v>
      </c>
      <c r="V330" s="72"/>
      <c r="W330" s="72"/>
      <c r="X330" s="72"/>
      <c r="Y330" s="72"/>
      <c r="AA330" s="1695" t="s">
        <v>2383</v>
      </c>
      <c r="AB330" s="1696"/>
      <c r="AC330" s="1696"/>
      <c r="AD330" s="1696"/>
      <c r="AE330" s="1696"/>
      <c r="AF330" s="1696"/>
      <c r="AG330" s="1696"/>
      <c r="AH330" s="1696"/>
      <c r="AI330" s="1696"/>
      <c r="AJ330" s="1696"/>
      <c r="AK330" s="1696"/>
      <c r="AL330" s="50"/>
      <c r="BA330" s="75"/>
    </row>
    <row r="331" spans="1:53" ht="12.5">
      <c r="B331" s="72" t="s">
        <v>766</v>
      </c>
      <c r="C331" s="72"/>
      <c r="D331" s="72"/>
      <c r="E331" s="72"/>
      <c r="F331" s="72"/>
      <c r="G331" s="72"/>
      <c r="H331" s="1695" t="s">
        <v>2440</v>
      </c>
      <c r="I331" s="1696"/>
      <c r="J331" s="1696"/>
      <c r="K331" s="1696"/>
      <c r="L331" s="1696"/>
      <c r="M331" s="1696"/>
      <c r="N331" s="1696"/>
      <c r="O331" s="1696"/>
      <c r="P331" s="1696"/>
      <c r="Q331" s="1696"/>
      <c r="R331" s="1696"/>
      <c r="S331" s="723"/>
      <c r="T331" s="72" t="s">
        <v>765</v>
      </c>
      <c r="V331" s="72"/>
      <c r="W331" s="72"/>
      <c r="X331" s="72"/>
      <c r="Y331" s="72"/>
      <c r="AA331" s="1695" t="s">
        <v>2391</v>
      </c>
      <c r="AB331" s="1696"/>
      <c r="AC331" s="1696"/>
      <c r="AD331" s="1696"/>
      <c r="AE331" s="1696"/>
      <c r="AF331" s="1696"/>
      <c r="AG331" s="1696"/>
      <c r="AH331" s="1696"/>
      <c r="AI331" s="1696"/>
      <c r="AJ331" s="1696"/>
      <c r="AK331" s="1696"/>
      <c r="AL331" s="50"/>
      <c r="BA331" s="75"/>
    </row>
    <row r="332" spans="1:53" ht="12.5">
      <c r="A332" s="50"/>
      <c r="B332" s="72" t="s">
        <v>418</v>
      </c>
      <c r="C332" s="72"/>
      <c r="D332" s="72"/>
      <c r="E332" s="72"/>
      <c r="F332" s="72"/>
      <c r="H332" s="1696" t="str">
        <f>H329</f>
        <v>William King</v>
      </c>
      <c r="I332" s="1696"/>
      <c r="J332" s="1696"/>
      <c r="K332" s="1696"/>
      <c r="L332" s="1696"/>
      <c r="M332" s="1696"/>
      <c r="N332" s="1696"/>
      <c r="O332" s="1696"/>
      <c r="P332" s="1696"/>
      <c r="Q332" s="1696"/>
      <c r="R332" s="1696"/>
      <c r="S332" s="723"/>
      <c r="T332" s="72" t="s">
        <v>418</v>
      </c>
      <c r="V332" s="72"/>
      <c r="W332" s="72"/>
      <c r="X332" s="72"/>
      <c r="Y332" s="72"/>
      <c r="AA332" s="1695" t="s">
        <v>2372</v>
      </c>
      <c r="AB332" s="1696"/>
      <c r="AC332" s="1696"/>
      <c r="AD332" s="1696"/>
      <c r="AE332" s="1696"/>
      <c r="AF332" s="1696"/>
      <c r="AG332" s="1696"/>
      <c r="AH332" s="1696"/>
      <c r="AI332" s="1696"/>
      <c r="AJ332" s="1696"/>
      <c r="AK332" s="1696"/>
      <c r="AL332" s="50"/>
      <c r="BA332" s="75"/>
    </row>
    <row r="333" spans="1:53" ht="12.5">
      <c r="A333" s="50"/>
      <c r="B333" s="72" t="s">
        <v>419</v>
      </c>
      <c r="C333" s="72"/>
      <c r="D333" s="72"/>
      <c r="E333" s="72"/>
      <c r="F333" s="72"/>
      <c r="G333" s="72"/>
      <c r="H333" s="1701" t="s">
        <v>2441</v>
      </c>
      <c r="I333" s="1702"/>
      <c r="J333" s="1702"/>
      <c r="K333" s="1702"/>
      <c r="L333" s="1702"/>
      <c r="M333" s="1702"/>
      <c r="N333" s="8" t="s">
        <v>899</v>
      </c>
      <c r="O333" s="8"/>
      <c r="P333" s="1692"/>
      <c r="Q333" s="1692"/>
      <c r="R333" s="1692"/>
      <c r="S333" s="3"/>
      <c r="T333" s="72" t="s">
        <v>419</v>
      </c>
      <c r="V333" s="72"/>
      <c r="W333" s="72"/>
      <c r="X333" s="72"/>
      <c r="Y333" s="72"/>
      <c r="AA333" s="1701" t="s">
        <v>2385</v>
      </c>
      <c r="AB333" s="1702"/>
      <c r="AC333" s="1702"/>
      <c r="AD333" s="1702"/>
      <c r="AE333" s="1702"/>
      <c r="AF333" s="1702"/>
      <c r="AG333" s="8" t="s">
        <v>899</v>
      </c>
      <c r="AH333" s="8"/>
      <c r="AI333" s="1692"/>
      <c r="AJ333" s="1692"/>
      <c r="AK333" s="1692"/>
      <c r="AL333" s="50"/>
      <c r="BA333" s="75"/>
    </row>
    <row r="334" spans="1:53" ht="12.5">
      <c r="A334" s="50"/>
      <c r="B334" s="72" t="s">
        <v>420</v>
      </c>
      <c r="C334" s="72"/>
      <c r="D334" s="72"/>
      <c r="E334" s="72"/>
      <c r="F334" s="72"/>
      <c r="G334" s="72"/>
      <c r="H334" s="1694" t="s">
        <v>2442</v>
      </c>
      <c r="I334" s="1688"/>
      <c r="J334" s="1688"/>
      <c r="K334" s="1688"/>
      <c r="L334" s="1688"/>
      <c r="M334" s="1688"/>
      <c r="N334" s="74"/>
      <c r="O334" s="74"/>
      <c r="P334" s="76"/>
      <c r="Q334" s="76"/>
      <c r="R334" s="76"/>
      <c r="S334" s="3"/>
      <c r="T334" s="72" t="s">
        <v>420</v>
      </c>
      <c r="V334" s="72"/>
      <c r="W334" s="72"/>
      <c r="X334" s="72"/>
      <c r="Y334" s="72"/>
      <c r="AA334" s="1694" t="s">
        <v>2386</v>
      </c>
      <c r="AB334" s="1688"/>
      <c r="AC334" s="1688"/>
      <c r="AD334" s="1688"/>
      <c r="AE334" s="1688"/>
      <c r="AF334" s="1688"/>
      <c r="AG334" s="74"/>
      <c r="AH334" s="74"/>
      <c r="AI334" s="76"/>
      <c r="AJ334" s="76"/>
      <c r="AK334" s="76"/>
      <c r="AL334" s="50"/>
      <c r="BA334" s="75"/>
    </row>
    <row r="335" spans="1:53" ht="12.5">
      <c r="A335" s="50"/>
      <c r="B335" s="72" t="s">
        <v>767</v>
      </c>
      <c r="C335" s="72"/>
      <c r="D335" s="72"/>
      <c r="E335" s="72"/>
      <c r="F335" s="72"/>
      <c r="G335" s="72"/>
      <c r="H335" s="1695" t="s">
        <v>2443</v>
      </c>
      <c r="I335" s="1696"/>
      <c r="J335" s="1696"/>
      <c r="K335" s="1696"/>
      <c r="L335" s="1696"/>
      <c r="M335" s="1696"/>
      <c r="N335" s="1698"/>
      <c r="O335" s="1698"/>
      <c r="P335" s="1698"/>
      <c r="Q335" s="1698"/>
      <c r="R335" s="1698"/>
      <c r="S335" s="723"/>
      <c r="T335" s="72" t="s">
        <v>767</v>
      </c>
      <c r="V335" s="72"/>
      <c r="W335" s="72"/>
      <c r="X335" s="72"/>
      <c r="Y335" s="72"/>
      <c r="AA335" s="1695" t="s">
        <v>2387</v>
      </c>
      <c r="AB335" s="1696"/>
      <c r="AC335" s="1696"/>
      <c r="AD335" s="1696"/>
      <c r="AE335" s="1696"/>
      <c r="AF335" s="1696"/>
      <c r="AG335" s="1698"/>
      <c r="AH335" s="1698"/>
      <c r="AI335" s="1698"/>
      <c r="AJ335" s="1698"/>
      <c r="AK335" s="1698"/>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7" t="s">
        <v>136</v>
      </c>
      <c r="I337" s="1698"/>
      <c r="J337" s="1698"/>
      <c r="K337" s="1698"/>
      <c r="L337" s="1698"/>
      <c r="M337" s="1698"/>
      <c r="N337" s="1698"/>
      <c r="O337" s="1698"/>
      <c r="P337" s="1698"/>
      <c r="Q337" s="1698"/>
      <c r="R337" s="1698"/>
      <c r="T337" s="596" t="s">
        <v>1267</v>
      </c>
      <c r="AA337" s="1697" t="s">
        <v>136</v>
      </c>
      <c r="AB337" s="1698"/>
      <c r="AC337" s="1698"/>
      <c r="AD337" s="1698"/>
      <c r="AE337" s="1698"/>
      <c r="AF337" s="1698"/>
      <c r="AG337" s="1698"/>
      <c r="AH337" s="1698"/>
      <c r="AI337" s="1698"/>
      <c r="AJ337" s="1698"/>
      <c r="AK337" s="1698"/>
      <c r="AL337" s="50"/>
      <c r="BA337" s="75"/>
    </row>
    <row r="338" spans="1:53" ht="12.5">
      <c r="A338" s="50"/>
      <c r="B338" s="596" t="s">
        <v>764</v>
      </c>
      <c r="C338" s="596"/>
      <c r="D338" s="596"/>
      <c r="E338" s="596"/>
      <c r="F338" s="596"/>
      <c r="G338" s="597"/>
      <c r="H338" s="1696"/>
      <c r="I338" s="1696"/>
      <c r="J338" s="1696"/>
      <c r="K338" s="1696"/>
      <c r="L338" s="1696"/>
      <c r="M338" s="1696"/>
      <c r="N338" s="1696"/>
      <c r="O338" s="1696"/>
      <c r="P338" s="1696"/>
      <c r="Q338" s="1696"/>
      <c r="R338" s="1696"/>
      <c r="T338" s="72" t="s">
        <v>764</v>
      </c>
      <c r="AA338" s="1696"/>
      <c r="AB338" s="1696"/>
      <c r="AC338" s="1696"/>
      <c r="AD338" s="1696"/>
      <c r="AE338" s="1696"/>
      <c r="AF338" s="1696"/>
      <c r="AG338" s="1696"/>
      <c r="AH338" s="1696"/>
      <c r="AI338" s="1696"/>
      <c r="AJ338" s="1696"/>
      <c r="AK338" s="1696"/>
      <c r="AL338" s="50"/>
      <c r="BA338" s="75"/>
    </row>
    <row r="339" spans="1:53" ht="12.5">
      <c r="A339" s="50"/>
      <c r="B339" s="596" t="s">
        <v>766</v>
      </c>
      <c r="C339" s="596"/>
      <c r="D339" s="596"/>
      <c r="E339" s="596"/>
      <c r="F339" s="596"/>
      <c r="G339" s="596"/>
      <c r="H339" s="1696"/>
      <c r="I339" s="1696"/>
      <c r="J339" s="1696"/>
      <c r="K339" s="1696"/>
      <c r="L339" s="1696"/>
      <c r="M339" s="1696"/>
      <c r="N339" s="1696"/>
      <c r="O339" s="1696"/>
      <c r="P339" s="1696"/>
      <c r="Q339" s="1696"/>
      <c r="R339" s="1696"/>
      <c r="T339" s="72" t="s">
        <v>765</v>
      </c>
      <c r="AA339" s="1696"/>
      <c r="AB339" s="1696"/>
      <c r="AC339" s="1696"/>
      <c r="AD339" s="1696"/>
      <c r="AE339" s="1696"/>
      <c r="AF339" s="1696"/>
      <c r="AG339" s="1696"/>
      <c r="AH339" s="1696"/>
      <c r="AI339" s="1696"/>
      <c r="AJ339" s="1696"/>
      <c r="AK339" s="1696"/>
      <c r="AL339" s="50"/>
    </row>
    <row r="340" spans="1:53" ht="12.5">
      <c r="A340" s="50"/>
      <c r="B340" s="596" t="s">
        <v>418</v>
      </c>
      <c r="C340" s="596"/>
      <c r="D340" s="596"/>
      <c r="E340" s="596"/>
      <c r="F340" s="596"/>
      <c r="G340" s="597"/>
      <c r="H340" s="1696"/>
      <c r="I340" s="1696"/>
      <c r="J340" s="1696"/>
      <c r="K340" s="1696"/>
      <c r="L340" s="1696"/>
      <c r="M340" s="1696"/>
      <c r="N340" s="1696"/>
      <c r="O340" s="1696"/>
      <c r="P340" s="1696"/>
      <c r="Q340" s="1696"/>
      <c r="R340" s="1696"/>
      <c r="T340" s="72" t="s">
        <v>418</v>
      </c>
      <c r="AA340" s="1696"/>
      <c r="AB340" s="1696"/>
      <c r="AC340" s="1696"/>
      <c r="AD340" s="1696"/>
      <c r="AE340" s="1696"/>
      <c r="AF340" s="1696"/>
      <c r="AG340" s="1696"/>
      <c r="AH340" s="1696"/>
      <c r="AI340" s="1696"/>
      <c r="AJ340" s="1696"/>
      <c r="AK340" s="1696"/>
      <c r="AL340" s="50"/>
    </row>
    <row r="341" spans="1:53" ht="12.5">
      <c r="A341" s="50"/>
      <c r="B341" s="596" t="s">
        <v>419</v>
      </c>
      <c r="C341" s="596"/>
      <c r="D341" s="596"/>
      <c r="E341" s="596"/>
      <c r="F341" s="596"/>
      <c r="G341" s="596"/>
      <c r="H341" s="1702"/>
      <c r="I341" s="1702"/>
      <c r="J341" s="1702"/>
      <c r="K341" s="1702"/>
      <c r="L341" s="1702"/>
      <c r="M341" s="1702"/>
      <c r="N341" s="8" t="s">
        <v>899</v>
      </c>
      <c r="O341" s="8"/>
      <c r="P341" s="1692"/>
      <c r="Q341" s="1692"/>
      <c r="R341" s="1692"/>
      <c r="T341" s="72" t="s">
        <v>419</v>
      </c>
      <c r="AA341" s="1702"/>
      <c r="AB341" s="1702"/>
      <c r="AC341" s="1702"/>
      <c r="AD341" s="1702"/>
      <c r="AE341" s="1702"/>
      <c r="AF341" s="1702"/>
      <c r="AG341" s="8" t="s">
        <v>899</v>
      </c>
      <c r="AH341" s="8"/>
      <c r="AI341" s="1692"/>
      <c r="AJ341" s="1692"/>
      <c r="AK341" s="1692"/>
      <c r="AL341" s="50"/>
    </row>
    <row r="342" spans="1:53" ht="12.5">
      <c r="A342" s="50"/>
      <c r="B342" s="596" t="s">
        <v>420</v>
      </c>
      <c r="C342" s="596"/>
      <c r="D342" s="596"/>
      <c r="E342" s="596"/>
      <c r="F342" s="596"/>
      <c r="G342" s="596"/>
      <c r="H342" s="1688"/>
      <c r="I342" s="1688"/>
      <c r="J342" s="1688"/>
      <c r="K342" s="1688"/>
      <c r="L342" s="1688"/>
      <c r="M342" s="1688"/>
      <c r="N342" s="74"/>
      <c r="O342" s="74"/>
      <c r="P342" s="76"/>
      <c r="Q342" s="76"/>
      <c r="R342" s="76"/>
      <c r="T342" s="72" t="s">
        <v>420</v>
      </c>
      <c r="AA342" s="1688"/>
      <c r="AB342" s="1688"/>
      <c r="AC342" s="1688"/>
      <c r="AD342" s="1688"/>
      <c r="AE342" s="1688"/>
      <c r="AF342" s="1688"/>
      <c r="AG342" s="74"/>
      <c r="AH342" s="74"/>
      <c r="AI342" s="76"/>
      <c r="AJ342" s="76"/>
      <c r="AK342" s="76"/>
      <c r="AL342" s="50"/>
    </row>
    <row r="343" spans="1:53" ht="12.75" customHeight="1">
      <c r="A343" s="50"/>
      <c r="B343" s="596" t="s">
        <v>767</v>
      </c>
      <c r="C343" s="596"/>
      <c r="D343" s="596"/>
      <c r="E343" s="596"/>
      <c r="F343" s="596"/>
      <c r="G343" s="596"/>
      <c r="H343" s="1696"/>
      <c r="I343" s="1696"/>
      <c r="J343" s="1696"/>
      <c r="K343" s="1696"/>
      <c r="L343" s="1696"/>
      <c r="M343" s="1696"/>
      <c r="N343" s="1698"/>
      <c r="O343" s="1698"/>
      <c r="P343" s="1698"/>
      <c r="Q343" s="1698"/>
      <c r="R343" s="1698"/>
      <c r="T343" s="72" t="s">
        <v>767</v>
      </c>
      <c r="AA343" s="1696"/>
      <c r="AB343" s="1696"/>
      <c r="AC343" s="1696"/>
      <c r="AD343" s="1696"/>
      <c r="AE343" s="1696"/>
      <c r="AF343" s="1696"/>
      <c r="AG343" s="1698"/>
      <c r="AH343" s="1698"/>
      <c r="AI343" s="1698"/>
      <c r="AJ343" s="1698"/>
      <c r="AK343" s="1698"/>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703" t="s">
        <v>546</v>
      </c>
      <c r="B345" s="1703"/>
      <c r="C345" s="1703"/>
      <c r="D345" s="1703"/>
      <c r="E345" s="1703"/>
      <c r="F345" s="1703"/>
      <c r="G345" s="1703"/>
      <c r="H345" s="1703"/>
      <c r="I345" s="1703"/>
      <c r="J345" s="1703"/>
      <c r="K345" s="1703"/>
      <c r="L345" s="1703"/>
      <c r="M345" s="1703"/>
      <c r="N345" s="1703"/>
      <c r="O345" s="1703"/>
      <c r="P345" s="1703"/>
      <c r="Q345" s="1703"/>
      <c r="R345" s="1703"/>
      <c r="S345" s="1703"/>
      <c r="T345" s="1703"/>
      <c r="U345" s="1703"/>
      <c r="V345" s="1703"/>
      <c r="W345" s="1703"/>
      <c r="X345" s="1703"/>
      <c r="Y345" s="1703"/>
      <c r="Z345" s="1703"/>
      <c r="AA345" s="1703"/>
      <c r="AB345" s="1703"/>
      <c r="AC345" s="1703"/>
      <c r="AD345" s="1703"/>
      <c r="AE345" s="1703"/>
      <c r="AF345" s="1703"/>
      <c r="AG345" s="1703"/>
      <c r="AH345" s="1703"/>
      <c r="AI345" s="1703"/>
      <c r="AJ345" s="1703"/>
      <c r="AK345" s="1703"/>
      <c r="AL345" s="1703"/>
    </row>
    <row r="346" spans="1:53" ht="12.75" customHeight="1" thickBot="1">
      <c r="A346" s="1704"/>
      <c r="B346" s="1704"/>
      <c r="C346" s="1704"/>
      <c r="D346" s="1704"/>
      <c r="E346" s="1704"/>
      <c r="F346" s="1704"/>
      <c r="G346" s="1704"/>
      <c r="H346" s="1704"/>
      <c r="I346" s="1704"/>
      <c r="J346" s="1704"/>
      <c r="K346" s="1704"/>
      <c r="L346" s="1704"/>
      <c r="M346" s="1704"/>
      <c r="N346" s="1704"/>
      <c r="O346" s="1704"/>
      <c r="P346" s="1704"/>
      <c r="Q346" s="1704"/>
      <c r="R346" s="1704"/>
      <c r="S346" s="1704"/>
      <c r="T346" s="1704"/>
      <c r="U346" s="1704"/>
      <c r="V346" s="1704"/>
      <c r="W346" s="1704"/>
      <c r="X346" s="1704"/>
      <c r="Y346" s="1704"/>
      <c r="Z346" s="1704"/>
      <c r="AA346" s="1704"/>
      <c r="AB346" s="1704"/>
      <c r="AC346" s="1704"/>
      <c r="AD346" s="1704"/>
      <c r="AE346" s="1704"/>
      <c r="AF346" s="1704"/>
      <c r="AG346" s="1704"/>
      <c r="AH346" s="1704"/>
      <c r="AI346" s="1704"/>
      <c r="AJ346" s="1704"/>
      <c r="AK346" s="1704"/>
      <c r="AL346" s="1704"/>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718</v>
      </c>
      <c r="B348" s="63"/>
      <c r="C348" s="63" t="s">
        <v>590</v>
      </c>
      <c r="K348" s="35"/>
      <c r="L348" s="35"/>
    </row>
    <row r="349" spans="1:53" ht="12.75" customHeight="1">
      <c r="D349" s="16" t="s">
        <v>45</v>
      </c>
      <c r="M349" s="1699" t="s">
        <v>119</v>
      </c>
      <c r="N349" s="1699"/>
      <c r="P349" s="16" t="s">
        <v>2249</v>
      </c>
      <c r="AJ349" s="1699" t="s">
        <v>119</v>
      </c>
      <c r="AK349" s="1699"/>
    </row>
    <row r="350" spans="1:53" ht="12.75" customHeight="1">
      <c r="D350" s="72" t="s">
        <v>2155</v>
      </c>
      <c r="M350" s="1699" t="s">
        <v>136</v>
      </c>
      <c r="N350" s="1699"/>
      <c r="P350" s="72" t="s">
        <v>2250</v>
      </c>
      <c r="AJ350" s="1725">
        <v>10</v>
      </c>
      <c r="AK350" s="1725"/>
    </row>
    <row r="351" spans="1:53" ht="12.75" customHeight="1">
      <c r="D351" s="16" t="s">
        <v>349</v>
      </c>
      <c r="M351" s="1699" t="s">
        <v>136</v>
      </c>
      <c r="N351" s="1699"/>
      <c r="P351" s="16" t="s">
        <v>2251</v>
      </c>
      <c r="AJ351" s="1699" t="s">
        <v>119</v>
      </c>
      <c r="AK351" s="1699"/>
    </row>
    <row r="352" spans="1:53" ht="12.75" customHeight="1">
      <c r="D352" s="16" t="s">
        <v>350</v>
      </c>
      <c r="M352" s="1699" t="s">
        <v>136</v>
      </c>
      <c r="N352" s="1699"/>
      <c r="Q352" s="72"/>
    </row>
    <row r="353" spans="1:57" ht="12.75" customHeight="1">
      <c r="P353" s="597"/>
      <c r="Q353" s="596"/>
      <c r="R353" s="597"/>
    </row>
    <row r="354" spans="1:57" ht="12.75" customHeight="1"/>
    <row r="355" spans="1:57" ht="13">
      <c r="A355" s="63" t="s">
        <v>8</v>
      </c>
      <c r="B355" s="63"/>
      <c r="C355" s="63" t="s">
        <v>979</v>
      </c>
      <c r="D355" s="63"/>
    </row>
    <row r="356" spans="1:57" ht="12.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99" t="s">
        <v>136</v>
      </c>
      <c r="O357" s="1699"/>
      <c r="P357" s="83"/>
      <c r="Q357" s="83"/>
      <c r="R357" s="83"/>
      <c r="S357" s="83"/>
      <c r="T357" s="83"/>
      <c r="U357" s="83"/>
      <c r="V357" s="83"/>
      <c r="W357" s="83"/>
      <c r="X357" s="83"/>
      <c r="Y357" s="84"/>
      <c r="Z357" s="84"/>
      <c r="AC357" s="83"/>
      <c r="AD357" s="83"/>
      <c r="AE357" s="83"/>
    </row>
    <row r="358" spans="1:57" ht="12.5">
      <c r="E358" s="16" t="s">
        <v>799</v>
      </c>
      <c r="Y358" s="1699" t="s">
        <v>136</v>
      </c>
      <c r="Z358" s="1699"/>
    </row>
    <row r="359" spans="1:57" ht="12.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997</v>
      </c>
      <c r="E360" s="83"/>
      <c r="F360" s="83"/>
      <c r="G360" s="83"/>
      <c r="H360" s="83"/>
      <c r="I360" s="83"/>
      <c r="J360" s="1699" t="s">
        <v>136</v>
      </c>
      <c r="K360" s="1699"/>
      <c r="L360" s="83"/>
      <c r="M360" s="83"/>
      <c r="N360" s="83"/>
      <c r="O360" s="83"/>
      <c r="P360" s="83"/>
      <c r="Q360" s="83"/>
      <c r="R360" s="83"/>
      <c r="S360" s="83"/>
      <c r="T360" s="83"/>
      <c r="U360" s="83"/>
      <c r="V360" s="83"/>
      <c r="W360" s="83"/>
      <c r="X360" s="83"/>
      <c r="Y360" s="83"/>
      <c r="Z360" s="83"/>
      <c r="AC360" s="83"/>
      <c r="AD360" s="83"/>
      <c r="AE360" s="83"/>
    </row>
    <row r="361" spans="1:57" ht="12.5">
      <c r="E361" s="1581" t="s">
        <v>351</v>
      </c>
      <c r="F361" s="1581"/>
      <c r="G361" s="1581"/>
      <c r="H361" s="1581"/>
      <c r="I361" s="1581"/>
      <c r="J361" s="1581"/>
      <c r="K361" s="1581"/>
      <c r="L361" s="1581"/>
      <c r="M361" s="1581"/>
      <c r="N361" s="1581"/>
      <c r="O361" s="1581"/>
      <c r="P361" s="1581"/>
      <c r="Q361" s="1581"/>
      <c r="R361" s="1581"/>
      <c r="S361" s="1581"/>
      <c r="T361" s="1581"/>
      <c r="U361" s="1581"/>
      <c r="V361" s="1581"/>
      <c r="W361" s="1581"/>
      <c r="X361" s="1581"/>
      <c r="Y361" s="1581"/>
      <c r="Z361" s="1581"/>
      <c r="AA361" s="1581"/>
      <c r="AB361" s="1581"/>
      <c r="AC361" s="1581"/>
      <c r="AD361" s="1581"/>
      <c r="AE361" s="1581"/>
      <c r="AF361" s="1581"/>
      <c r="AG361" s="1581"/>
      <c r="AH361" s="1581"/>
      <c r="BE361" s="16" t="s">
        <v>136</v>
      </c>
    </row>
    <row r="362" spans="1:57" ht="12.5">
      <c r="E362" s="1581"/>
      <c r="F362" s="1581"/>
      <c r="G362" s="1581"/>
      <c r="H362" s="1581"/>
      <c r="I362" s="1581"/>
      <c r="J362" s="1581"/>
      <c r="K362" s="1581"/>
      <c r="L362" s="1581"/>
      <c r="M362" s="1581"/>
      <c r="N362" s="1581"/>
      <c r="O362" s="1581"/>
      <c r="P362" s="1581"/>
      <c r="Q362" s="1581"/>
      <c r="R362" s="1581"/>
      <c r="S362" s="1581"/>
      <c r="T362" s="1581"/>
      <c r="U362" s="1581"/>
      <c r="V362" s="1581"/>
      <c r="W362" s="1581"/>
      <c r="X362" s="1581"/>
      <c r="Y362" s="1581"/>
      <c r="Z362" s="1581"/>
      <c r="AA362" s="1581"/>
      <c r="AB362" s="1581"/>
      <c r="AC362" s="1581"/>
      <c r="AD362" s="1581"/>
      <c r="AE362" s="1581"/>
      <c r="AF362" s="1581"/>
      <c r="AG362" s="1581"/>
      <c r="AH362" s="1581"/>
      <c r="BE362" s="16" t="s">
        <v>531</v>
      </c>
    </row>
    <row r="363" spans="1:57" ht="12.75" customHeight="1">
      <c r="E363" s="8" t="s">
        <v>655</v>
      </c>
      <c r="F363" s="8"/>
      <c r="G363" s="8"/>
      <c r="H363" s="8"/>
      <c r="I363" s="8"/>
      <c r="J363" s="8"/>
      <c r="K363" s="8"/>
      <c r="L363" s="8"/>
      <c r="N363" s="1892"/>
      <c r="O363" s="1892"/>
      <c r="P363" s="1892"/>
      <c r="Q363" s="1892"/>
      <c r="R363" s="8"/>
      <c r="U363" s="8" t="s">
        <v>656</v>
      </c>
      <c r="V363" s="8"/>
      <c r="W363" s="8"/>
      <c r="X363" s="8"/>
      <c r="Y363" s="8"/>
      <c r="Z363" s="8"/>
      <c r="AA363" s="8"/>
      <c r="AB363" s="8"/>
      <c r="AC363" s="1892"/>
      <c r="AD363" s="1892"/>
      <c r="AE363" s="1892"/>
      <c r="AF363" s="1892"/>
      <c r="BE363" s="16" t="s">
        <v>119</v>
      </c>
    </row>
    <row r="364" spans="1:57" ht="12.5">
      <c r="E364" s="8" t="s">
        <v>657</v>
      </c>
      <c r="F364" s="8"/>
      <c r="G364" s="8"/>
      <c r="H364" s="8"/>
      <c r="I364" s="8"/>
      <c r="J364" s="8"/>
      <c r="K364" s="8"/>
      <c r="L364" s="8"/>
      <c r="N364" s="1892"/>
      <c r="O364" s="1892"/>
      <c r="P364" s="1892"/>
      <c r="Q364" s="1892"/>
      <c r="R364" s="8"/>
      <c r="U364" s="8" t="s">
        <v>658</v>
      </c>
      <c r="V364" s="8"/>
      <c r="W364" s="8"/>
      <c r="X364" s="8"/>
      <c r="Y364" s="8"/>
      <c r="Z364" s="8"/>
      <c r="AA364" s="8"/>
      <c r="AB364" s="8"/>
      <c r="AC364" s="1892"/>
      <c r="AD364" s="1892"/>
      <c r="AE364" s="1892"/>
      <c r="AF364" s="1892"/>
    </row>
    <row r="365" spans="1:57" ht="12.75" customHeight="1">
      <c r="E365" s="8" t="s">
        <v>69</v>
      </c>
      <c r="F365" s="8"/>
      <c r="G365" s="8"/>
      <c r="H365" s="8"/>
      <c r="I365" s="8"/>
      <c r="J365" s="8"/>
      <c r="K365" s="8"/>
      <c r="L365" s="8"/>
      <c r="N365" s="1892"/>
      <c r="O365" s="1892"/>
      <c r="P365" s="1892"/>
      <c r="Q365" s="1892"/>
      <c r="R365" s="8"/>
      <c r="V365" s="8"/>
      <c r="W365" s="8"/>
      <c r="X365" s="8"/>
      <c r="Y365" s="8"/>
      <c r="Z365" s="8"/>
      <c r="AA365" s="8"/>
      <c r="AB365" s="8"/>
    </row>
    <row r="366" spans="1:57" ht="12.5">
      <c r="E366" s="8" t="s">
        <v>70</v>
      </c>
      <c r="F366" s="8"/>
      <c r="G366" s="8"/>
      <c r="H366" s="8"/>
      <c r="I366" s="8"/>
      <c r="J366" s="8"/>
      <c r="K366" s="8"/>
      <c r="L366" s="8"/>
      <c r="N366" s="1908"/>
      <c r="O366" s="1908"/>
      <c r="P366" s="1908"/>
      <c r="Q366" s="1908"/>
      <c r="R366" s="1908"/>
      <c r="S366" s="1908"/>
      <c r="T366" s="1908"/>
      <c r="U366" s="1908"/>
      <c r="V366" s="1908"/>
      <c r="W366" s="1908"/>
      <c r="X366" s="1908"/>
      <c r="Y366" s="1908"/>
      <c r="Z366" s="1908"/>
      <c r="AA366" s="1908"/>
      <c r="AB366" s="1908"/>
      <c r="AC366" s="1908"/>
      <c r="AD366" s="1908"/>
      <c r="AE366" s="1908"/>
      <c r="AF366" s="1908"/>
    </row>
    <row r="367" spans="1:57" ht="12.5">
      <c r="E367" s="8"/>
      <c r="F367" s="8"/>
      <c r="G367" s="8"/>
      <c r="H367" s="8"/>
      <c r="I367" s="8"/>
      <c r="J367" s="8"/>
      <c r="K367" s="8"/>
      <c r="L367" s="8"/>
      <c r="N367" s="1909"/>
      <c r="O367" s="1909"/>
      <c r="P367" s="1909"/>
      <c r="Q367" s="1909"/>
      <c r="R367" s="1909"/>
      <c r="S367" s="1909"/>
      <c r="T367" s="1909"/>
      <c r="U367" s="1909"/>
      <c r="V367" s="1909"/>
      <c r="W367" s="1909"/>
      <c r="X367" s="1909"/>
      <c r="Y367" s="1909"/>
      <c r="Z367" s="1909"/>
      <c r="AA367" s="1909"/>
      <c r="AB367" s="1909"/>
      <c r="AC367" s="1909"/>
      <c r="AD367" s="1909"/>
      <c r="AE367" s="1909"/>
      <c r="AF367" s="1909"/>
    </row>
    <row r="368" spans="1:57" ht="12.5">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1" t="s">
        <v>257</v>
      </c>
      <c r="O370" s="597"/>
      <c r="P370" s="781"/>
      <c r="Q370" s="781" t="s">
        <v>258</v>
      </c>
      <c r="R370" s="597"/>
      <c r="S370" s="1896"/>
      <c r="T370" s="1896"/>
      <c r="U370" s="780" t="s">
        <v>259</v>
      </c>
      <c r="V370" s="1896"/>
      <c r="W370" s="1896"/>
      <c r="X370" s="597"/>
      <c r="Y370" s="781" t="s">
        <v>257</v>
      </c>
      <c r="Z370" s="597"/>
      <c r="AA370" s="781"/>
      <c r="AB370" s="781" t="s">
        <v>258</v>
      </c>
      <c r="AC370" s="597"/>
      <c r="AD370" s="1896"/>
      <c r="AE370" s="1896"/>
      <c r="AF370" s="780" t="s">
        <v>259</v>
      </c>
      <c r="AG370" s="1896"/>
      <c r="AH370" s="1896"/>
    </row>
    <row r="371" spans="1:36" ht="12.75" customHeight="1">
      <c r="D371" s="597"/>
      <c r="E371" s="596" t="s">
        <v>1366</v>
      </c>
      <c r="F371" s="596"/>
      <c r="G371" s="596"/>
      <c r="H371" s="596"/>
      <c r="I371" s="596"/>
      <c r="J371" s="596"/>
      <c r="K371" s="596"/>
      <c r="L371" s="596"/>
      <c r="M371" s="597"/>
      <c r="N371" s="1896"/>
      <c r="O371" s="1896"/>
      <c r="P371" s="189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91" t="s">
        <v>136</v>
      </c>
      <c r="AH372" s="1891"/>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91" t="s">
        <v>136</v>
      </c>
      <c r="AH373" s="1891"/>
    </row>
    <row r="374" spans="1:36" ht="12.75" customHeight="1">
      <c r="D374" s="597"/>
      <c r="E374" s="596"/>
      <c r="F374" s="596"/>
      <c r="G374" s="814" t="s">
        <v>1419</v>
      </c>
      <c r="H374" s="596"/>
      <c r="I374" s="596"/>
      <c r="J374" s="596"/>
      <c r="K374" s="596"/>
      <c r="L374" s="596"/>
      <c r="M374" s="597"/>
      <c r="N374" s="597"/>
      <c r="O374" s="597"/>
      <c r="P374" s="597"/>
      <c r="Q374" s="597"/>
      <c r="R374" s="597"/>
      <c r="S374" s="597"/>
      <c r="T374" s="597"/>
      <c r="U374" s="597"/>
      <c r="V374" s="1891" t="s">
        <v>136</v>
      </c>
      <c r="W374" s="1891"/>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1891" t="s">
        <v>136</v>
      </c>
      <c r="W375" s="1891"/>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7" t="s">
        <v>2444</v>
      </c>
      <c r="K378" s="1698"/>
      <c r="L378" s="1698"/>
      <c r="M378" s="1698"/>
      <c r="N378" s="1698"/>
      <c r="O378" s="1698"/>
      <c r="P378" s="1698"/>
      <c r="Q378" s="1698"/>
      <c r="R378" s="1698"/>
      <c r="S378" s="1698"/>
      <c r="T378" s="1698"/>
      <c r="U378" s="1698"/>
      <c r="V378" s="18" t="s">
        <v>776</v>
      </c>
      <c r="W378" s="18"/>
      <c r="X378" s="18"/>
      <c r="Y378" s="18"/>
      <c r="Z378" s="18"/>
      <c r="AA378" s="18"/>
      <c r="AB378" s="18"/>
      <c r="AC378" s="1697" t="s">
        <v>2372</v>
      </c>
      <c r="AD378" s="1698"/>
      <c r="AE378" s="1698"/>
      <c r="AF378" s="1698"/>
      <c r="AG378" s="1698"/>
      <c r="AH378" s="1698"/>
      <c r="AI378" s="1698"/>
      <c r="AJ378" s="1698"/>
    </row>
    <row r="379" spans="1:36" ht="12.75" customHeight="1">
      <c r="D379" s="72" t="s">
        <v>2252</v>
      </c>
      <c r="J379" s="1695" t="str">
        <f>AC378</f>
        <v>Denise M. Wise</v>
      </c>
      <c r="K379" s="1696"/>
      <c r="L379" s="1696"/>
      <c r="M379" s="1696"/>
      <c r="N379" s="1696"/>
      <c r="O379" s="1696"/>
      <c r="P379" s="1696"/>
      <c r="Q379" s="1696"/>
      <c r="R379" s="1696"/>
      <c r="S379" s="1696"/>
      <c r="T379" s="1696"/>
      <c r="U379" s="1696"/>
      <c r="V379" s="72" t="s">
        <v>2252</v>
      </c>
      <c r="W379" s="18"/>
      <c r="X379" s="18"/>
      <c r="Y379" s="18"/>
      <c r="Z379" s="18"/>
      <c r="AA379" s="18"/>
      <c r="AB379" s="18"/>
      <c r="AC379" s="1698" t="str">
        <f>AC378</f>
        <v>Denise M. Wise</v>
      </c>
      <c r="AD379" s="1698"/>
      <c r="AE379" s="1698"/>
      <c r="AF379" s="1698"/>
      <c r="AG379" s="1698"/>
      <c r="AH379" s="1698"/>
      <c r="AI379" s="1698"/>
      <c r="AJ379" s="1698"/>
    </row>
    <row r="380" spans="1:36" ht="12.75" customHeight="1">
      <c r="D380" s="72" t="s">
        <v>603</v>
      </c>
      <c r="J380" s="1695" t="s">
        <v>2445</v>
      </c>
      <c r="K380" s="1696"/>
      <c r="L380" s="1696"/>
      <c r="M380" s="1696"/>
      <c r="N380" s="1696"/>
      <c r="O380" s="1696"/>
      <c r="P380" s="1696"/>
      <c r="Q380" s="1696"/>
      <c r="R380" s="1696"/>
      <c r="S380" s="1696"/>
      <c r="T380" s="1696"/>
      <c r="U380" s="1696"/>
      <c r="V380" s="72" t="s">
        <v>603</v>
      </c>
      <c r="W380" s="18"/>
      <c r="X380" s="18"/>
      <c r="Y380" s="18"/>
      <c r="Z380" s="18"/>
      <c r="AA380" s="18"/>
      <c r="AB380" s="18"/>
      <c r="AC380" s="1698"/>
      <c r="AD380" s="1698"/>
      <c r="AE380" s="1698"/>
      <c r="AF380" s="1698"/>
      <c r="AG380" s="1698"/>
      <c r="AH380" s="1698"/>
      <c r="AI380" s="1698"/>
      <c r="AJ380" s="1698"/>
    </row>
    <row r="381" spans="1:36" ht="12.75" customHeight="1">
      <c r="D381" s="750" t="s">
        <v>2253</v>
      </c>
      <c r="I381" s="102"/>
      <c r="J381" s="1837" t="s">
        <v>2383</v>
      </c>
      <c r="K381" s="1723"/>
      <c r="L381" s="1723"/>
      <c r="M381" s="1723"/>
      <c r="N381" s="1723"/>
      <c r="O381" s="1723"/>
      <c r="P381" s="1723"/>
      <c r="Q381" s="1723"/>
      <c r="R381" s="1723"/>
      <c r="S381" s="1723"/>
      <c r="T381" s="1723"/>
      <c r="U381" s="1723"/>
      <c r="V381" s="1697" t="s">
        <v>2391</v>
      </c>
      <c r="W381" s="1698"/>
      <c r="X381" s="1698"/>
      <c r="Y381" s="1698"/>
      <c r="Z381" s="1698"/>
      <c r="AA381" s="1698"/>
      <c r="AB381" s="1698"/>
      <c r="AC381" s="1698"/>
      <c r="AD381" s="1698"/>
      <c r="AE381" s="1698"/>
      <c r="AF381" s="1698"/>
      <c r="AG381" s="1698"/>
      <c r="AH381" s="1698"/>
      <c r="AI381" s="1698"/>
      <c r="AJ381" s="1698"/>
    </row>
    <row r="382" spans="1:36" ht="12.75" customHeight="1">
      <c r="D382" s="16" t="s">
        <v>613</v>
      </c>
      <c r="Q382" s="2023">
        <v>44007</v>
      </c>
      <c r="R382" s="2023"/>
      <c r="S382" s="2023"/>
      <c r="T382" s="2023"/>
      <c r="U382" s="2023"/>
      <c r="V382" s="16" t="s">
        <v>185</v>
      </c>
      <c r="AI382" s="1699" t="s">
        <v>119</v>
      </c>
      <c r="AJ382" s="1699"/>
    </row>
    <row r="383" spans="1:36" ht="12.75" customHeight="1">
      <c r="D383" s="16" t="s">
        <v>614</v>
      </c>
      <c r="Q383" s="1810">
        <v>44531</v>
      </c>
      <c r="R383" s="1906"/>
      <c r="S383" s="1906"/>
      <c r="T383" s="1906"/>
      <c r="U383" s="1906"/>
      <c r="W383" s="43" t="s">
        <v>20</v>
      </c>
      <c r="AG383" s="1907" t="s">
        <v>531</v>
      </c>
      <c r="AH383" s="1907"/>
      <c r="AI383" s="1907"/>
      <c r="AJ383" s="1907"/>
    </row>
    <row r="384" spans="1:36" ht="12.75" customHeight="1">
      <c r="D384" s="16" t="s">
        <v>302</v>
      </c>
      <c r="Q384" s="1753">
        <v>1614460</v>
      </c>
      <c r="R384" s="1753"/>
      <c r="S384" s="1753"/>
      <c r="T384" s="1753"/>
      <c r="U384" s="1753"/>
      <c r="V384" s="72" t="s">
        <v>2254</v>
      </c>
      <c r="AG384" s="1835">
        <v>44621</v>
      </c>
      <c r="AH384" s="1835"/>
      <c r="AI384" s="1835"/>
      <c r="AJ384" s="1835"/>
    </row>
    <row r="385" spans="4:36" ht="12.75" customHeight="1">
      <c r="D385" s="16" t="s">
        <v>419</v>
      </c>
      <c r="I385" s="1701" t="s">
        <v>2385</v>
      </c>
      <c r="J385" s="1701"/>
      <c r="K385" s="1701"/>
      <c r="L385" s="1701"/>
      <c r="M385" s="1701"/>
      <c r="N385" s="1701"/>
      <c r="Q385" s="326" t="s">
        <v>899</v>
      </c>
      <c r="S385" s="2117">
        <v>2223</v>
      </c>
      <c r="T385" s="2117"/>
      <c r="U385" s="2117"/>
      <c r="V385" s="16" t="s">
        <v>19</v>
      </c>
      <c r="AI385" s="1699" t="s">
        <v>531</v>
      </c>
      <c r="AJ385" s="1699"/>
    </row>
    <row r="386" spans="4:36" s="50" customFormat="1" ht="12.75" customHeight="1">
      <c r="D386" s="16" t="s">
        <v>186</v>
      </c>
      <c r="E386" s="16"/>
      <c r="F386" s="16"/>
      <c r="G386" s="16"/>
      <c r="H386" s="16"/>
      <c r="I386" s="16"/>
      <c r="J386" s="16"/>
      <c r="K386" s="16"/>
      <c r="L386" s="16"/>
      <c r="M386" s="16"/>
      <c r="N386" s="16"/>
      <c r="O386" s="16"/>
      <c r="P386" s="16"/>
      <c r="Q386" s="1907" t="s">
        <v>2446</v>
      </c>
      <c r="R386" s="1706"/>
      <c r="S386" s="1706"/>
      <c r="T386" s="1706"/>
      <c r="U386" s="1706"/>
      <c r="V386" s="16" t="s">
        <v>187</v>
      </c>
      <c r="W386" s="16"/>
      <c r="X386" s="16"/>
      <c r="Y386" s="16"/>
      <c r="Z386" s="16"/>
      <c r="AA386" s="16"/>
      <c r="AB386" s="16"/>
      <c r="AC386" s="16"/>
      <c r="AD386" s="16"/>
      <c r="AE386" s="16"/>
      <c r="AF386" s="16"/>
      <c r="AG386" s="1907" t="s">
        <v>2446</v>
      </c>
      <c r="AH386" s="1907"/>
      <c r="AI386" s="1907"/>
      <c r="AJ386" s="1907"/>
    </row>
    <row r="387" spans="4:36" s="50" customFormat="1" ht="12.75" customHeight="1">
      <c r="D387" s="16" t="s">
        <v>29</v>
      </c>
      <c r="E387" s="16"/>
      <c r="F387" s="16"/>
      <c r="G387" s="16"/>
      <c r="H387" s="16"/>
      <c r="I387" s="16"/>
      <c r="J387" s="16"/>
      <c r="K387" s="16"/>
      <c r="L387" s="16"/>
      <c r="M387" s="16"/>
      <c r="N387" s="16"/>
      <c r="O387" s="16"/>
      <c r="P387" s="16"/>
      <c r="Q387" s="2118" t="s">
        <v>2447</v>
      </c>
      <c r="R387" s="2118"/>
      <c r="S387" s="2118"/>
      <c r="T387" s="2118"/>
      <c r="U387" s="2118"/>
      <c r="V387" s="16" t="s">
        <v>1894</v>
      </c>
      <c r="W387" s="16"/>
      <c r="X387" s="16"/>
      <c r="Y387" s="16"/>
      <c r="Z387" s="16"/>
      <c r="AA387" s="16"/>
      <c r="AB387" s="16"/>
      <c r="AC387" s="16"/>
      <c r="AD387" s="16"/>
      <c r="AE387" s="16"/>
      <c r="AF387" s="16"/>
      <c r="AG387" s="1907"/>
      <c r="AH387" s="1907"/>
      <c r="AI387" s="1907"/>
      <c r="AJ387" s="1907"/>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7"/>
      <c r="AH388" s="1907"/>
      <c r="AI388" s="1907"/>
      <c r="AJ388" s="190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8"/>
      <c r="AH389" s="1428"/>
      <c r="AI389" s="1428"/>
      <c r="AJ389" s="1428"/>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8"/>
      <c r="AH390" s="1428"/>
      <c r="AI390" s="1699" t="s">
        <v>531</v>
      </c>
      <c r="AJ390" s="1699"/>
    </row>
    <row r="391" spans="4:36" s="50" customFormat="1" ht="12.75" customHeight="1">
      <c r="D391" s="72" t="s">
        <v>2257</v>
      </c>
      <c r="E391" s="16"/>
      <c r="F391" s="16"/>
      <c r="G391" s="16"/>
      <c r="H391" s="16"/>
      <c r="I391" s="16"/>
      <c r="J391" s="16"/>
      <c r="K391" s="16"/>
      <c r="L391" s="16"/>
      <c r="M391" s="16"/>
      <c r="N391" s="16"/>
      <c r="O391" s="16"/>
      <c r="P391" s="16"/>
      <c r="Q391" s="16"/>
      <c r="R391" s="16"/>
      <c r="S391" s="16"/>
      <c r="T391" s="2115"/>
      <c r="U391" s="2115"/>
      <c r="V391" s="2115"/>
      <c r="W391" s="2115"/>
      <c r="X391" s="2115"/>
      <c r="Y391" s="2115"/>
      <c r="Z391" s="2115"/>
      <c r="AA391" s="2115"/>
      <c r="AB391" s="2115"/>
      <c r="AC391" s="2115"/>
      <c r="AD391" s="2115"/>
      <c r="AE391" s="2115"/>
      <c r="AF391" s="2115"/>
      <c r="AG391" s="2115"/>
      <c r="AH391" s="2115"/>
      <c r="AI391" s="2115"/>
      <c r="AJ391" s="2115"/>
    </row>
    <row r="392" spans="4:36" s="50" customFormat="1" ht="12.75" customHeight="1">
      <c r="D392" s="72" t="s">
        <v>2258</v>
      </c>
      <c r="E392" s="16"/>
      <c r="F392" s="16"/>
      <c r="G392" s="16"/>
      <c r="H392" s="16"/>
      <c r="I392" s="16"/>
      <c r="J392" s="16"/>
      <c r="K392" s="16"/>
      <c r="L392" s="16"/>
      <c r="M392" s="16"/>
      <c r="N392" s="16"/>
      <c r="O392" s="16"/>
      <c r="P392" s="16"/>
      <c r="Q392" s="16"/>
      <c r="R392" s="16"/>
      <c r="S392" s="16"/>
      <c r="T392" s="2115"/>
      <c r="U392" s="2115"/>
      <c r="V392" s="2115"/>
      <c r="W392" s="2115"/>
      <c r="X392" s="2115"/>
      <c r="Y392" s="2115"/>
      <c r="Z392" s="2115"/>
      <c r="AA392" s="2115"/>
      <c r="AB392" s="2115"/>
      <c r="AC392" s="2115"/>
      <c r="AD392" s="2115"/>
      <c r="AE392" s="2115"/>
      <c r="AF392" s="2115"/>
      <c r="AG392" s="2115"/>
      <c r="AH392" s="2115"/>
      <c r="AI392" s="2115"/>
      <c r="AJ392" s="211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8"/>
      <c r="AH393" s="1428"/>
      <c r="AI393" s="1428"/>
      <c r="AJ393" s="1428"/>
    </row>
    <row r="394" spans="4:36" s="50" customFormat="1" ht="12.75" customHeight="1">
      <c r="D394" s="72" t="s">
        <v>2259</v>
      </c>
      <c r="E394" s="16"/>
      <c r="F394" s="16"/>
      <c r="G394" s="16"/>
      <c r="H394" s="16"/>
      <c r="I394" s="16"/>
      <c r="J394" s="16"/>
      <c r="K394" s="16"/>
      <c r="L394" s="16"/>
      <c r="M394" s="16"/>
      <c r="N394" s="16"/>
      <c r="O394" s="16"/>
      <c r="P394" s="16"/>
      <c r="Q394" s="16"/>
      <c r="R394" s="16"/>
      <c r="S394" s="2115" t="s">
        <v>531</v>
      </c>
      <c r="T394" s="2115"/>
      <c r="U394" s="2115"/>
      <c r="V394" s="750" t="s">
        <v>2260</v>
      </c>
      <c r="W394" s="16"/>
      <c r="X394" s="16"/>
      <c r="Y394" s="16"/>
      <c r="Z394" s="16"/>
      <c r="AA394" s="16"/>
      <c r="AG394" s="2119"/>
      <c r="AH394" s="2119"/>
      <c r="AI394" s="2119"/>
      <c r="AJ394" s="2119"/>
    </row>
    <row r="395" spans="4:36" s="50" customFormat="1" ht="12.75" customHeight="1">
      <c r="D395" s="72" t="s">
        <v>2261</v>
      </c>
      <c r="E395" s="16"/>
      <c r="F395" s="16"/>
      <c r="G395" s="16"/>
      <c r="H395" s="16"/>
      <c r="I395" s="16"/>
      <c r="J395" s="16"/>
      <c r="K395" s="16"/>
      <c r="L395" s="16"/>
      <c r="M395" s="16"/>
      <c r="N395" s="16"/>
      <c r="O395" s="16"/>
      <c r="P395" s="16"/>
      <c r="Q395" s="16"/>
      <c r="R395" s="16"/>
      <c r="S395" s="2115" t="s">
        <v>136</v>
      </c>
      <c r="T395" s="2115"/>
      <c r="U395" s="2115"/>
      <c r="V395" s="750" t="s">
        <v>2262</v>
      </c>
      <c r="W395" s="16"/>
      <c r="X395" s="16"/>
      <c r="Y395" s="16"/>
      <c r="Z395" s="16"/>
      <c r="AA395" s="16"/>
      <c r="AE395" s="2120"/>
      <c r="AF395" s="2120"/>
      <c r="AG395" s="2120"/>
      <c r="AH395" s="2120"/>
      <c r="AI395" s="2120"/>
      <c r="AJ395" s="2120"/>
    </row>
    <row r="396" spans="4:36" s="50" customFormat="1" ht="12.75" customHeight="1">
      <c r="D396" s="72" t="s">
        <v>2263</v>
      </c>
      <c r="E396" s="16"/>
      <c r="F396" s="16"/>
      <c r="G396" s="16"/>
      <c r="H396" s="16"/>
      <c r="I396" s="16"/>
      <c r="J396" s="16"/>
      <c r="K396" s="1874"/>
      <c r="L396" s="1874"/>
      <c r="M396" s="1874"/>
      <c r="N396" s="1874"/>
      <c r="O396" s="1874"/>
      <c r="P396" s="1874"/>
      <c r="Q396" s="1874"/>
      <c r="R396" s="1874"/>
      <c r="S396" s="1874"/>
      <c r="T396" s="1874"/>
      <c r="U396" s="1874"/>
      <c r="V396" s="1874"/>
      <c r="W396" s="1874"/>
      <c r="X396" s="1874"/>
      <c r="Y396" s="1874"/>
      <c r="Z396" s="1874"/>
      <c r="AA396" s="1874"/>
      <c r="AB396" s="1874"/>
      <c r="AC396" s="1874"/>
      <c r="AD396" s="1874"/>
      <c r="AE396" s="1874"/>
      <c r="AF396" s="1874"/>
      <c r="AG396" s="1874"/>
      <c r="AH396" s="1874"/>
      <c r="AI396" s="1874"/>
      <c r="AJ396" s="1874"/>
    </row>
    <row r="397" spans="4:36" s="50" customFormat="1" ht="12.75" customHeight="1">
      <c r="D397" s="72" t="s">
        <v>2264</v>
      </c>
      <c r="E397" s="16"/>
      <c r="F397" s="16"/>
      <c r="G397" s="16"/>
      <c r="H397" s="16"/>
      <c r="I397" s="16"/>
      <c r="J397" s="16"/>
      <c r="K397" s="1874"/>
      <c r="L397" s="1874"/>
      <c r="M397" s="1874"/>
      <c r="N397" s="1874"/>
      <c r="O397" s="1874"/>
      <c r="P397" s="1874"/>
      <c r="Q397" s="1874"/>
      <c r="R397" s="1874"/>
      <c r="S397" s="1874"/>
      <c r="T397" s="1874"/>
      <c r="U397" s="1874"/>
      <c r="V397" s="1874"/>
      <c r="W397" s="1874"/>
      <c r="X397" s="1874"/>
      <c r="Y397" s="1874"/>
      <c r="Z397" s="1874"/>
      <c r="AA397" s="1874"/>
      <c r="AB397" s="1874"/>
      <c r="AC397" s="1874"/>
      <c r="AD397" s="1874"/>
      <c r="AE397" s="1874"/>
      <c r="AF397" s="1874"/>
      <c r="AG397" s="1874"/>
      <c r="AH397" s="1874"/>
      <c r="AI397" s="1874"/>
      <c r="AJ397" s="1874"/>
    </row>
    <row r="398" spans="4:36" s="50" customFormat="1" ht="12.75" customHeight="1">
      <c r="D398" s="327" t="s">
        <v>2265</v>
      </c>
      <c r="E398" s="1394"/>
      <c r="F398" s="1394"/>
      <c r="G398" s="1394"/>
      <c r="H398" s="1394"/>
      <c r="I398" s="1394"/>
      <c r="J398" s="1394"/>
      <c r="K398" s="1394"/>
      <c r="L398" s="1394"/>
      <c r="M398" s="1394"/>
      <c r="N398" s="1394"/>
      <c r="O398" s="1394"/>
      <c r="P398" s="1394"/>
      <c r="Q398" s="1394"/>
      <c r="R398" s="1394"/>
      <c r="S398" s="2024" t="s">
        <v>2266</v>
      </c>
      <c r="T398" s="2024"/>
      <c r="U398" s="2024"/>
      <c r="V398" s="2024"/>
      <c r="W398" s="2024"/>
      <c r="X398" s="2024"/>
      <c r="Y398" s="2024"/>
      <c r="Z398" s="2024"/>
      <c r="AA398" s="2024"/>
      <c r="AB398" s="2024"/>
      <c r="AC398" s="2024"/>
      <c r="AD398" s="2024"/>
      <c r="AE398" s="2024"/>
      <c r="AF398" s="2024"/>
      <c r="AG398" s="2024"/>
      <c r="AH398" s="2024"/>
      <c r="AI398" s="2024"/>
      <c r="AJ398" s="2024"/>
    </row>
    <row r="399" spans="4:36" s="50" customFormat="1" ht="12.75" customHeight="1">
      <c r="D399" s="2110" t="s">
        <v>2267</v>
      </c>
      <c r="E399" s="2110"/>
      <c r="F399" s="2110"/>
      <c r="G399" s="2110"/>
      <c r="H399" s="2110"/>
      <c r="I399" s="2110"/>
      <c r="J399" s="2110"/>
      <c r="K399" s="2110"/>
      <c r="L399" s="2110"/>
      <c r="M399" s="2110"/>
      <c r="N399" s="2110"/>
      <c r="O399" s="2110"/>
      <c r="P399" s="2110"/>
      <c r="Q399" s="2110"/>
      <c r="R399" s="2110"/>
      <c r="S399" s="2110"/>
      <c r="T399" s="2110"/>
      <c r="U399" s="2110"/>
      <c r="V399" s="2110"/>
      <c r="W399" s="2110"/>
      <c r="X399" s="2110"/>
      <c r="Y399" s="2110"/>
      <c r="Z399" s="2110"/>
      <c r="AA399" s="2110"/>
      <c r="AB399" s="2110"/>
      <c r="AC399" s="2110"/>
      <c r="AD399" s="2110"/>
      <c r="AE399" s="2110"/>
      <c r="AF399" s="2110"/>
      <c r="AG399" s="2110"/>
      <c r="AH399" s="2110"/>
      <c r="AI399" s="2110"/>
      <c r="AJ399" s="2110"/>
    </row>
    <row r="400" spans="4:36" s="50" customFormat="1" ht="12.75" customHeight="1">
      <c r="D400" s="2110"/>
      <c r="E400" s="2110"/>
      <c r="F400" s="2110"/>
      <c r="G400" s="2110"/>
      <c r="H400" s="2110"/>
      <c r="I400" s="2110"/>
      <c r="J400" s="2110"/>
      <c r="K400" s="2110"/>
      <c r="L400" s="2110"/>
      <c r="M400" s="2110"/>
      <c r="N400" s="2110"/>
      <c r="O400" s="2110"/>
      <c r="P400" s="2110"/>
      <c r="Q400" s="2110"/>
      <c r="R400" s="2110"/>
      <c r="S400" s="2110"/>
      <c r="T400" s="2110"/>
      <c r="U400" s="2110"/>
      <c r="V400" s="2110"/>
      <c r="W400" s="2110"/>
      <c r="X400" s="2110"/>
      <c r="Y400" s="2110"/>
      <c r="Z400" s="2110"/>
      <c r="AA400" s="2110"/>
      <c r="AB400" s="2110"/>
      <c r="AC400" s="2110"/>
      <c r="AD400" s="2110"/>
      <c r="AE400" s="2110"/>
      <c r="AF400" s="2110"/>
      <c r="AG400" s="2110"/>
      <c r="AH400" s="2110"/>
      <c r="AI400" s="2110"/>
      <c r="AJ400" s="211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8"/>
      <c r="AH401" s="1428"/>
      <c r="AI401" s="1428"/>
      <c r="AJ401" s="1428"/>
    </row>
    <row r="402" spans="1:36" ht="12.75" customHeight="1">
      <c r="A402" s="63" t="s">
        <v>134</v>
      </c>
      <c r="B402" s="63"/>
      <c r="C402" s="63" t="s">
        <v>1002</v>
      </c>
    </row>
    <row r="403" spans="1:36" ht="12.75" customHeight="1">
      <c r="C403" s="35"/>
      <c r="D403" s="63" t="s">
        <v>1957</v>
      </c>
      <c r="I403" s="1697" t="s">
        <v>2448</v>
      </c>
      <c r="J403" s="1697"/>
      <c r="K403" s="1697"/>
      <c r="L403" s="1697"/>
      <c r="M403" s="1697"/>
      <c r="N403" s="1697"/>
      <c r="O403" s="1697"/>
      <c r="P403" s="1697"/>
      <c r="Q403" s="1697"/>
      <c r="R403" s="1697"/>
      <c r="S403" s="1697"/>
      <c r="T403" s="1697"/>
      <c r="U403" s="1697"/>
      <c r="V403" s="1697"/>
      <c r="W403" s="1697"/>
      <c r="X403" s="1697"/>
      <c r="Y403" s="1697"/>
      <c r="Z403" s="1697"/>
      <c r="AA403" s="1697"/>
      <c r="AB403" s="1697"/>
      <c r="AC403" s="1697"/>
      <c r="AD403" s="1697"/>
    </row>
    <row r="404" spans="1:36" ht="12.75" customHeight="1">
      <c r="C404" s="35"/>
      <c r="E404" s="16" t="s">
        <v>937</v>
      </c>
      <c r="R404" s="1699" t="s">
        <v>119</v>
      </c>
      <c r="S404" s="1699"/>
      <c r="T404" s="16" t="s">
        <v>319</v>
      </c>
      <c r="AD404" s="1892">
        <v>3</v>
      </c>
      <c r="AE404" s="1892"/>
    </row>
    <row r="405" spans="1:36" ht="12.75" customHeight="1">
      <c r="C405" s="35"/>
      <c r="E405" s="16" t="s">
        <v>938</v>
      </c>
      <c r="R405" s="1699" t="s">
        <v>136</v>
      </c>
      <c r="S405" s="1699"/>
      <c r="T405" s="16" t="s">
        <v>319</v>
      </c>
      <c r="AD405" s="1892">
        <v>0</v>
      </c>
      <c r="AE405" s="1892"/>
    </row>
    <row r="406" spans="1:36" ht="12.75" customHeight="1">
      <c r="E406" s="16" t="s">
        <v>939</v>
      </c>
      <c r="S406" s="1699" t="s">
        <v>136</v>
      </c>
      <c r="T406" s="1699"/>
    </row>
    <row r="407" spans="1:36" ht="12.75" customHeight="1">
      <c r="E407" s="16" t="s">
        <v>311</v>
      </c>
      <c r="H407" s="1995" t="s">
        <v>2449</v>
      </c>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c r="H408" s="1996"/>
      <c r="I408" s="1996"/>
      <c r="J408" s="1996"/>
      <c r="K408" s="1996"/>
      <c r="L408" s="1996"/>
      <c r="M408" s="1996"/>
      <c r="N408" s="1996"/>
      <c r="O408" s="1996"/>
      <c r="P408" s="1996"/>
      <c r="Q408" s="1996"/>
      <c r="R408" s="1996"/>
      <c r="S408" s="1996"/>
      <c r="T408" s="1996"/>
      <c r="U408" s="1996"/>
      <c r="V408" s="1996"/>
      <c r="W408" s="1996"/>
      <c r="X408" s="1996"/>
      <c r="Y408" s="1996"/>
      <c r="Z408" s="1996"/>
      <c r="AA408" s="1996"/>
      <c r="AB408" s="1996"/>
      <c r="AC408" s="1996"/>
      <c r="AD408" s="1996"/>
      <c r="AE408" s="1996"/>
      <c r="AF408" s="1996"/>
      <c r="AG408" s="1996"/>
      <c r="AH408" s="1996"/>
      <c r="AI408" s="1996"/>
      <c r="AJ408" s="1996"/>
    </row>
    <row r="409" spans="1:36" ht="12.75" customHeight="1"/>
    <row r="410" spans="1:36" ht="12.75" customHeight="1">
      <c r="A410" s="63" t="s">
        <v>135</v>
      </c>
      <c r="B410" s="63"/>
      <c r="C410" s="63"/>
      <c r="D410" s="63" t="s">
        <v>1005</v>
      </c>
      <c r="AE410" s="8"/>
      <c r="AF410" s="63" t="s">
        <v>1344</v>
      </c>
    </row>
    <row r="411" spans="1:36" ht="12.75" customHeight="1">
      <c r="E411" s="1992"/>
      <c r="F411" s="1992"/>
      <c r="G411" s="1992"/>
      <c r="H411" s="33" t="s">
        <v>1006</v>
      </c>
      <c r="I411" s="1992"/>
      <c r="J411" s="1992"/>
      <c r="K411" s="1992"/>
      <c r="L411" s="16" t="s">
        <v>1007</v>
      </c>
      <c r="N411" s="240" t="s">
        <v>932</v>
      </c>
      <c r="P411" s="1981">
        <v>2.16</v>
      </c>
      <c r="Q411" s="1981"/>
      <c r="R411" s="1981"/>
      <c r="S411" s="16" t="s">
        <v>1008</v>
      </c>
      <c r="W411" s="1993">
        <f>IF(E411&gt;0,(E411*I411),(P411*43560))</f>
        <v>94089.600000000006</v>
      </c>
      <c r="X411" s="1993"/>
      <c r="Y411" s="1993"/>
      <c r="Z411" s="16" t="s">
        <v>1009</v>
      </c>
      <c r="AF411" s="2131">
        <f>IF(P411&gt;0,(AG430/P411),(AG430/(W411/43560)))</f>
        <v>23.148148148148145</v>
      </c>
      <c r="AG411" s="2131"/>
      <c r="AH411" s="2131"/>
    </row>
    <row r="412" spans="1:36" ht="12.75" customHeight="1">
      <c r="E412" s="16" t="s">
        <v>224</v>
      </c>
    </row>
    <row r="413" spans="1:36" ht="12.75" customHeight="1">
      <c r="E413" s="1990"/>
      <c r="F413" s="1990"/>
      <c r="G413" s="1990"/>
      <c r="H413" s="1990"/>
      <c r="I413" s="1990"/>
      <c r="J413" s="1990"/>
      <c r="K413" s="1990"/>
      <c r="L413" s="1990"/>
      <c r="M413" s="1990"/>
      <c r="N413" s="1990"/>
      <c r="O413" s="1990"/>
      <c r="P413" s="1990"/>
      <c r="Q413" s="1990"/>
      <c r="R413" s="1990"/>
      <c r="S413" s="1990"/>
      <c r="T413" s="1990"/>
      <c r="U413" s="1990"/>
      <c r="V413" s="1990"/>
      <c r="W413" s="1990"/>
      <c r="X413" s="1990"/>
      <c r="Y413" s="1990"/>
      <c r="Z413" s="1990"/>
      <c r="AA413" s="1990"/>
      <c r="AB413" s="1990"/>
      <c r="AC413" s="1990"/>
      <c r="AD413" s="1990"/>
      <c r="AE413" s="1990"/>
      <c r="AF413" s="1990"/>
      <c r="AG413" s="1990"/>
      <c r="AH413" s="1990"/>
      <c r="AI413" s="1990"/>
      <c r="AJ413" s="1990"/>
    </row>
    <row r="414" spans="1:36" s="50" customFormat="1" ht="12.75" customHeight="1">
      <c r="E414" s="412" t="s">
        <v>2268</v>
      </c>
      <c r="F414" s="59"/>
      <c r="G414" s="59"/>
      <c r="H414" s="59"/>
      <c r="I414" s="2111">
        <v>2.16</v>
      </c>
      <c r="J414" s="2111"/>
      <c r="K414" s="2111"/>
      <c r="L414" s="59"/>
      <c r="M414" s="412"/>
      <c r="N414" s="59"/>
      <c r="O414" s="59"/>
      <c r="P414" s="2130">
        <f>(CQ629+CS634+CQ648)/I414</f>
        <v>25.462962962962962</v>
      </c>
      <c r="Q414" s="2130"/>
      <c r="R414" s="2130"/>
      <c r="S414" s="412" t="s">
        <v>2269</v>
      </c>
      <c r="T414" s="59"/>
      <c r="U414" s="59"/>
      <c r="V414" s="59"/>
      <c r="W414" s="59"/>
      <c r="X414" s="59"/>
      <c r="Y414" s="1484"/>
      <c r="Z414" s="1484"/>
      <c r="AA414" s="1484"/>
      <c r="AB414" s="1484"/>
      <c r="AC414" s="1484"/>
      <c r="AD414" s="1484"/>
      <c r="AE414" s="1484"/>
      <c r="AF414" s="1484"/>
      <c r="AG414" s="1484"/>
      <c r="AH414" s="1484"/>
      <c r="AI414" s="1484"/>
      <c r="AJ414" s="1484"/>
    </row>
    <row r="415" spans="1:36" ht="12.75" customHeight="1"/>
    <row r="416" spans="1:36" ht="12.75" customHeight="1">
      <c r="A416" s="63" t="s">
        <v>137</v>
      </c>
      <c r="B416" s="63"/>
      <c r="C416" s="63"/>
      <c r="D416" s="63" t="s">
        <v>1011</v>
      </c>
    </row>
    <row r="417" spans="1:36" ht="12.75" customHeight="1">
      <c r="E417" s="16" t="s">
        <v>500</v>
      </c>
      <c r="P417" s="1699">
        <v>1</v>
      </c>
      <c r="Q417" s="1699"/>
      <c r="S417" s="16" t="s">
        <v>149</v>
      </c>
      <c r="AE417" s="1699">
        <v>1</v>
      </c>
      <c r="AF417" s="1699"/>
    </row>
    <row r="418" spans="1:36" ht="12.75" customHeight="1">
      <c r="E418" s="16" t="s">
        <v>150</v>
      </c>
      <c r="P418" s="1699">
        <v>0</v>
      </c>
      <c r="Q418" s="1699"/>
      <c r="S418" s="16" t="s">
        <v>792</v>
      </c>
      <c r="AE418" s="1699" t="s">
        <v>119</v>
      </c>
      <c r="AF418" s="1699"/>
    </row>
    <row r="419" spans="1:36" ht="12.5">
      <c r="F419" s="81" t="s">
        <v>247</v>
      </c>
    </row>
    <row r="420" spans="1:36" ht="12.5">
      <c r="F420" s="2123" t="s">
        <v>2530</v>
      </c>
      <c r="G420" s="2009"/>
      <c r="H420" s="2009"/>
      <c r="I420" s="2009"/>
      <c r="J420" s="2009"/>
      <c r="K420" s="2009"/>
      <c r="L420" s="2009"/>
      <c r="M420" s="2009"/>
      <c r="N420" s="2009"/>
      <c r="O420" s="2009"/>
      <c r="P420" s="2009"/>
      <c r="Q420" s="2009"/>
      <c r="R420" s="2009"/>
      <c r="S420" s="2009"/>
      <c r="T420" s="2009"/>
      <c r="U420" s="2009"/>
      <c r="V420" s="2009"/>
      <c r="W420" s="2009"/>
      <c r="X420" s="2009"/>
      <c r="Y420" s="2009"/>
      <c r="Z420" s="2009"/>
      <c r="AA420" s="2009"/>
      <c r="AB420" s="2009"/>
      <c r="AC420" s="2009"/>
      <c r="AD420" s="2009"/>
      <c r="AE420" s="2009"/>
      <c r="AF420" s="2009"/>
      <c r="AG420" s="2009"/>
      <c r="AH420" s="2009"/>
    </row>
    <row r="421" spans="1:36" ht="12.5">
      <c r="F421" s="2010"/>
      <c r="G421" s="2010"/>
      <c r="H421" s="2010"/>
      <c r="I421" s="2010"/>
      <c r="J421" s="2010"/>
      <c r="K421" s="2010"/>
      <c r="L421" s="2010"/>
      <c r="M421" s="2010"/>
      <c r="N421" s="2010"/>
      <c r="O421" s="2010"/>
      <c r="P421" s="2010"/>
      <c r="Q421" s="2010"/>
      <c r="R421" s="2010"/>
      <c r="S421" s="2010"/>
      <c r="T421" s="2010"/>
      <c r="U421" s="2010"/>
      <c r="V421" s="2010"/>
      <c r="W421" s="2010"/>
      <c r="X421" s="2010"/>
      <c r="Y421" s="2010"/>
      <c r="Z421" s="2010"/>
      <c r="AA421" s="2010"/>
      <c r="AB421" s="2010"/>
      <c r="AC421" s="2010"/>
      <c r="AD421" s="2010"/>
      <c r="AE421" s="2010"/>
      <c r="AF421" s="2010"/>
      <c r="AG421" s="2010"/>
      <c r="AH421" s="2010"/>
    </row>
    <row r="422" spans="1:36" ht="12.5">
      <c r="E422" s="16" t="s">
        <v>941</v>
      </c>
      <c r="N422" s="50"/>
      <c r="O422" s="50"/>
      <c r="P422" s="390"/>
      <c r="Q422" s="1699" t="s">
        <v>119</v>
      </c>
      <c r="R422" s="1699"/>
      <c r="S422" s="50"/>
      <c r="T422" s="50"/>
      <c r="U422" s="50"/>
      <c r="V422" s="50"/>
      <c r="W422" s="50"/>
      <c r="X422" s="50"/>
      <c r="Y422" s="50"/>
      <c r="Z422" s="50"/>
      <c r="AA422" s="50"/>
      <c r="AB422" s="50"/>
      <c r="AC422" s="50"/>
      <c r="AD422" s="50"/>
      <c r="AE422" s="390"/>
      <c r="AF422" s="390"/>
    </row>
    <row r="423" spans="1:36" ht="12.5">
      <c r="F423" s="16" t="s">
        <v>942</v>
      </c>
      <c r="N423" s="50"/>
      <c r="O423" s="50"/>
      <c r="P423" s="390"/>
      <c r="Q423" s="390"/>
      <c r="R423" s="50"/>
      <c r="S423" s="50"/>
      <c r="T423" s="50"/>
      <c r="U423" s="50"/>
      <c r="V423" s="50"/>
      <c r="W423" s="50"/>
      <c r="X423" s="50"/>
      <c r="Y423" s="50"/>
      <c r="Z423" s="50"/>
      <c r="AA423" s="50"/>
      <c r="AB423" s="50"/>
      <c r="AC423" s="50"/>
      <c r="AD423" s="50"/>
      <c r="AE423" s="1699" t="s">
        <v>136</v>
      </c>
      <c r="AF423" s="1991"/>
    </row>
    <row r="424" spans="1:36" ht="12.5">
      <c r="S424" s="35"/>
      <c r="T424" s="35"/>
    </row>
    <row r="425" spans="1:36" ht="12.75" customHeight="1">
      <c r="A425" s="63"/>
      <c r="B425" s="63"/>
      <c r="C425" s="63"/>
      <c r="E425" s="8" t="s">
        <v>87</v>
      </c>
      <c r="Z425" s="1699" t="s">
        <v>531</v>
      </c>
      <c r="AA425" s="169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699" t="s">
        <v>136</v>
      </c>
      <c r="AA427" s="1699"/>
    </row>
    <row r="428" spans="1:36" ht="12.75" customHeight="1">
      <c r="AG428" s="16">
        <v>0</v>
      </c>
    </row>
    <row r="429" spans="1:36" ht="12.75" customHeight="1">
      <c r="A429" s="63" t="s">
        <v>411</v>
      </c>
      <c r="B429" s="63"/>
      <c r="C429" s="63"/>
      <c r="D429" s="63" t="s">
        <v>189</v>
      </c>
      <c r="AF429" s="94"/>
    </row>
    <row r="430" spans="1:36" ht="12.75" customHeight="1">
      <c r="D430" s="1862" t="s">
        <v>400</v>
      </c>
      <c r="E430" s="1863"/>
      <c r="F430" s="1863"/>
      <c r="G430" s="1863"/>
      <c r="H430" s="1863"/>
      <c r="I430" s="1863"/>
      <c r="J430" s="1863"/>
      <c r="K430" s="1863"/>
      <c r="L430" s="1863"/>
      <c r="M430" s="1863"/>
      <c r="N430" s="1863"/>
      <c r="O430" s="1863"/>
      <c r="P430" s="1863"/>
      <c r="Q430" s="1863"/>
      <c r="R430" s="1863"/>
      <c r="S430" s="1863"/>
      <c r="T430" s="1863"/>
      <c r="U430" s="1863"/>
      <c r="V430" s="1863"/>
      <c r="W430" s="1863"/>
      <c r="X430" s="1863"/>
      <c r="Y430" s="1863"/>
      <c r="Z430" s="1863"/>
      <c r="AA430" s="1863"/>
      <c r="AB430" s="1863"/>
      <c r="AC430" s="1863"/>
      <c r="AD430" s="1863"/>
      <c r="AE430" s="1863"/>
      <c r="AF430" s="1989"/>
      <c r="AG430" s="1897">
        <v>50</v>
      </c>
      <c r="AH430" s="1897"/>
      <c r="AI430" s="1897"/>
      <c r="AJ430" s="1897"/>
    </row>
    <row r="431" spans="1:36" ht="12.75" customHeight="1">
      <c r="D431" s="1898" t="s">
        <v>1521</v>
      </c>
      <c r="E431" s="1899"/>
      <c r="F431" s="1899"/>
      <c r="G431" s="1899"/>
      <c r="H431" s="1899"/>
      <c r="I431" s="1899"/>
      <c r="J431" s="1899"/>
      <c r="K431" s="1899"/>
      <c r="L431" s="1899"/>
      <c r="M431" s="1899"/>
      <c r="N431" s="1899"/>
      <c r="O431" s="1899"/>
      <c r="P431" s="1899"/>
      <c r="Q431" s="1899"/>
      <c r="R431" s="1899"/>
      <c r="S431" s="1899"/>
      <c r="T431" s="1899"/>
      <c r="U431" s="1899"/>
      <c r="V431" s="1899"/>
      <c r="W431" s="1899"/>
      <c r="X431" s="1899"/>
      <c r="Y431" s="1899"/>
      <c r="Z431" s="1899"/>
      <c r="AA431" s="1899"/>
      <c r="AB431" s="1899"/>
      <c r="AC431" s="1899"/>
      <c r="AD431" s="1899"/>
      <c r="AE431" s="1899"/>
      <c r="AF431" s="1900"/>
      <c r="AG431" s="2124"/>
      <c r="AH431" s="2125"/>
      <c r="AI431" s="2125"/>
      <c r="AJ431" s="2125"/>
    </row>
    <row r="432" spans="1:36" ht="12.75" customHeight="1">
      <c r="D432" s="1898" t="s">
        <v>1522</v>
      </c>
      <c r="E432" s="1899"/>
      <c r="F432" s="1899"/>
      <c r="G432" s="1899"/>
      <c r="H432" s="1899"/>
      <c r="I432" s="1899"/>
      <c r="J432" s="1899"/>
      <c r="K432" s="1899"/>
      <c r="L432" s="1899"/>
      <c r="M432" s="1899"/>
      <c r="N432" s="1899"/>
      <c r="O432" s="1899"/>
      <c r="P432" s="1899"/>
      <c r="Q432" s="1899"/>
      <c r="R432" s="1899"/>
      <c r="S432" s="1899"/>
      <c r="T432" s="1899"/>
      <c r="U432" s="1899"/>
      <c r="V432" s="1899"/>
      <c r="W432" s="1899"/>
      <c r="X432" s="1899"/>
      <c r="Y432" s="1899"/>
      <c r="Z432" s="1899"/>
      <c r="AA432" s="1899"/>
      <c r="AB432" s="1899"/>
      <c r="AC432" s="1899"/>
      <c r="AD432" s="1899"/>
      <c r="AE432" s="1899"/>
      <c r="AF432" s="1900"/>
      <c r="AG432" s="1897">
        <v>49</v>
      </c>
      <c r="AH432" s="1897"/>
      <c r="AI432" s="1897"/>
      <c r="AJ432" s="1897"/>
    </row>
    <row r="433" spans="4:36" ht="12.75" customHeight="1">
      <c r="D433" s="1898" t="s">
        <v>1518</v>
      </c>
      <c r="E433" s="1899"/>
      <c r="F433" s="1899"/>
      <c r="G433" s="1899"/>
      <c r="H433" s="1899"/>
      <c r="I433" s="1899"/>
      <c r="J433" s="1899"/>
      <c r="K433" s="1899"/>
      <c r="L433" s="1899"/>
      <c r="M433" s="1899"/>
      <c r="N433" s="1899"/>
      <c r="O433" s="1899"/>
      <c r="P433" s="1899"/>
      <c r="Q433" s="1899"/>
      <c r="R433" s="1899"/>
      <c r="S433" s="1899"/>
      <c r="T433" s="1899"/>
      <c r="U433" s="1899"/>
      <c r="V433" s="1899"/>
      <c r="W433" s="1899"/>
      <c r="X433" s="1899"/>
      <c r="Y433" s="1899"/>
      <c r="Z433" s="1899"/>
      <c r="AA433" s="1899"/>
      <c r="AB433" s="1899"/>
      <c r="AC433" s="1899"/>
      <c r="AD433" s="1899"/>
      <c r="AE433" s="1899"/>
      <c r="AF433" s="1900"/>
      <c r="AG433" s="1897">
        <v>49</v>
      </c>
      <c r="AH433" s="1897"/>
      <c r="AI433" s="1897"/>
      <c r="AJ433" s="1897"/>
    </row>
    <row r="434" spans="4:36" ht="12.75" customHeight="1">
      <c r="D434" s="1898" t="s">
        <v>1523</v>
      </c>
      <c r="E434" s="1899"/>
      <c r="F434" s="1899"/>
      <c r="G434" s="1899"/>
      <c r="H434" s="1899"/>
      <c r="I434" s="1899"/>
      <c r="J434" s="1899"/>
      <c r="K434" s="1899"/>
      <c r="L434" s="1899"/>
      <c r="M434" s="1899"/>
      <c r="N434" s="1899"/>
      <c r="O434" s="1899"/>
      <c r="P434" s="1899"/>
      <c r="Q434" s="1899"/>
      <c r="R434" s="1899"/>
      <c r="S434" s="1899"/>
      <c r="T434" s="1899"/>
      <c r="U434" s="1899"/>
      <c r="V434" s="1899"/>
      <c r="W434" s="1899"/>
      <c r="X434" s="1899"/>
      <c r="Y434" s="1899"/>
      <c r="Z434" s="1899"/>
      <c r="AA434" s="1899"/>
      <c r="AB434" s="1899"/>
      <c r="AC434" s="1899"/>
      <c r="AD434" s="1899"/>
      <c r="AE434" s="1899"/>
      <c r="AF434" s="1900"/>
      <c r="AG434" s="1901">
        <f>IF(ISERROR(AG433/AG432),"",AG433/AG432)</f>
        <v>1</v>
      </c>
      <c r="AH434" s="1901"/>
      <c r="AI434" s="1901"/>
      <c r="AJ434" s="1901"/>
    </row>
    <row r="435" spans="4:36" ht="12.75" customHeight="1">
      <c r="D435" s="1898" t="s">
        <v>1520</v>
      </c>
      <c r="E435" s="1899"/>
      <c r="F435" s="1899"/>
      <c r="G435" s="1899"/>
      <c r="H435" s="1899"/>
      <c r="I435" s="1899"/>
      <c r="J435" s="1899"/>
      <c r="K435" s="1899"/>
      <c r="L435" s="1899"/>
      <c r="M435" s="1899"/>
      <c r="N435" s="1899"/>
      <c r="O435" s="1899"/>
      <c r="P435" s="1899"/>
      <c r="Q435" s="1899"/>
      <c r="R435" s="1899"/>
      <c r="S435" s="1899"/>
      <c r="T435" s="1899"/>
      <c r="U435" s="1899"/>
      <c r="V435" s="1899"/>
      <c r="W435" s="1899"/>
      <c r="X435" s="1899"/>
      <c r="Y435" s="1899"/>
      <c r="Z435" s="1899"/>
      <c r="AA435" s="1899"/>
      <c r="AB435" s="1899"/>
      <c r="AC435" s="1899"/>
      <c r="AD435" s="1899"/>
      <c r="AE435" s="1899"/>
      <c r="AF435" s="1900"/>
      <c r="AG435" s="1994">
        <v>34438</v>
      </c>
      <c r="AH435" s="1994"/>
      <c r="AI435" s="1994"/>
      <c r="AJ435" s="1994"/>
    </row>
    <row r="436" spans="4:36" ht="12.75" customHeight="1">
      <c r="D436" s="1898" t="s">
        <v>1519</v>
      </c>
      <c r="E436" s="1899"/>
      <c r="F436" s="1899"/>
      <c r="G436" s="1899"/>
      <c r="H436" s="1899"/>
      <c r="I436" s="1899"/>
      <c r="J436" s="1899"/>
      <c r="K436" s="1899"/>
      <c r="L436" s="1899"/>
      <c r="M436" s="1899"/>
      <c r="N436" s="1899"/>
      <c r="O436" s="1899"/>
      <c r="P436" s="1899"/>
      <c r="Q436" s="1899"/>
      <c r="R436" s="1899"/>
      <c r="S436" s="1899"/>
      <c r="T436" s="1899"/>
      <c r="U436" s="1899"/>
      <c r="V436" s="1899"/>
      <c r="W436" s="1899"/>
      <c r="X436" s="1899"/>
      <c r="Y436" s="1899"/>
      <c r="Z436" s="1899"/>
      <c r="AA436" s="1899"/>
      <c r="AB436" s="1899"/>
      <c r="AC436" s="1899"/>
      <c r="AD436" s="1899"/>
      <c r="AE436" s="1899"/>
      <c r="AF436" s="1900"/>
      <c r="AG436" s="1994">
        <v>34438</v>
      </c>
      <c r="AH436" s="1994"/>
      <c r="AI436" s="1994"/>
      <c r="AJ436" s="1994"/>
    </row>
    <row r="437" spans="4:36" ht="12.75" customHeight="1">
      <c r="D437" s="1898" t="s">
        <v>1526</v>
      </c>
      <c r="E437" s="1899"/>
      <c r="F437" s="1899"/>
      <c r="G437" s="1899"/>
      <c r="H437" s="1899"/>
      <c r="I437" s="1899"/>
      <c r="J437" s="1899"/>
      <c r="K437" s="1899"/>
      <c r="L437" s="1899"/>
      <c r="M437" s="1899"/>
      <c r="N437" s="1899"/>
      <c r="O437" s="1899"/>
      <c r="P437" s="1899"/>
      <c r="Q437" s="1899"/>
      <c r="R437" s="1899"/>
      <c r="S437" s="1899"/>
      <c r="T437" s="1899"/>
      <c r="U437" s="1899"/>
      <c r="V437" s="1899"/>
      <c r="W437" s="1899"/>
      <c r="X437" s="1899"/>
      <c r="Y437" s="1899"/>
      <c r="Z437" s="1899"/>
      <c r="AA437" s="1899"/>
      <c r="AB437" s="1899"/>
      <c r="AC437" s="1899"/>
      <c r="AD437" s="1899"/>
      <c r="AE437" s="1899"/>
      <c r="AF437" s="1900"/>
      <c r="AG437" s="1901">
        <f>IF(ISERROR(AG436/AG435),"",AG436/AG435)</f>
        <v>1</v>
      </c>
      <c r="AH437" s="1901"/>
      <c r="AI437" s="1901"/>
      <c r="AJ437" s="1901"/>
    </row>
    <row r="438" spans="4:36" ht="12.75" customHeight="1">
      <c r="D438" s="1898" t="s">
        <v>1524</v>
      </c>
      <c r="E438" s="1899"/>
      <c r="F438" s="1899"/>
      <c r="G438" s="1899"/>
      <c r="H438" s="1899"/>
      <c r="I438" s="1899"/>
      <c r="J438" s="1899"/>
      <c r="K438" s="1899"/>
      <c r="L438" s="1899"/>
      <c r="M438" s="1899"/>
      <c r="N438" s="1899"/>
      <c r="O438" s="1899"/>
      <c r="P438" s="1899"/>
      <c r="Q438" s="1899"/>
      <c r="R438" s="1899"/>
      <c r="S438" s="1899"/>
      <c r="T438" s="1899"/>
      <c r="U438" s="1899"/>
      <c r="V438" s="1899"/>
      <c r="W438" s="1899"/>
      <c r="X438" s="1899"/>
      <c r="Y438" s="1899"/>
      <c r="Z438" s="1899"/>
      <c r="AA438" s="1899"/>
      <c r="AB438" s="1899"/>
      <c r="AC438" s="1899"/>
      <c r="AD438" s="1899"/>
      <c r="AE438" s="1899"/>
      <c r="AF438" s="1900"/>
      <c r="AG438" s="1901">
        <f>MIN(IF(AG434&gt;AG437,AG437,AG434),1)</f>
        <v>1</v>
      </c>
      <c r="AH438" s="1901"/>
      <c r="AI438" s="1901"/>
      <c r="AJ438" s="1901"/>
    </row>
    <row r="439" spans="4:36" ht="12.5">
      <c r="D439" s="2129" t="s">
        <v>1958</v>
      </c>
      <c r="E439" s="1863"/>
      <c r="F439" s="1863"/>
      <c r="G439" s="1863"/>
      <c r="H439" s="1863"/>
      <c r="I439" s="1863"/>
      <c r="J439" s="1863"/>
      <c r="K439" s="1863"/>
      <c r="L439" s="1863"/>
      <c r="M439" s="1863"/>
      <c r="N439" s="1863"/>
      <c r="O439" s="1863"/>
      <c r="P439" s="1863"/>
      <c r="Q439" s="1863"/>
      <c r="R439" s="1863"/>
      <c r="S439" s="1863"/>
      <c r="T439" s="1863"/>
      <c r="U439" s="1863"/>
      <c r="V439" s="1863"/>
      <c r="W439" s="1863"/>
      <c r="X439" s="1863"/>
      <c r="Y439" s="1863"/>
      <c r="Z439" s="1863"/>
      <c r="AA439" s="1863"/>
      <c r="AB439" s="1863"/>
      <c r="AC439" s="1863"/>
      <c r="AD439" s="1863"/>
      <c r="AE439" s="1863"/>
      <c r="AF439" s="1989"/>
      <c r="AG439" s="1994">
        <v>4910</v>
      </c>
      <c r="AH439" s="1994"/>
      <c r="AI439" s="1994"/>
      <c r="AJ439" s="1994"/>
    </row>
    <row r="440" spans="4:36" ht="12.5">
      <c r="D440" s="1898" t="s">
        <v>231</v>
      </c>
      <c r="E440" s="1899"/>
      <c r="F440" s="1899"/>
      <c r="G440" s="1899"/>
      <c r="H440" s="1899"/>
      <c r="I440" s="1899"/>
      <c r="J440" s="1899"/>
      <c r="K440" s="1899"/>
      <c r="L440" s="1899"/>
      <c r="M440" s="1899"/>
      <c r="N440" s="1899"/>
      <c r="O440" s="1899"/>
      <c r="P440" s="1899"/>
      <c r="Q440" s="1899"/>
      <c r="R440" s="1899"/>
      <c r="S440" s="1899"/>
      <c r="T440" s="1899"/>
      <c r="U440" s="1899"/>
      <c r="V440" s="1899"/>
      <c r="W440" s="1899"/>
      <c r="X440" s="1899"/>
      <c r="Y440" s="1899"/>
      <c r="Z440" s="1899"/>
      <c r="AA440" s="1899"/>
      <c r="AB440" s="1899"/>
      <c r="AC440" s="1899"/>
      <c r="AD440" s="1899"/>
      <c r="AE440" s="1899"/>
      <c r="AF440" s="1900"/>
      <c r="AG440" s="1994">
        <v>1750</v>
      </c>
      <c r="AH440" s="1994"/>
      <c r="AI440" s="1994"/>
      <c r="AJ440" s="1994"/>
    </row>
    <row r="441" spans="4:36" ht="12.75" customHeight="1">
      <c r="D441" s="2129" t="s">
        <v>1959</v>
      </c>
      <c r="E441" s="1899"/>
      <c r="F441" s="1899"/>
      <c r="G441" s="1899"/>
      <c r="H441" s="1899"/>
      <c r="I441" s="1899"/>
      <c r="J441" s="1899"/>
      <c r="K441" s="1899"/>
      <c r="L441" s="1899"/>
      <c r="M441" s="1899"/>
      <c r="N441" s="1899"/>
      <c r="O441" s="1899"/>
      <c r="P441" s="1899"/>
      <c r="Q441" s="1899"/>
      <c r="R441" s="1899"/>
      <c r="S441" s="1899"/>
      <c r="T441" s="1899"/>
      <c r="U441" s="1899"/>
      <c r="V441" s="1899"/>
      <c r="W441" s="1899"/>
      <c r="X441" s="1899"/>
      <c r="Y441" s="1899"/>
      <c r="Z441" s="1899"/>
      <c r="AA441" s="1899"/>
      <c r="AB441" s="1899"/>
      <c r="AC441" s="1899"/>
      <c r="AD441" s="1899"/>
      <c r="AE441" s="1899"/>
      <c r="AF441" s="1900"/>
      <c r="AG441" s="1994">
        <f>6440+840</f>
        <v>7280</v>
      </c>
      <c r="AH441" s="1994"/>
      <c r="AI441" s="1994"/>
      <c r="AJ441" s="1994"/>
    </row>
    <row r="442" spans="4:36" ht="12.5">
      <c r="D442" s="1898" t="s">
        <v>1525</v>
      </c>
      <c r="E442" s="1899"/>
      <c r="F442" s="1899"/>
      <c r="G442" s="1899"/>
      <c r="H442" s="1899"/>
      <c r="I442" s="1899"/>
      <c r="J442" s="1899"/>
      <c r="K442" s="1899"/>
      <c r="L442" s="1899"/>
      <c r="M442" s="1899"/>
      <c r="N442" s="1899"/>
      <c r="O442" s="1899"/>
      <c r="P442" s="1899"/>
      <c r="Q442" s="1899"/>
      <c r="R442" s="1899"/>
      <c r="S442" s="1899"/>
      <c r="T442" s="1899"/>
      <c r="U442" s="1899"/>
      <c r="V442" s="1899"/>
      <c r="W442" s="1899"/>
      <c r="X442" s="1899"/>
      <c r="Y442" s="1899"/>
      <c r="Z442" s="1899"/>
      <c r="AA442" s="1899"/>
      <c r="AB442" s="1899"/>
      <c r="AC442" s="1899"/>
      <c r="AD442" s="1899"/>
      <c r="AE442" s="1899"/>
      <c r="AF442" s="1900"/>
      <c r="AG442" s="1994">
        <v>0</v>
      </c>
      <c r="AH442" s="1994"/>
      <c r="AI442" s="1994"/>
      <c r="AJ442" s="1994"/>
    </row>
    <row r="443" spans="4:36" ht="13">
      <c r="D443" s="1898" t="s">
        <v>1527</v>
      </c>
      <c r="E443" s="1899"/>
      <c r="F443" s="1899"/>
      <c r="G443" s="1899"/>
      <c r="H443" s="1899"/>
      <c r="I443" s="1899"/>
      <c r="J443" s="1899"/>
      <c r="K443" s="1899"/>
      <c r="L443" s="1899"/>
      <c r="M443" s="1899"/>
      <c r="N443" s="1899"/>
      <c r="O443" s="1899"/>
      <c r="P443" s="1899"/>
      <c r="Q443" s="1899"/>
      <c r="R443" s="1899"/>
      <c r="S443" s="1899"/>
      <c r="T443" s="1899"/>
      <c r="U443" s="1899"/>
      <c r="V443" s="1899"/>
      <c r="W443" s="1899"/>
      <c r="X443" s="1899"/>
      <c r="Y443" s="1899"/>
      <c r="Z443" s="1899"/>
      <c r="AA443" s="1899"/>
      <c r="AB443" s="1899"/>
      <c r="AC443" s="1899"/>
      <c r="AD443" s="1899"/>
      <c r="AE443" s="1899"/>
      <c r="AF443" s="1900"/>
      <c r="AG443" s="2098">
        <f>AG435+AG439+AG441+AG442</f>
        <v>46628</v>
      </c>
      <c r="AH443" s="2098"/>
      <c r="AI443" s="2098"/>
      <c r="AJ443" s="2098"/>
    </row>
    <row r="444" spans="4:36" ht="12.5">
      <c r="D444" s="1987" t="s">
        <v>1960</v>
      </c>
      <c r="E444" s="1987"/>
      <c r="F444" s="1987"/>
      <c r="G444" s="1987"/>
      <c r="H444" s="1987"/>
      <c r="I444" s="1987"/>
      <c r="J444" s="1987"/>
      <c r="K444" s="1987"/>
      <c r="L444" s="1987"/>
      <c r="M444" s="1987"/>
      <c r="N444" s="1987"/>
      <c r="O444" s="1987"/>
      <c r="P444" s="1987"/>
      <c r="Q444" s="1987"/>
      <c r="R444" s="1987"/>
      <c r="S444" s="1987"/>
      <c r="T444" s="1987"/>
      <c r="U444" s="1987"/>
      <c r="V444" s="1987"/>
      <c r="W444" s="1987"/>
      <c r="X444" s="1987"/>
      <c r="Y444" s="1987"/>
      <c r="Z444" s="1987"/>
      <c r="AA444" s="1987"/>
      <c r="AB444" s="1987"/>
      <c r="AC444" s="1987"/>
      <c r="AD444" s="1987"/>
      <c r="AE444" s="1987"/>
      <c r="AF444" s="1987"/>
      <c r="AG444" s="1987"/>
      <c r="AH444" s="1987"/>
      <c r="AI444" s="1987"/>
      <c r="AJ444" s="1987"/>
    </row>
    <row r="445" spans="4:36" ht="13.75" customHeight="1">
      <c r="D445" s="1988"/>
      <c r="E445" s="1988"/>
      <c r="F445" s="1988"/>
      <c r="G445" s="1988"/>
      <c r="H445" s="1988"/>
      <c r="I445" s="1988"/>
      <c r="J445" s="1988"/>
      <c r="K445" s="1988"/>
      <c r="L445" s="1988"/>
      <c r="M445" s="1988"/>
      <c r="N445" s="1988"/>
      <c r="O445" s="1988"/>
      <c r="P445" s="1988"/>
      <c r="Q445" s="1988"/>
      <c r="R445" s="1988"/>
      <c r="S445" s="1988"/>
      <c r="T445" s="1988"/>
      <c r="U445" s="1988"/>
      <c r="V445" s="1988"/>
      <c r="W445" s="1988"/>
      <c r="X445" s="1988"/>
      <c r="Y445" s="1988"/>
      <c r="Z445" s="1988"/>
      <c r="AA445" s="1988"/>
      <c r="AB445" s="1988"/>
      <c r="AC445" s="1988"/>
      <c r="AD445" s="1988"/>
      <c r="AE445" s="1988"/>
      <c r="AF445" s="1988"/>
      <c r="AG445" s="1988"/>
      <c r="AH445" s="1988"/>
      <c r="AI445" s="1988"/>
      <c r="AJ445" s="1988"/>
    </row>
    <row r="446" spans="4:36" ht="12.5">
      <c r="D446" s="1902"/>
      <c r="E446" s="1902"/>
      <c r="F446" s="1902"/>
      <c r="G446" s="1902"/>
      <c r="H446" s="1902"/>
      <c r="I446" s="1902"/>
      <c r="J446" s="1902"/>
      <c r="K446" s="1902"/>
      <c r="L446" s="1902"/>
      <c r="M446" s="1902"/>
      <c r="N446" s="1902"/>
      <c r="O446" s="1902"/>
      <c r="P446" s="1902"/>
      <c r="Q446" s="1902"/>
      <c r="R446" s="1902"/>
      <c r="S446" s="1902"/>
      <c r="T446" s="1902"/>
      <c r="U446" s="1902"/>
      <c r="V446" s="1902"/>
      <c r="W446" s="1902"/>
      <c r="X446" s="1902"/>
      <c r="Y446" s="1902"/>
      <c r="Z446" s="1902"/>
      <c r="AA446" s="1902"/>
      <c r="AB446" s="1902"/>
      <c r="AC446" s="1902"/>
      <c r="AD446" s="1902"/>
      <c r="AE446" s="1902"/>
      <c r="AF446" s="1902"/>
      <c r="AG446" s="1902"/>
      <c r="AH446" s="1902"/>
      <c r="AI446" s="1902"/>
      <c r="AJ446" s="1902"/>
    </row>
    <row r="447" spans="4:36" ht="13">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7">
        <f>'Sources and Uses Budget'!B104/Application!AG430</f>
        <v>702422.36</v>
      </c>
      <c r="AD447" s="1997"/>
      <c r="AE447" s="1997"/>
      <c r="AF447" s="1997"/>
      <c r="AG447" s="2032"/>
      <c r="AH447" s="2032"/>
      <c r="AI447" s="2032"/>
      <c r="AJ447" s="2032"/>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7">
        <f>'Sources and Uses Budget'!C104/Application!AG430</f>
        <v>702422.36</v>
      </c>
      <c r="AD448" s="1997"/>
      <c r="AE448" s="1997"/>
      <c r="AF448" s="1997"/>
      <c r="AG448" s="2032"/>
      <c r="AH448" s="2032"/>
      <c r="AI448" s="2032"/>
      <c r="AJ448" s="2032"/>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7">
        <f>('Sources and Uses Budget'!S106+'Sources and Uses Budget'!T106)/Application!AG430</f>
        <v>642205.62</v>
      </c>
      <c r="AD449" s="1997"/>
      <c r="AE449" s="1997"/>
      <c r="AF449" s="199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1"/>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93" t="s">
        <v>236</v>
      </c>
      <c r="E458" s="1894"/>
      <c r="F458" s="1894"/>
      <c r="G458" s="1894"/>
      <c r="H458" s="1894"/>
      <c r="I458" s="1894"/>
      <c r="J458" s="1894"/>
      <c r="K458" s="1894"/>
      <c r="L458" s="1894"/>
      <c r="M458" s="1894"/>
      <c r="N458" s="1894"/>
      <c r="O458" s="1894"/>
      <c r="P458" s="1894"/>
      <c r="Q458" s="1894"/>
      <c r="R458" s="1894"/>
      <c r="S458" s="1894"/>
      <c r="T458" s="1894"/>
      <c r="U458" s="1894"/>
      <c r="V458" s="1895"/>
      <c r="W458" s="1982"/>
      <c r="X458" s="1983"/>
      <c r="Y458" s="1984"/>
      <c r="Z458" s="495"/>
      <c r="AA458" s="495"/>
      <c r="AB458" s="495"/>
      <c r="AC458" s="495"/>
      <c r="AD458" s="495"/>
      <c r="AE458" s="495"/>
      <c r="AF458" s="495"/>
      <c r="AG458" s="495"/>
      <c r="AH458" s="495"/>
      <c r="AI458" s="495"/>
      <c r="AJ458" s="327"/>
      <c r="AK458" s="327"/>
      <c r="AL458" s="327"/>
    </row>
    <row r="459" spans="1:38" ht="12.75" customHeight="1">
      <c r="A459" s="327"/>
      <c r="B459" s="327"/>
      <c r="C459" s="327"/>
      <c r="D459" s="1893" t="s">
        <v>237</v>
      </c>
      <c r="E459" s="1894"/>
      <c r="F459" s="1894"/>
      <c r="G459" s="1894"/>
      <c r="H459" s="1894"/>
      <c r="I459" s="1894"/>
      <c r="J459" s="1894"/>
      <c r="K459" s="1894"/>
      <c r="L459" s="1894"/>
      <c r="M459" s="1894"/>
      <c r="N459" s="1894"/>
      <c r="O459" s="1894"/>
      <c r="P459" s="1894"/>
      <c r="Q459" s="1894"/>
      <c r="R459" s="1894"/>
      <c r="S459" s="1894"/>
      <c r="T459" s="1894"/>
      <c r="U459" s="1894"/>
      <c r="V459" s="1895"/>
      <c r="W459" s="1982" t="s">
        <v>136</v>
      </c>
      <c r="X459" s="1983"/>
      <c r="Y459" s="1984"/>
      <c r="Z459" s="495"/>
      <c r="AA459" s="495"/>
      <c r="AB459" s="495"/>
      <c r="AC459" s="495"/>
      <c r="AD459" s="495"/>
      <c r="AE459" s="495"/>
      <c r="AF459" s="495"/>
      <c r="AG459" s="495"/>
      <c r="AH459" s="495"/>
      <c r="AI459" s="495"/>
      <c r="AJ459" s="327"/>
      <c r="AK459" s="327"/>
      <c r="AL459" s="327"/>
    </row>
    <row r="460" spans="1:38" ht="12.75" customHeight="1">
      <c r="A460" s="327"/>
      <c r="B460" s="327"/>
      <c r="C460" s="327"/>
      <c r="D460" s="1893" t="s">
        <v>238</v>
      </c>
      <c r="E460" s="1894"/>
      <c r="F460" s="1894"/>
      <c r="G460" s="1894"/>
      <c r="H460" s="1894"/>
      <c r="I460" s="1894"/>
      <c r="J460" s="1894"/>
      <c r="K460" s="1894"/>
      <c r="L460" s="1894"/>
      <c r="M460" s="1894"/>
      <c r="N460" s="1894"/>
      <c r="O460" s="1894"/>
      <c r="P460" s="1894"/>
      <c r="Q460" s="1894"/>
      <c r="R460" s="1894"/>
      <c r="S460" s="1894"/>
      <c r="T460" s="1894"/>
      <c r="U460" s="1894"/>
      <c r="V460" s="1895"/>
      <c r="W460" s="1982" t="s">
        <v>136</v>
      </c>
      <c r="X460" s="1983"/>
      <c r="Y460" s="1984"/>
      <c r="Z460" s="495"/>
      <c r="AA460" s="495"/>
      <c r="AB460" s="495"/>
      <c r="AC460" s="495"/>
      <c r="AD460" s="495"/>
      <c r="AE460" s="495"/>
      <c r="AF460" s="495"/>
      <c r="AG460" s="495"/>
      <c r="AH460" s="495"/>
      <c r="AI460" s="495"/>
      <c r="AJ460" s="327"/>
      <c r="AK460" s="327"/>
      <c r="AL460" s="327"/>
    </row>
    <row r="461" spans="1:38" ht="12.75" customHeight="1">
      <c r="A461" s="327"/>
      <c r="B461" s="327"/>
      <c r="C461" s="327"/>
      <c r="D461" s="1893" t="s">
        <v>242</v>
      </c>
      <c r="E461" s="1894"/>
      <c r="F461" s="1894"/>
      <c r="G461" s="1894"/>
      <c r="H461" s="1894"/>
      <c r="I461" s="1894"/>
      <c r="J461" s="1894"/>
      <c r="K461" s="1894"/>
      <c r="L461" s="1894"/>
      <c r="M461" s="1894"/>
      <c r="N461" s="1894"/>
      <c r="O461" s="1894"/>
      <c r="P461" s="1894"/>
      <c r="Q461" s="1894"/>
      <c r="R461" s="1894"/>
      <c r="S461" s="1894"/>
      <c r="T461" s="1894"/>
      <c r="U461" s="1894"/>
      <c r="V461" s="1895"/>
      <c r="W461" s="1982" t="s">
        <v>136</v>
      </c>
      <c r="X461" s="1983"/>
      <c r="Y461" s="1984"/>
      <c r="Z461" s="495"/>
      <c r="AA461" s="495"/>
      <c r="AB461" s="495"/>
      <c r="AC461" s="495"/>
      <c r="AD461" s="495"/>
      <c r="AE461" s="495"/>
      <c r="AF461" s="495"/>
      <c r="AG461" s="495"/>
      <c r="AH461" s="495"/>
      <c r="AI461" s="495"/>
      <c r="AJ461" s="327"/>
      <c r="AK461" s="327"/>
      <c r="AL461" s="327"/>
    </row>
    <row r="462" spans="1:38" ht="12.75" customHeight="1">
      <c r="A462" s="327"/>
      <c r="B462" s="327"/>
      <c r="C462" s="327"/>
      <c r="D462" s="2033" t="s">
        <v>1227</v>
      </c>
      <c r="E462" s="1894"/>
      <c r="F462" s="1894"/>
      <c r="G462" s="1894"/>
      <c r="H462" s="1894"/>
      <c r="I462" s="1894"/>
      <c r="J462" s="1894"/>
      <c r="K462" s="1894"/>
      <c r="L462" s="1894"/>
      <c r="M462" s="1894"/>
      <c r="N462" s="1894"/>
      <c r="O462" s="1894"/>
      <c r="P462" s="1894"/>
      <c r="Q462" s="1894"/>
      <c r="R462" s="1894"/>
      <c r="S462" s="1894"/>
      <c r="T462" s="1894"/>
      <c r="U462" s="1894"/>
      <c r="V462" s="1895"/>
      <c r="W462" s="1982" t="s">
        <v>136</v>
      </c>
      <c r="X462" s="1983"/>
      <c r="Y462" s="1984"/>
      <c r="Z462" s="495"/>
      <c r="AA462" s="495"/>
      <c r="AB462" s="495"/>
      <c r="AC462" s="495"/>
      <c r="AD462" s="495"/>
      <c r="AE462" s="495"/>
      <c r="AF462" s="495"/>
      <c r="AG462" s="495"/>
      <c r="AH462" s="495"/>
      <c r="AI462" s="495"/>
      <c r="AJ462" s="327"/>
      <c r="AK462" s="327"/>
      <c r="AL462" s="327"/>
    </row>
    <row r="463" spans="1:38" ht="12.75" customHeight="1">
      <c r="A463" s="327"/>
      <c r="B463" s="327"/>
      <c r="C463" s="327"/>
      <c r="D463" s="1893" t="s">
        <v>246</v>
      </c>
      <c r="E463" s="1894"/>
      <c r="F463" s="1894"/>
      <c r="G463" s="1894"/>
      <c r="H463" s="1894"/>
      <c r="I463" s="1894"/>
      <c r="J463" s="1894"/>
      <c r="K463" s="1894"/>
      <c r="L463" s="1894"/>
      <c r="M463" s="1894"/>
      <c r="N463" s="1894"/>
      <c r="O463" s="1894"/>
      <c r="P463" s="1894"/>
      <c r="Q463" s="1894"/>
      <c r="R463" s="1894"/>
      <c r="S463" s="1894"/>
      <c r="T463" s="1894"/>
      <c r="U463" s="1894"/>
      <c r="V463" s="1895"/>
      <c r="W463" s="1982" t="s">
        <v>136</v>
      </c>
      <c r="X463" s="1983"/>
      <c r="Y463" s="1984"/>
      <c r="Z463" s="495"/>
      <c r="AA463" s="495"/>
      <c r="AB463" s="495"/>
      <c r="AC463" s="495"/>
      <c r="AD463" s="495"/>
      <c r="AE463" s="495"/>
      <c r="AF463" s="495"/>
      <c r="AG463" s="495"/>
      <c r="AH463" s="495"/>
      <c r="AI463" s="495"/>
      <c r="AJ463" s="327"/>
      <c r="AK463" s="327"/>
      <c r="AL463" s="327"/>
    </row>
    <row r="464" spans="1:38" ht="12.75" customHeight="1">
      <c r="A464" s="886"/>
      <c r="B464" s="886"/>
      <c r="C464" s="886"/>
      <c r="D464" s="2033" t="s">
        <v>1445</v>
      </c>
      <c r="E464" s="2121"/>
      <c r="F464" s="2121"/>
      <c r="G464" s="2121"/>
      <c r="H464" s="2121"/>
      <c r="I464" s="2121"/>
      <c r="J464" s="2121"/>
      <c r="K464" s="2121"/>
      <c r="L464" s="2121"/>
      <c r="M464" s="2121"/>
      <c r="N464" s="2121"/>
      <c r="O464" s="2121"/>
      <c r="P464" s="2121"/>
      <c r="Q464" s="2121"/>
      <c r="R464" s="2121"/>
      <c r="S464" s="2121"/>
      <c r="T464" s="2121"/>
      <c r="U464" s="2121"/>
      <c r="V464" s="2122"/>
      <c r="W464" s="2100" t="s">
        <v>136</v>
      </c>
      <c r="X464" s="2101"/>
      <c r="Y464" s="2102"/>
      <c r="Z464" s="887"/>
      <c r="AA464" s="887"/>
      <c r="AB464" s="887"/>
      <c r="AC464" s="887"/>
      <c r="AD464" s="888"/>
      <c r="AE464" s="888"/>
      <c r="AF464" s="888"/>
      <c r="AG464" s="888"/>
      <c r="AH464" s="888"/>
      <c r="AI464" s="888"/>
      <c r="AJ464" s="583"/>
    </row>
    <row r="465" spans="1:97" ht="12.75" customHeight="1">
      <c r="A465" s="327"/>
      <c r="B465" s="327"/>
      <c r="C465" s="327"/>
      <c r="D465" s="656" t="s">
        <v>311</v>
      </c>
      <c r="E465" s="657"/>
      <c r="F465" s="658"/>
      <c r="G465" s="2126"/>
      <c r="H465" s="2127"/>
      <c r="I465" s="2127"/>
      <c r="J465" s="2127"/>
      <c r="K465" s="2127"/>
      <c r="L465" s="2127"/>
      <c r="M465" s="2127"/>
      <c r="N465" s="2127"/>
      <c r="O465" s="2127"/>
      <c r="P465" s="2127"/>
      <c r="Q465" s="2127"/>
      <c r="R465" s="2127"/>
      <c r="S465" s="2127"/>
      <c r="T465" s="2127"/>
      <c r="U465" s="2127"/>
      <c r="V465" s="2128"/>
      <c r="W465" s="1982" t="s">
        <v>136</v>
      </c>
      <c r="X465" s="1983"/>
      <c r="Y465" s="1984"/>
      <c r="Z465" s="495"/>
      <c r="AA465" s="495"/>
      <c r="AB465" s="495"/>
      <c r="AC465" s="495"/>
      <c r="AD465" s="495"/>
      <c r="AE465" s="495"/>
      <c r="AF465" s="495"/>
      <c r="AG465" s="495"/>
      <c r="AH465" s="495"/>
      <c r="AI465" s="495"/>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85" t="s">
        <v>239</v>
      </c>
      <c r="E469" s="1986"/>
      <c r="F469" s="1986"/>
      <c r="G469" s="1986"/>
      <c r="H469" s="1986"/>
      <c r="I469" s="1986"/>
      <c r="J469" s="1986"/>
      <c r="K469" s="1986"/>
      <c r="L469" s="1986"/>
      <c r="M469" s="1986"/>
      <c r="N469" s="1986"/>
      <c r="O469" s="1986"/>
      <c r="P469" s="1986"/>
      <c r="Q469" s="1986"/>
      <c r="R469" s="1986"/>
      <c r="S469" s="1986"/>
      <c r="T469" s="1986"/>
      <c r="U469" s="1986"/>
      <c r="V469" s="1986"/>
      <c r="W469" s="2112"/>
      <c r="X469" s="2112"/>
      <c r="Y469" s="211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893" t="s">
        <v>240</v>
      </c>
      <c r="E470" s="1894"/>
      <c r="F470" s="1894"/>
      <c r="G470" s="1894"/>
      <c r="H470" s="1894"/>
      <c r="I470" s="1894"/>
      <c r="J470" s="1894"/>
      <c r="K470" s="1894"/>
      <c r="L470" s="1894"/>
      <c r="M470" s="1894"/>
      <c r="N470" s="1894"/>
      <c r="O470" s="1894"/>
      <c r="P470" s="1894"/>
      <c r="Q470" s="1894"/>
      <c r="R470" s="1894"/>
      <c r="S470" s="1894"/>
      <c r="T470" s="1894"/>
      <c r="U470" s="1894"/>
      <c r="V470" s="1895"/>
      <c r="W470" s="1982" t="s">
        <v>136</v>
      </c>
      <c r="X470" s="1983"/>
      <c r="Y470" s="198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703" t="s">
        <v>1140</v>
      </c>
      <c r="B473" s="1703"/>
      <c r="C473" s="1703"/>
      <c r="D473" s="1703"/>
      <c r="E473" s="1703"/>
      <c r="F473" s="1703"/>
      <c r="G473" s="1703"/>
      <c r="H473" s="1703"/>
      <c r="I473" s="1703"/>
      <c r="J473" s="1703"/>
      <c r="K473" s="1703"/>
      <c r="L473" s="1703"/>
      <c r="M473" s="1703"/>
      <c r="N473" s="1703"/>
      <c r="O473" s="1703"/>
      <c r="P473" s="1703"/>
      <c r="Q473" s="1703"/>
      <c r="R473" s="1703"/>
      <c r="S473" s="1703"/>
      <c r="T473" s="1703"/>
      <c r="U473" s="1703"/>
      <c r="V473" s="1703"/>
      <c r="W473" s="1703"/>
      <c r="X473" s="1703"/>
      <c r="Y473" s="1703"/>
      <c r="Z473" s="1703"/>
      <c r="AA473" s="1703"/>
      <c r="AB473" s="1703"/>
      <c r="AC473" s="1703"/>
      <c r="AD473" s="1703"/>
      <c r="AE473" s="1703"/>
      <c r="AF473" s="1703"/>
      <c r="AG473" s="1703"/>
      <c r="AH473" s="1703"/>
      <c r="AI473" s="1703"/>
      <c r="AJ473" s="1703"/>
      <c r="AK473" s="1703"/>
      <c r="AL473" s="170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704"/>
      <c r="B474" s="1704"/>
      <c r="C474" s="1704"/>
      <c r="D474" s="1704"/>
      <c r="E474" s="1704"/>
      <c r="F474" s="1704"/>
      <c r="G474" s="1704"/>
      <c r="H474" s="1704"/>
      <c r="I474" s="1704"/>
      <c r="J474" s="1704"/>
      <c r="K474" s="1704"/>
      <c r="L474" s="1704"/>
      <c r="M474" s="1704"/>
      <c r="N474" s="1704"/>
      <c r="O474" s="1704"/>
      <c r="P474" s="1704"/>
      <c r="Q474" s="1704"/>
      <c r="R474" s="1704"/>
      <c r="S474" s="1704"/>
      <c r="T474" s="1704"/>
      <c r="U474" s="1704"/>
      <c r="V474" s="1704"/>
      <c r="W474" s="1704"/>
      <c r="X474" s="1704"/>
      <c r="Y474" s="1704"/>
      <c r="Z474" s="1704"/>
      <c r="AA474" s="1704"/>
      <c r="AB474" s="1704"/>
      <c r="AC474" s="1704"/>
      <c r="AD474" s="1704"/>
      <c r="AE474" s="1704"/>
      <c r="AF474" s="1704"/>
      <c r="AG474" s="1704"/>
      <c r="AH474" s="1704"/>
      <c r="AI474" s="1704"/>
      <c r="AJ474" s="1704"/>
      <c r="AK474" s="1704"/>
      <c r="AL474" s="170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2004" t="s">
        <v>1141</v>
      </c>
      <c r="U478" s="2005"/>
      <c r="V478" s="2005"/>
      <c r="W478" s="2005"/>
      <c r="X478" s="2005"/>
      <c r="Y478" s="2005"/>
      <c r="Z478" s="2005"/>
      <c r="AA478" s="2005"/>
      <c r="AB478" s="2005"/>
      <c r="AC478" s="2005"/>
      <c r="AD478" s="2005"/>
      <c r="AE478" s="2005"/>
      <c r="AF478" s="2005"/>
      <c r="AG478" s="2005"/>
      <c r="AH478" s="200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2031" t="s">
        <v>872</v>
      </c>
      <c r="U479" s="2031"/>
      <c r="V479" s="2031"/>
      <c r="W479" s="2031"/>
      <c r="X479" s="2031"/>
      <c r="Y479" s="2031" t="s">
        <v>873</v>
      </c>
      <c r="Z479" s="2031"/>
      <c r="AA479" s="2031"/>
      <c r="AB479" s="2031"/>
      <c r="AC479" s="2031"/>
      <c r="AD479" s="2031" t="s">
        <v>933</v>
      </c>
      <c r="AE479" s="2031"/>
      <c r="AF479" s="2031"/>
      <c r="AG479" s="2031"/>
      <c r="AH479" s="203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2031"/>
      <c r="U480" s="2031"/>
      <c r="V480" s="2031"/>
      <c r="W480" s="2031"/>
      <c r="X480" s="2031"/>
      <c r="Y480" s="2031"/>
      <c r="Z480" s="2031"/>
      <c r="AA480" s="2031"/>
      <c r="AB480" s="2031"/>
      <c r="AC480" s="2031"/>
      <c r="AD480" s="2031"/>
      <c r="AE480" s="2031"/>
      <c r="AF480" s="2031"/>
      <c r="AG480" s="2031"/>
      <c r="AH480" s="203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556</v>
      </c>
      <c r="F481" s="91"/>
      <c r="G481" s="91"/>
      <c r="H481" s="91"/>
      <c r="I481" s="91"/>
      <c r="J481" s="91"/>
      <c r="K481" s="91"/>
      <c r="L481" s="91"/>
      <c r="M481" s="91"/>
      <c r="N481" s="91"/>
      <c r="O481" s="91"/>
      <c r="P481" s="91"/>
      <c r="Q481" s="91"/>
      <c r="R481" s="91"/>
      <c r="S481" s="92"/>
      <c r="T481" s="2001">
        <v>0</v>
      </c>
      <c r="U481" s="2001"/>
      <c r="V481" s="2001"/>
      <c r="W481" s="2001"/>
      <c r="X481" s="2001"/>
      <c r="Y481" s="2001">
        <v>0</v>
      </c>
      <c r="Z481" s="2001"/>
      <c r="AA481" s="2001"/>
      <c r="AB481" s="2001"/>
      <c r="AC481" s="2001"/>
      <c r="AD481" s="2001">
        <v>42339</v>
      </c>
      <c r="AE481" s="2001"/>
      <c r="AF481" s="2001"/>
      <c r="AG481" s="2001"/>
      <c r="AH481" s="200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557</v>
      </c>
      <c r="F482" s="91"/>
      <c r="G482" s="91"/>
      <c r="H482" s="91"/>
      <c r="I482" s="91"/>
      <c r="J482" s="91"/>
      <c r="K482" s="91"/>
      <c r="L482" s="91"/>
      <c r="M482" s="91"/>
      <c r="N482" s="91"/>
      <c r="O482" s="91"/>
      <c r="P482" s="91"/>
      <c r="Q482" s="91"/>
      <c r="R482" s="91"/>
      <c r="S482" s="91"/>
      <c r="T482" s="2001">
        <v>0</v>
      </c>
      <c r="U482" s="2001"/>
      <c r="V482" s="2001"/>
      <c r="W482" s="2001"/>
      <c r="X482" s="2001"/>
      <c r="Y482" s="2001">
        <v>0</v>
      </c>
      <c r="Z482" s="2001"/>
      <c r="AA482" s="2001"/>
      <c r="AB482" s="2001"/>
      <c r="AC482" s="2001"/>
      <c r="AD482" s="2001">
        <v>42361</v>
      </c>
      <c r="AE482" s="2001"/>
      <c r="AF482" s="2001"/>
      <c r="AG482" s="2001"/>
      <c r="AH482" s="200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558</v>
      </c>
      <c r="F483" s="91"/>
      <c r="G483" s="91"/>
      <c r="H483" s="91"/>
      <c r="I483" s="91"/>
      <c r="J483" s="91"/>
      <c r="K483" s="91"/>
      <c r="L483" s="91"/>
      <c r="M483" s="91"/>
      <c r="N483" s="91"/>
      <c r="O483" s="91"/>
      <c r="P483" s="91"/>
      <c r="Q483" s="91"/>
      <c r="R483" s="91"/>
      <c r="S483" s="91"/>
      <c r="T483" s="2002" t="s">
        <v>136</v>
      </c>
      <c r="U483" s="2001"/>
      <c r="V483" s="2001"/>
      <c r="W483" s="2001"/>
      <c r="X483" s="2001"/>
      <c r="Y483" s="2001">
        <v>0</v>
      </c>
      <c r="Z483" s="2001"/>
      <c r="AA483" s="2001"/>
      <c r="AB483" s="2001"/>
      <c r="AC483" s="2001"/>
      <c r="AD483" s="2001">
        <v>0</v>
      </c>
      <c r="AE483" s="2001"/>
      <c r="AF483" s="2001"/>
      <c r="AG483" s="2001"/>
      <c r="AH483" s="200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559</v>
      </c>
      <c r="F484" s="91"/>
      <c r="G484" s="91"/>
      <c r="H484" s="91"/>
      <c r="I484" s="91"/>
      <c r="J484" s="91"/>
      <c r="K484" s="91"/>
      <c r="L484" s="91"/>
      <c r="M484" s="91"/>
      <c r="N484" s="91"/>
      <c r="O484" s="91"/>
      <c r="P484" s="91"/>
      <c r="Q484" s="91"/>
      <c r="R484" s="91"/>
      <c r="S484" s="91"/>
      <c r="T484" s="2002" t="s">
        <v>136</v>
      </c>
      <c r="U484" s="2001"/>
      <c r="V484" s="2001"/>
      <c r="W484" s="2001"/>
      <c r="X484" s="2001"/>
      <c r="Y484" s="2001">
        <v>0</v>
      </c>
      <c r="Z484" s="2001"/>
      <c r="AA484" s="2001"/>
      <c r="AB484" s="2001"/>
      <c r="AC484" s="2001"/>
      <c r="AD484" s="2001">
        <v>0</v>
      </c>
      <c r="AE484" s="2001"/>
      <c r="AF484" s="2001"/>
      <c r="AG484" s="2001"/>
      <c r="AH484" s="200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560</v>
      </c>
      <c r="F485" s="91"/>
      <c r="G485" s="91"/>
      <c r="H485" s="91"/>
      <c r="I485" s="91"/>
      <c r="J485" s="91"/>
      <c r="K485" s="91"/>
      <c r="L485" s="91"/>
      <c r="M485" s="91"/>
      <c r="N485" s="91"/>
      <c r="O485" s="91"/>
      <c r="P485" s="91"/>
      <c r="Q485" s="91"/>
      <c r="R485" s="91"/>
      <c r="S485" s="91"/>
      <c r="T485" s="2002" t="s">
        <v>136</v>
      </c>
      <c r="U485" s="2001"/>
      <c r="V485" s="2001"/>
      <c r="W485" s="2001"/>
      <c r="X485" s="2001"/>
      <c r="Y485" s="2001">
        <v>0</v>
      </c>
      <c r="Z485" s="2001"/>
      <c r="AA485" s="2001"/>
      <c r="AB485" s="2001"/>
      <c r="AC485" s="2001"/>
      <c r="AD485" s="2001">
        <v>0</v>
      </c>
      <c r="AE485" s="2001"/>
      <c r="AF485" s="2001"/>
      <c r="AG485" s="2001"/>
      <c r="AH485" s="200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561</v>
      </c>
      <c r="F486" s="91"/>
      <c r="G486" s="91"/>
      <c r="H486" s="91"/>
      <c r="I486" s="91"/>
      <c r="J486" s="91"/>
      <c r="K486" s="91"/>
      <c r="L486" s="91"/>
      <c r="M486" s="91"/>
      <c r="N486" s="91"/>
      <c r="O486" s="91"/>
      <c r="P486" s="91"/>
      <c r="Q486" s="91"/>
      <c r="R486" s="91"/>
      <c r="S486" s="91"/>
      <c r="T486" s="2002" t="s">
        <v>136</v>
      </c>
      <c r="U486" s="2001"/>
      <c r="V486" s="2001"/>
      <c r="W486" s="2001"/>
      <c r="X486" s="2001"/>
      <c r="Y486" s="2001">
        <v>0</v>
      </c>
      <c r="Z486" s="2001"/>
      <c r="AA486" s="2001"/>
      <c r="AB486" s="2001"/>
      <c r="AC486" s="2001"/>
      <c r="AD486" s="2001">
        <v>0</v>
      </c>
      <c r="AE486" s="2001"/>
      <c r="AF486" s="2001"/>
      <c r="AG486" s="2001"/>
      <c r="AH486" s="200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562</v>
      </c>
      <c r="F487" s="91"/>
      <c r="G487" s="91"/>
      <c r="H487" s="91"/>
      <c r="I487" s="91"/>
      <c r="J487" s="91"/>
      <c r="K487" s="91"/>
      <c r="L487" s="91"/>
      <c r="M487" s="91"/>
      <c r="N487" s="91"/>
      <c r="O487" s="91"/>
      <c r="P487" s="91"/>
      <c r="Q487" s="91"/>
      <c r="R487" s="91"/>
      <c r="S487" s="91"/>
      <c r="T487" s="2001">
        <v>0</v>
      </c>
      <c r="U487" s="2001"/>
      <c r="V487" s="2001"/>
      <c r="W487" s="2001"/>
      <c r="X487" s="2001"/>
      <c r="Y487" s="2001">
        <v>0</v>
      </c>
      <c r="Z487" s="2001"/>
      <c r="AA487" s="2001"/>
      <c r="AB487" s="2001"/>
      <c r="AC487" s="2001"/>
      <c r="AD487" s="2001">
        <v>42354</v>
      </c>
      <c r="AE487" s="2001"/>
      <c r="AF487" s="2001"/>
      <c r="AG487" s="2001"/>
      <c r="AH487" s="200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940</v>
      </c>
      <c r="F488" s="91"/>
      <c r="G488" s="91"/>
      <c r="H488" s="91"/>
      <c r="I488" s="91"/>
      <c r="J488" s="91"/>
      <c r="K488" s="91"/>
      <c r="L488" s="91"/>
      <c r="M488" s="91"/>
      <c r="N488" s="91"/>
      <c r="O488" s="91"/>
      <c r="P488" s="91"/>
      <c r="Q488" s="91"/>
      <c r="R488" s="91"/>
      <c r="S488" s="91"/>
      <c r="T488" s="2002" t="s">
        <v>136</v>
      </c>
      <c r="U488" s="2001"/>
      <c r="V488" s="2001"/>
      <c r="W488" s="2001"/>
      <c r="X488" s="2001"/>
      <c r="Y488" s="2001">
        <v>0</v>
      </c>
      <c r="Z488" s="2001"/>
      <c r="AA488" s="2001"/>
      <c r="AB488" s="2001"/>
      <c r="AC488" s="2001"/>
      <c r="AD488" s="2001">
        <v>0</v>
      </c>
      <c r="AE488" s="2001"/>
      <c r="AF488" s="2001"/>
      <c r="AG488" s="2001"/>
      <c r="AH488" s="200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2" t="s">
        <v>136</v>
      </c>
      <c r="U489" s="2001"/>
      <c r="V489" s="2001"/>
      <c r="W489" s="2001"/>
      <c r="X489" s="2001"/>
      <c r="Y489" s="2001">
        <v>0</v>
      </c>
      <c r="Z489" s="2001"/>
      <c r="AA489" s="2001"/>
      <c r="AB489" s="2001"/>
      <c r="AC489" s="2001"/>
      <c r="AD489" s="2001">
        <v>0</v>
      </c>
      <c r="AE489" s="2001"/>
      <c r="AF489" s="2001"/>
      <c r="AG489" s="2001"/>
      <c r="AH489" s="200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1420</v>
      </c>
      <c r="F490" s="94"/>
      <c r="G490" s="94"/>
      <c r="H490" s="94"/>
      <c r="I490" s="94"/>
      <c r="J490" s="94"/>
      <c r="K490" s="94"/>
      <c r="L490" s="94"/>
      <c r="M490" s="94"/>
      <c r="N490" s="94"/>
      <c r="O490" s="94"/>
      <c r="P490" s="94"/>
      <c r="Q490" s="94"/>
      <c r="R490" s="94"/>
      <c r="S490" s="94"/>
      <c r="T490" s="2001">
        <v>0</v>
      </c>
      <c r="U490" s="2001"/>
      <c r="V490" s="2001"/>
      <c r="W490" s="2001"/>
      <c r="X490" s="2001"/>
      <c r="Y490" s="2001">
        <v>0</v>
      </c>
      <c r="Z490" s="2001"/>
      <c r="AA490" s="2001"/>
      <c r="AB490" s="2001"/>
      <c r="AC490" s="2001"/>
      <c r="AD490" s="2001">
        <f>AD487</f>
        <v>42354</v>
      </c>
      <c r="AE490" s="2001"/>
      <c r="AF490" s="2001"/>
      <c r="AG490" s="2001"/>
      <c r="AH490" s="200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2004" t="s">
        <v>266</v>
      </c>
      <c r="R492" s="2005"/>
      <c r="S492" s="2005"/>
      <c r="T492" s="2005"/>
      <c r="U492" s="2005"/>
      <c r="V492" s="2005"/>
      <c r="W492" s="2005"/>
      <c r="X492" s="2005"/>
      <c r="Y492" s="2005"/>
      <c r="Z492" s="2005"/>
      <c r="AA492" s="2005"/>
      <c r="AB492" s="2005"/>
      <c r="AC492" s="2005"/>
      <c r="AD492" s="2005"/>
      <c r="AE492" s="2005"/>
      <c r="AF492" s="2005"/>
      <c r="AG492" s="2005"/>
      <c r="AH492" s="2005"/>
      <c r="AI492" s="2005"/>
      <c r="AJ492" s="2005"/>
      <c r="AK492" s="200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267</v>
      </c>
      <c r="C493" s="91"/>
      <c r="D493" s="91"/>
      <c r="E493" s="91"/>
      <c r="F493" s="91"/>
      <c r="G493" s="91"/>
      <c r="H493" s="91"/>
      <c r="I493" s="91"/>
      <c r="J493" s="91"/>
      <c r="K493" s="91"/>
      <c r="L493" s="91"/>
      <c r="M493" s="91"/>
      <c r="N493" s="91"/>
      <c r="O493" s="91"/>
      <c r="P493" s="91"/>
      <c r="Q493" s="2003" t="s">
        <v>2450</v>
      </c>
      <c r="R493" s="1696"/>
      <c r="S493" s="1696"/>
      <c r="T493" s="1696"/>
      <c r="U493" s="1696"/>
      <c r="V493" s="1696"/>
      <c r="W493" s="1696"/>
      <c r="X493" s="1696"/>
      <c r="Y493" s="1696"/>
      <c r="Z493" s="1696"/>
      <c r="AA493" s="1696"/>
      <c r="AB493" s="1696"/>
      <c r="AC493" s="1696"/>
      <c r="AD493" s="1696"/>
      <c r="AE493" s="1696"/>
      <c r="AF493" s="1696"/>
      <c r="AG493" s="1696"/>
      <c r="AH493" s="1696"/>
      <c r="AI493" s="1696"/>
      <c r="AJ493" s="1696"/>
      <c r="AK493" s="17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268</v>
      </c>
      <c r="C494" s="91"/>
      <c r="D494" s="91"/>
      <c r="E494" s="91"/>
      <c r="F494" s="91"/>
      <c r="G494" s="91"/>
      <c r="H494" s="91"/>
      <c r="I494" s="91"/>
      <c r="J494" s="91"/>
      <c r="K494" s="91"/>
      <c r="L494" s="91"/>
      <c r="M494" s="91"/>
      <c r="N494" s="91"/>
      <c r="O494" s="91"/>
      <c r="P494" s="91"/>
      <c r="Q494" s="2003" t="s">
        <v>2451</v>
      </c>
      <c r="R494" s="1696"/>
      <c r="S494" s="1696"/>
      <c r="T494" s="1696"/>
      <c r="U494" s="1696"/>
      <c r="V494" s="1696"/>
      <c r="W494" s="1696"/>
      <c r="X494" s="1696"/>
      <c r="Y494" s="1696"/>
      <c r="Z494" s="1696"/>
      <c r="AA494" s="1696"/>
      <c r="AB494" s="1696"/>
      <c r="AC494" s="1696"/>
      <c r="AD494" s="1696"/>
      <c r="AE494" s="1696"/>
      <c r="AF494" s="1696"/>
      <c r="AG494" s="1696"/>
      <c r="AH494" s="1696"/>
      <c r="AI494" s="1696"/>
      <c r="AJ494" s="1696"/>
      <c r="AK494" s="175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269</v>
      </c>
      <c r="C495" s="91"/>
      <c r="D495" s="91"/>
      <c r="E495" s="91"/>
      <c r="F495" s="91"/>
      <c r="G495" s="91"/>
      <c r="H495" s="91"/>
      <c r="I495" s="91"/>
      <c r="J495" s="91"/>
      <c r="K495" s="91"/>
      <c r="L495" s="91"/>
      <c r="M495" s="91"/>
      <c r="N495" s="91"/>
      <c r="O495" s="91"/>
      <c r="P495" s="91"/>
      <c r="Q495" s="2003" t="s">
        <v>2452</v>
      </c>
      <c r="R495" s="1696"/>
      <c r="S495" s="1696"/>
      <c r="T495" s="1696"/>
      <c r="U495" s="1696"/>
      <c r="V495" s="1696"/>
      <c r="W495" s="1696"/>
      <c r="X495" s="1696"/>
      <c r="Y495" s="1696"/>
      <c r="Z495" s="1696"/>
      <c r="AA495" s="1696"/>
      <c r="AB495" s="1696"/>
      <c r="AC495" s="1696"/>
      <c r="AD495" s="1696"/>
      <c r="AE495" s="1696"/>
      <c r="AF495" s="1696"/>
      <c r="AG495" s="1696"/>
      <c r="AH495" s="1696"/>
      <c r="AI495" s="1696"/>
      <c r="AJ495" s="1696"/>
      <c r="AK495" s="175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5" t="s">
        <v>270</v>
      </c>
      <c r="C496" s="2026"/>
      <c r="D496" s="2026"/>
      <c r="E496" s="2026"/>
      <c r="F496" s="2026"/>
      <c r="G496" s="2026"/>
      <c r="H496" s="2026"/>
      <c r="I496" s="2026"/>
      <c r="J496" s="2026"/>
      <c r="K496" s="2026"/>
      <c r="L496" s="2026"/>
      <c r="M496" s="2026"/>
      <c r="N496" s="2026"/>
      <c r="O496" s="2026"/>
      <c r="P496" s="2027"/>
      <c r="Q496" s="2132" t="s">
        <v>531</v>
      </c>
      <c r="R496" s="2133"/>
      <c r="S496" s="2136" t="s">
        <v>58</v>
      </c>
      <c r="T496" s="2137"/>
      <c r="U496" s="2137"/>
      <c r="V496" s="2137"/>
      <c r="W496" s="2137"/>
      <c r="X496" s="2137"/>
      <c r="Y496" s="2137"/>
      <c r="Z496" s="2137"/>
      <c r="AA496" s="2137"/>
      <c r="AB496" s="2137"/>
      <c r="AC496" s="2137"/>
      <c r="AD496" s="2137"/>
      <c r="AE496" s="2137"/>
      <c r="AF496" s="2137"/>
      <c r="AG496" s="2137"/>
      <c r="AH496" s="2137"/>
      <c r="AI496" s="2137"/>
      <c r="AJ496" s="2137"/>
      <c r="AK496" s="213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28"/>
      <c r="C497" s="2029"/>
      <c r="D497" s="2029"/>
      <c r="E497" s="2029"/>
      <c r="F497" s="2029"/>
      <c r="G497" s="2029"/>
      <c r="H497" s="2029"/>
      <c r="I497" s="2029"/>
      <c r="J497" s="2029"/>
      <c r="K497" s="2029"/>
      <c r="L497" s="2029"/>
      <c r="M497" s="2029"/>
      <c r="N497" s="2029"/>
      <c r="O497" s="2029"/>
      <c r="P497" s="2030"/>
      <c r="Q497" s="2134"/>
      <c r="R497" s="2135"/>
      <c r="S497" s="2139"/>
      <c r="T497" s="2140"/>
      <c r="U497" s="2140"/>
      <c r="V497" s="2140"/>
      <c r="W497" s="2140"/>
      <c r="X497" s="2140"/>
      <c r="Y497" s="2140"/>
      <c r="Z497" s="2140"/>
      <c r="AA497" s="2140"/>
      <c r="AB497" s="2140"/>
      <c r="AC497" s="2140"/>
      <c r="AD497" s="2140"/>
      <c r="AE497" s="2140"/>
      <c r="AF497" s="2140"/>
      <c r="AG497" s="2140"/>
      <c r="AH497" s="2140"/>
      <c r="AI497" s="2140"/>
      <c r="AJ497" s="2140"/>
      <c r="AK497" s="214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29" t="s">
        <v>2271</v>
      </c>
      <c r="C498" s="1398"/>
      <c r="D498" s="1398"/>
      <c r="E498" s="1398"/>
      <c r="F498" s="1398"/>
      <c r="G498" s="1398"/>
      <c r="H498" s="1398"/>
      <c r="I498" s="1398"/>
      <c r="J498" s="1398"/>
      <c r="K498" s="1398"/>
      <c r="L498" s="1398"/>
      <c r="M498" s="1398"/>
      <c r="N498" s="1398"/>
      <c r="O498" s="1398"/>
      <c r="P498" s="1398"/>
      <c r="Q498" s="2142" t="s">
        <v>531</v>
      </c>
      <c r="R498" s="2143"/>
      <c r="S498" s="2143"/>
      <c r="T498" s="2143"/>
      <c r="U498" s="2143"/>
      <c r="V498" s="2143"/>
      <c r="W498" s="2143"/>
      <c r="X498" s="2143"/>
      <c r="Y498" s="2143"/>
      <c r="Z498" s="2143"/>
      <c r="AA498" s="2143"/>
      <c r="AB498" s="2143"/>
      <c r="AC498" s="2143"/>
      <c r="AD498" s="2143"/>
      <c r="AE498" s="2143"/>
      <c r="AF498" s="2143"/>
      <c r="AG498" s="2143"/>
      <c r="AH498" s="2143"/>
      <c r="AI498" s="2143"/>
      <c r="AJ498" s="2143"/>
      <c r="AK498" s="214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271</v>
      </c>
      <c r="C499" s="91"/>
      <c r="D499" s="91"/>
      <c r="E499" s="91"/>
      <c r="F499" s="91"/>
      <c r="G499" s="91"/>
      <c r="H499" s="91"/>
      <c r="I499" s="91"/>
      <c r="J499" s="91"/>
      <c r="K499" s="91"/>
      <c r="L499" s="91"/>
      <c r="M499" s="91"/>
      <c r="N499" s="91"/>
      <c r="O499" s="91"/>
      <c r="P499" s="91"/>
      <c r="Q499" s="2003" t="s">
        <v>2453</v>
      </c>
      <c r="R499" s="1696"/>
      <c r="S499" s="1696"/>
      <c r="T499" s="1696"/>
      <c r="U499" s="1696"/>
      <c r="V499" s="1696"/>
      <c r="W499" s="1696"/>
      <c r="X499" s="1696"/>
      <c r="Y499" s="1696"/>
      <c r="Z499" s="1696"/>
      <c r="AA499" s="1696"/>
      <c r="AB499" s="1696"/>
      <c r="AC499" s="1696"/>
      <c r="AD499" s="1696"/>
      <c r="AE499" s="1696"/>
      <c r="AF499" s="1696"/>
      <c r="AG499" s="1696"/>
      <c r="AH499" s="1696"/>
      <c r="AI499" s="1696"/>
      <c r="AJ499" s="1696"/>
      <c r="AK499" s="175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272</v>
      </c>
      <c r="C500" s="91"/>
      <c r="D500" s="91"/>
      <c r="E500" s="91"/>
      <c r="F500" s="91"/>
      <c r="G500" s="91"/>
      <c r="H500" s="91"/>
      <c r="I500" s="91"/>
      <c r="J500" s="91"/>
      <c r="K500" s="91"/>
      <c r="L500" s="91"/>
      <c r="M500" s="91"/>
      <c r="N500" s="91"/>
      <c r="O500" s="91"/>
      <c r="P500" s="91"/>
      <c r="Q500" s="2003" t="s">
        <v>2454</v>
      </c>
      <c r="R500" s="1696"/>
      <c r="S500" s="1696"/>
      <c r="T500" s="1696"/>
      <c r="U500" s="1696"/>
      <c r="V500" s="1696"/>
      <c r="W500" s="1696"/>
      <c r="X500" s="1696"/>
      <c r="Y500" s="1696"/>
      <c r="Z500" s="1696"/>
      <c r="AA500" s="1696"/>
      <c r="AB500" s="1696"/>
      <c r="AC500" s="1696"/>
      <c r="AD500" s="1696"/>
      <c r="AE500" s="1696"/>
      <c r="AF500" s="1696"/>
      <c r="AG500" s="1696"/>
      <c r="AH500" s="1696"/>
      <c r="AI500" s="1696"/>
      <c r="AJ500" s="1696"/>
      <c r="AK500" s="175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2272</v>
      </c>
      <c r="C501" s="91"/>
      <c r="D501" s="91"/>
      <c r="E501" s="91"/>
      <c r="F501" s="91"/>
      <c r="G501" s="91"/>
      <c r="H501" s="91"/>
      <c r="I501" s="91"/>
      <c r="J501" s="91"/>
      <c r="K501" s="91"/>
      <c r="L501" s="91"/>
      <c r="M501" s="91"/>
      <c r="N501" s="91"/>
      <c r="O501" s="91"/>
      <c r="P501" s="91"/>
      <c r="Q501" s="1758">
        <v>43</v>
      </c>
      <c r="R501" s="1696"/>
      <c r="S501" s="1696"/>
      <c r="T501" s="1696"/>
      <c r="U501" s="1696"/>
      <c r="V501" s="1696"/>
      <c r="W501" s="1696"/>
      <c r="X501" s="1696"/>
      <c r="Y501" s="1696"/>
      <c r="Z501" s="1696"/>
      <c r="AA501" s="1696"/>
      <c r="AB501" s="1696"/>
      <c r="AC501" s="1696"/>
      <c r="AD501" s="1696"/>
      <c r="AE501" s="1696"/>
      <c r="AF501" s="1696"/>
      <c r="AG501" s="1696"/>
      <c r="AH501" s="1696"/>
      <c r="AI501" s="1696"/>
      <c r="AJ501" s="1696"/>
      <c r="AK501" s="175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2273</v>
      </c>
      <c r="C502" s="91"/>
      <c r="D502" s="91"/>
      <c r="E502" s="91"/>
      <c r="F502" s="91"/>
      <c r="G502" s="91"/>
      <c r="H502" s="91"/>
      <c r="I502" s="91"/>
      <c r="J502" s="91"/>
      <c r="K502" s="91"/>
      <c r="L502" s="91"/>
      <c r="M502" s="1969">
        <v>0</v>
      </c>
      <c r="N502" s="1725"/>
      <c r="O502" s="1725"/>
      <c r="P502" s="1970"/>
      <c r="Q502" s="1430" t="s">
        <v>2274</v>
      </c>
      <c r="R502" s="1431"/>
      <c r="S502" s="1431"/>
      <c r="T502" s="1431"/>
      <c r="U502" s="1431"/>
      <c r="V502" s="1431"/>
      <c r="W502" s="1431"/>
      <c r="X502" s="1431"/>
      <c r="Y502" s="1431"/>
      <c r="Z502" s="1431"/>
      <c r="AA502" s="1431"/>
      <c r="AB502" s="1431"/>
      <c r="AC502" s="1431"/>
      <c r="AD502" s="1431"/>
      <c r="AE502" s="1431"/>
      <c r="AF502" s="1431"/>
      <c r="AG502" s="1431"/>
      <c r="AH502" s="1969">
        <v>43</v>
      </c>
      <c r="AI502" s="1725"/>
      <c r="AJ502" s="1725"/>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4" t="s">
        <v>274</v>
      </c>
      <c r="AD506" s="2005"/>
      <c r="AE506" s="2005"/>
      <c r="AF506" s="2005"/>
      <c r="AG506" s="2005"/>
      <c r="AH506" s="2005"/>
      <c r="AI506" s="2005"/>
      <c r="AJ506" s="2005"/>
      <c r="AK506" s="200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99" t="s">
        <v>275</v>
      </c>
      <c r="AD507" s="2019"/>
      <c r="AE507" s="2019"/>
      <c r="AF507" s="2019"/>
      <c r="AG507" s="96" t="s">
        <v>276</v>
      </c>
      <c r="AH507" s="2019" t="s">
        <v>277</v>
      </c>
      <c r="AI507" s="2019"/>
      <c r="AJ507" s="2019"/>
      <c r="AK507" s="20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727" t="s">
        <v>278</v>
      </c>
      <c r="C508" s="1728"/>
      <c r="D508" s="1728"/>
      <c r="E508" s="1728"/>
      <c r="F508" s="1728"/>
      <c r="G508" s="1728"/>
      <c r="H508" s="1729"/>
      <c r="I508" s="86" t="s">
        <v>736</v>
      </c>
      <c r="J508" s="86"/>
      <c r="K508" s="86"/>
      <c r="L508" s="86"/>
      <c r="M508" s="86"/>
      <c r="N508" s="86"/>
      <c r="O508" s="86"/>
      <c r="P508" s="86"/>
      <c r="Q508" s="86"/>
      <c r="R508" s="86"/>
      <c r="S508" s="86"/>
      <c r="T508" s="86"/>
      <c r="U508" s="86"/>
      <c r="V508" s="86"/>
      <c r="W508" s="86"/>
      <c r="X508" s="35"/>
      <c r="Y508" s="35"/>
      <c r="AC508" s="1978">
        <v>12</v>
      </c>
      <c r="AD508" s="1892"/>
      <c r="AE508" s="1892"/>
      <c r="AF508" s="1892"/>
      <c r="AG508" s="89" t="s">
        <v>276</v>
      </c>
      <c r="AH508" s="1723">
        <v>2015</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730"/>
      <c r="C509" s="1731"/>
      <c r="D509" s="1731"/>
      <c r="E509" s="1731"/>
      <c r="F509" s="1731"/>
      <c r="G509" s="1731"/>
      <c r="H509" s="1732"/>
      <c r="I509" s="94" t="s">
        <v>737</v>
      </c>
      <c r="J509" s="94"/>
      <c r="K509" s="94"/>
      <c r="L509" s="94"/>
      <c r="M509" s="94"/>
      <c r="N509" s="94"/>
      <c r="O509" s="94"/>
      <c r="P509" s="94"/>
      <c r="Q509" s="94"/>
      <c r="R509" s="94"/>
      <c r="S509" s="94"/>
      <c r="T509" s="94"/>
      <c r="U509" s="94"/>
      <c r="V509" s="94"/>
      <c r="W509" s="94"/>
      <c r="X509" s="94"/>
      <c r="Y509" s="94"/>
      <c r="Z509" s="94"/>
      <c r="AA509" s="94"/>
      <c r="AB509" s="94"/>
      <c r="AC509" s="1978">
        <v>3</v>
      </c>
      <c r="AD509" s="1892"/>
      <c r="AE509" s="1892"/>
      <c r="AF509" s="1892"/>
      <c r="AG509" s="79" t="s">
        <v>276</v>
      </c>
      <c r="AH509" s="1723">
        <v>2022</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727" t="s">
        <v>738</v>
      </c>
      <c r="C510" s="1728"/>
      <c r="D510" s="1728"/>
      <c r="E510" s="1728"/>
      <c r="F510" s="1728"/>
      <c r="G510" s="1728"/>
      <c r="H510" s="1729"/>
      <c r="I510" s="86" t="s">
        <v>739</v>
      </c>
      <c r="J510" s="86"/>
      <c r="K510" s="86"/>
      <c r="L510" s="86"/>
      <c r="M510" s="86"/>
      <c r="N510" s="86"/>
      <c r="O510" s="86"/>
      <c r="P510" s="86"/>
      <c r="Q510" s="86"/>
      <c r="R510" s="86"/>
      <c r="S510" s="86"/>
      <c r="T510" s="86"/>
      <c r="U510" s="86"/>
      <c r="V510" s="86"/>
      <c r="W510" s="86"/>
      <c r="X510" s="35"/>
      <c r="Y510" s="35"/>
      <c r="AC510" s="1978" t="s">
        <v>136</v>
      </c>
      <c r="AD510" s="1892"/>
      <c r="AE510" s="1892"/>
      <c r="AF510" s="1892"/>
      <c r="AG510" s="89" t="s">
        <v>276</v>
      </c>
      <c r="AH510" s="1723"/>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730"/>
      <c r="C511" s="1731"/>
      <c r="D511" s="1731"/>
      <c r="E511" s="1731"/>
      <c r="F511" s="1731"/>
      <c r="G511" s="1731"/>
      <c r="H511" s="1732"/>
      <c r="I511" s="35" t="s">
        <v>740</v>
      </c>
      <c r="J511" s="35"/>
      <c r="K511" s="35"/>
      <c r="L511" s="35"/>
      <c r="M511" s="35"/>
      <c r="N511" s="35"/>
      <c r="O511" s="35"/>
      <c r="P511" s="35"/>
      <c r="Q511" s="35"/>
      <c r="R511" s="35"/>
      <c r="S511" s="35"/>
      <c r="T511" s="35"/>
      <c r="U511" s="35"/>
      <c r="V511" s="35"/>
      <c r="W511" s="35"/>
      <c r="X511" s="35"/>
      <c r="Y511" s="35"/>
      <c r="AC511" s="1978" t="s">
        <v>136</v>
      </c>
      <c r="AD511" s="1892"/>
      <c r="AE511" s="1892"/>
      <c r="AF511" s="1892"/>
      <c r="AG511" s="89" t="s">
        <v>276</v>
      </c>
      <c r="AH511" s="1723"/>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730"/>
      <c r="C512" s="1731"/>
      <c r="D512" s="1731"/>
      <c r="E512" s="1731"/>
      <c r="F512" s="1731"/>
      <c r="G512" s="1731"/>
      <c r="H512" s="1732"/>
      <c r="I512" s="35" t="s">
        <v>741</v>
      </c>
      <c r="J512" s="35"/>
      <c r="K512" s="35"/>
      <c r="L512" s="35"/>
      <c r="M512" s="35"/>
      <c r="N512" s="35"/>
      <c r="O512" s="35"/>
      <c r="P512" s="35"/>
      <c r="Q512" s="35"/>
      <c r="R512" s="35"/>
      <c r="S512" s="35"/>
      <c r="T512" s="35"/>
      <c r="U512" s="35"/>
      <c r="V512" s="35"/>
      <c r="W512" s="35"/>
      <c r="X512" s="35"/>
      <c r="Y512" s="35"/>
      <c r="AC512" s="1978">
        <v>12</v>
      </c>
      <c r="AD512" s="1892"/>
      <c r="AE512" s="1892"/>
      <c r="AF512" s="1892"/>
      <c r="AG512" s="89" t="s">
        <v>276</v>
      </c>
      <c r="AH512" s="1723">
        <f>AH508</f>
        <v>2015</v>
      </c>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730"/>
      <c r="C513" s="1731"/>
      <c r="D513" s="1731"/>
      <c r="E513" s="1731"/>
      <c r="F513" s="1731"/>
      <c r="G513" s="1731"/>
      <c r="H513" s="1732"/>
      <c r="I513" s="35" t="s">
        <v>742</v>
      </c>
      <c r="J513" s="35"/>
      <c r="K513" s="35"/>
      <c r="L513" s="35"/>
      <c r="M513" s="35"/>
      <c r="N513" s="35"/>
      <c r="O513" s="35"/>
      <c r="P513" s="35"/>
      <c r="Q513" s="35"/>
      <c r="R513" s="35"/>
      <c r="S513" s="35"/>
      <c r="T513" s="35"/>
      <c r="U513" s="35"/>
      <c r="V513" s="35"/>
      <c r="W513" s="35"/>
      <c r="X513" s="35"/>
      <c r="Y513" s="35"/>
      <c r="AC513" s="1978">
        <v>2</v>
      </c>
      <c r="AD513" s="1892"/>
      <c r="AE513" s="1892"/>
      <c r="AF513" s="1892"/>
      <c r="AG513" s="89" t="s">
        <v>276</v>
      </c>
      <c r="AH513" s="1723">
        <f>AH509</f>
        <v>2022</v>
      </c>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730"/>
      <c r="C514" s="1731"/>
      <c r="D514" s="1731"/>
      <c r="E514" s="1731"/>
      <c r="F514" s="1731"/>
      <c r="G514" s="1731"/>
      <c r="H514" s="1732"/>
      <c r="I514" s="326" t="s">
        <v>743</v>
      </c>
      <c r="J514" s="35"/>
      <c r="K514" s="35"/>
      <c r="L514" s="35"/>
      <c r="M514" s="35"/>
      <c r="N514" s="35"/>
      <c r="O514" s="35"/>
      <c r="P514" s="35"/>
      <c r="Q514" s="35"/>
      <c r="R514" s="35"/>
      <c r="S514" s="35"/>
      <c r="T514" s="35"/>
      <c r="U514" s="35"/>
      <c r="V514" s="35"/>
      <c r="W514" s="35"/>
      <c r="X514" s="35"/>
      <c r="Y514" s="35"/>
      <c r="AC514" s="1836">
        <v>2</v>
      </c>
      <c r="AD514" s="1837"/>
      <c r="AE514" s="1837"/>
      <c r="AF514" s="1837"/>
      <c r="AG514" s="1400" t="s">
        <v>276</v>
      </c>
      <c r="AH514" s="1723">
        <f>AH513</f>
        <v>2022</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730"/>
      <c r="C515" s="1731"/>
      <c r="D515" s="1731"/>
      <c r="E515" s="1731"/>
      <c r="F515" s="1731"/>
      <c r="G515" s="1731"/>
      <c r="H515" s="1732"/>
      <c r="I515" s="646" t="s">
        <v>311</v>
      </c>
      <c r="J515" s="94"/>
      <c r="K515" s="94"/>
      <c r="L515" s="2114" t="s">
        <v>621</v>
      </c>
      <c r="M515" s="2115"/>
      <c r="N515" s="2115"/>
      <c r="O515" s="2115"/>
      <c r="P515" s="2115"/>
      <c r="Q515" s="2115"/>
      <c r="R515" s="2115"/>
      <c r="S515" s="2115"/>
      <c r="T515" s="2115"/>
      <c r="U515" s="2115"/>
      <c r="V515" s="2115"/>
      <c r="W515" s="2115"/>
      <c r="X515" s="2115"/>
      <c r="Y515" s="2115"/>
      <c r="Z515" s="2115"/>
      <c r="AA515" s="2115"/>
      <c r="AB515" s="2116"/>
      <c r="AC515" s="2108" t="s">
        <v>136</v>
      </c>
      <c r="AD515" s="1873"/>
      <c r="AE515" s="1873"/>
      <c r="AF515" s="1873"/>
      <c r="AG515" s="1396" t="s">
        <v>276</v>
      </c>
      <c r="AH515" s="1723"/>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730"/>
      <c r="C516" s="1731"/>
      <c r="D516" s="1731"/>
      <c r="E516" s="1731"/>
      <c r="F516" s="1731"/>
      <c r="G516" s="1731"/>
      <c r="H516" s="1732"/>
      <c r="I516" s="1104" t="s">
        <v>2275</v>
      </c>
      <c r="J516" s="35"/>
      <c r="K516" s="35"/>
      <c r="L516" s="35"/>
      <c r="M516" s="35"/>
      <c r="N516" s="35"/>
      <c r="O516" s="35"/>
      <c r="P516" s="35"/>
      <c r="Q516" s="35"/>
      <c r="R516" s="35"/>
      <c r="S516" s="35"/>
      <c r="T516" s="35"/>
      <c r="U516" s="35"/>
      <c r="V516" s="35"/>
      <c r="W516" s="35"/>
      <c r="X516" s="35"/>
      <c r="Y516" s="35"/>
      <c r="AC516" s="2109" t="s">
        <v>119</v>
      </c>
      <c r="AD516" s="2109"/>
      <c r="AE516" s="2109"/>
      <c r="AF516" s="2109"/>
      <c r="AG516" s="1400"/>
      <c r="AH516" s="2103"/>
      <c r="AI516" s="2103"/>
      <c r="AJ516" s="2103"/>
      <c r="AK516" s="210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730"/>
      <c r="C517" s="1731"/>
      <c r="D517" s="1731"/>
      <c r="E517" s="1731"/>
      <c r="F517" s="1731"/>
      <c r="G517" s="1731"/>
      <c r="H517" s="1732"/>
      <c r="I517" s="645" t="s">
        <v>2276</v>
      </c>
      <c r="J517" s="35"/>
      <c r="K517" s="35"/>
      <c r="L517" s="35"/>
      <c r="M517" s="35"/>
      <c r="N517" s="35"/>
      <c r="O517" s="35"/>
      <c r="P517" s="35"/>
      <c r="Q517" s="35"/>
      <c r="R517" s="35"/>
      <c r="S517" s="35"/>
      <c r="T517" s="35"/>
      <c r="U517" s="35"/>
      <c r="V517" s="35"/>
      <c r="W517" s="35"/>
      <c r="X517" s="35"/>
      <c r="Y517" s="35"/>
      <c r="AC517" s="1836">
        <v>3</v>
      </c>
      <c r="AD517" s="1837"/>
      <c r="AE517" s="1837"/>
      <c r="AF517" s="1838"/>
      <c r="AG517" s="1400"/>
      <c r="AH517" s="2103"/>
      <c r="AI517" s="2103"/>
      <c r="AJ517" s="2103"/>
      <c r="AK517" s="210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730"/>
      <c r="C518" s="1731"/>
      <c r="D518" s="1731"/>
      <c r="E518" s="1731"/>
      <c r="F518" s="1731"/>
      <c r="G518" s="1731"/>
      <c r="H518" s="1732"/>
      <c r="I518" s="645" t="s">
        <v>2277</v>
      </c>
      <c r="J518" s="35"/>
      <c r="K518" s="35"/>
      <c r="L518" s="35"/>
      <c r="M518" s="35"/>
      <c r="N518" s="35"/>
      <c r="O518" s="35"/>
      <c r="P518" s="35"/>
      <c r="Q518" s="35"/>
      <c r="R518" s="35"/>
      <c r="S518" s="35"/>
      <c r="T518" s="35"/>
      <c r="U518" s="35"/>
      <c r="V518" s="35"/>
      <c r="W518" s="35"/>
      <c r="X518" s="35"/>
      <c r="Y518" s="35"/>
      <c r="AC518" s="1432"/>
      <c r="AD518" s="1433"/>
      <c r="AE518" s="1433"/>
      <c r="AF518" s="1434"/>
      <c r="AG518" s="1399"/>
      <c r="AH518" s="1402"/>
      <c r="AI518" s="1402"/>
      <c r="AJ518" s="1402"/>
      <c r="AK518" s="143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730"/>
      <c r="C519" s="1731"/>
      <c r="D519" s="1731"/>
      <c r="E519" s="1731"/>
      <c r="F519" s="1731"/>
      <c r="G519" s="1731"/>
      <c r="H519" s="1732"/>
      <c r="I519" s="1436" t="s">
        <v>2278</v>
      </c>
      <c r="J519" s="94"/>
      <c r="K519" s="94"/>
      <c r="L519" s="94"/>
      <c r="M519" s="94"/>
      <c r="N519" s="94"/>
      <c r="O519" s="94"/>
      <c r="P519" s="94"/>
      <c r="Q519" s="94"/>
      <c r="R519" s="94"/>
      <c r="S519" s="94"/>
      <c r="T519" s="94"/>
      <c r="U519" s="94"/>
      <c r="V519" s="94"/>
      <c r="W519" s="94"/>
      <c r="X519" s="94"/>
      <c r="Y519" s="94"/>
      <c r="Z519" s="94"/>
      <c r="AA519" s="94"/>
      <c r="AB519" s="94"/>
      <c r="AC519" s="2105">
        <v>1</v>
      </c>
      <c r="AD519" s="2106"/>
      <c r="AE519" s="2106"/>
      <c r="AF519" s="2107"/>
      <c r="AG519" s="1396"/>
      <c r="AH519" s="2021"/>
      <c r="AI519" s="2021"/>
      <c r="AJ519" s="2021"/>
      <c r="AK519" s="202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727" t="s">
        <v>744</v>
      </c>
      <c r="C520" s="1728"/>
      <c r="D520" s="1728"/>
      <c r="E520" s="1728"/>
      <c r="F520" s="1728"/>
      <c r="G520" s="1728"/>
      <c r="H520" s="1729"/>
      <c r="I520" s="86" t="s">
        <v>745</v>
      </c>
      <c r="J520" s="86"/>
      <c r="K520" s="86"/>
      <c r="L520" s="86"/>
      <c r="M520" s="86"/>
      <c r="N520" s="86"/>
      <c r="O520" s="86"/>
      <c r="P520" s="86"/>
      <c r="Q520" s="86"/>
      <c r="R520" s="86"/>
      <c r="S520" s="86"/>
      <c r="T520" s="86"/>
      <c r="U520" s="86"/>
      <c r="V520" s="86"/>
      <c r="W520" s="86"/>
      <c r="X520" s="35"/>
      <c r="Y520" s="35"/>
      <c r="AC520" s="1978">
        <v>6</v>
      </c>
      <c r="AD520" s="1892"/>
      <c r="AE520" s="1892"/>
      <c r="AF520" s="1892"/>
      <c r="AG520" s="89" t="s">
        <v>276</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730"/>
      <c r="C521" s="1731"/>
      <c r="D521" s="1731"/>
      <c r="E521" s="1731"/>
      <c r="F521" s="1731"/>
      <c r="G521" s="1731"/>
      <c r="H521" s="1732"/>
      <c r="I521" s="35" t="s">
        <v>746</v>
      </c>
      <c r="J521" s="35"/>
      <c r="K521" s="35"/>
      <c r="L521" s="35"/>
      <c r="M521" s="35"/>
      <c r="N521" s="35"/>
      <c r="O521" s="35"/>
      <c r="P521" s="35"/>
      <c r="Q521" s="35"/>
      <c r="R521" s="35"/>
      <c r="S521" s="35"/>
      <c r="T521" s="35"/>
      <c r="U521" s="35"/>
      <c r="V521" s="35"/>
      <c r="W521" s="35"/>
      <c r="X521" s="35"/>
      <c r="Y521" s="35"/>
      <c r="AC521" s="1978">
        <v>6</v>
      </c>
      <c r="AD521" s="1892"/>
      <c r="AE521" s="1892"/>
      <c r="AF521" s="1892"/>
      <c r="AG521" s="89" t="s">
        <v>276</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730"/>
      <c r="C522" s="1731"/>
      <c r="D522" s="1731"/>
      <c r="E522" s="1731"/>
      <c r="F522" s="1731"/>
      <c r="G522" s="1731"/>
      <c r="H522" s="1732"/>
      <c r="I522" s="94" t="s">
        <v>747</v>
      </c>
      <c r="J522" s="94"/>
      <c r="K522" s="94"/>
      <c r="L522" s="94"/>
      <c r="M522" s="94"/>
      <c r="N522" s="94"/>
      <c r="O522" s="94"/>
      <c r="P522" s="94"/>
      <c r="Q522" s="94"/>
      <c r="R522" s="94"/>
      <c r="S522" s="94"/>
      <c r="T522" s="94"/>
      <c r="U522" s="94"/>
      <c r="V522" s="94"/>
      <c r="W522" s="94"/>
      <c r="X522" s="94"/>
      <c r="Y522" s="94"/>
      <c r="Z522" s="94"/>
      <c r="AA522" s="94"/>
      <c r="AB522" s="94"/>
      <c r="AC522" s="1978">
        <v>3</v>
      </c>
      <c r="AD522" s="1892"/>
      <c r="AE522" s="1892"/>
      <c r="AF522" s="1892"/>
      <c r="AG522" s="79" t="s">
        <v>276</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727" t="s">
        <v>748</v>
      </c>
      <c r="C523" s="1728"/>
      <c r="D523" s="1728"/>
      <c r="E523" s="1728"/>
      <c r="F523" s="1728"/>
      <c r="G523" s="1728"/>
      <c r="H523" s="1729"/>
      <c r="I523" s="86" t="s">
        <v>745</v>
      </c>
      <c r="J523" s="86"/>
      <c r="K523" s="86"/>
      <c r="L523" s="86"/>
      <c r="M523" s="86"/>
      <c r="N523" s="86"/>
      <c r="O523" s="86"/>
      <c r="P523" s="86"/>
      <c r="Q523" s="86"/>
      <c r="R523" s="86"/>
      <c r="S523" s="86"/>
      <c r="T523" s="86"/>
      <c r="U523" s="86"/>
      <c r="V523" s="86"/>
      <c r="W523" s="86"/>
      <c r="X523" s="86"/>
      <c r="Y523" s="86"/>
      <c r="Z523" s="86"/>
      <c r="AA523" s="86"/>
      <c r="AB523" s="86"/>
      <c r="AC523" s="1979">
        <v>6</v>
      </c>
      <c r="AD523" s="1980"/>
      <c r="AE523" s="1980"/>
      <c r="AF523" s="1980"/>
      <c r="AG523" s="360" t="s">
        <v>276</v>
      </c>
      <c r="AH523" s="1723">
        <v>2021</v>
      </c>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730"/>
      <c r="C524" s="1731"/>
      <c r="D524" s="1731"/>
      <c r="E524" s="1731"/>
      <c r="F524" s="1731"/>
      <c r="G524" s="1731"/>
      <c r="H524" s="1732"/>
      <c r="I524" s="35" t="s">
        <v>746</v>
      </c>
      <c r="J524" s="35"/>
      <c r="K524" s="35"/>
      <c r="L524" s="35"/>
      <c r="M524" s="35"/>
      <c r="N524" s="35"/>
      <c r="O524" s="35"/>
      <c r="P524" s="35"/>
      <c r="Q524" s="35"/>
      <c r="R524" s="35"/>
      <c r="S524" s="35"/>
      <c r="T524" s="35"/>
      <c r="U524" s="35"/>
      <c r="V524" s="35"/>
      <c r="W524" s="35"/>
      <c r="X524" s="35"/>
      <c r="Y524" s="35"/>
      <c r="Z524" s="35"/>
      <c r="AA524" s="35"/>
      <c r="AB524" s="35"/>
      <c r="AC524" s="1978">
        <v>6</v>
      </c>
      <c r="AD524" s="1892"/>
      <c r="AE524" s="1892"/>
      <c r="AF524" s="1892"/>
      <c r="AG524" s="89" t="s">
        <v>276</v>
      </c>
      <c r="AH524" s="1723">
        <v>2021</v>
      </c>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733"/>
      <c r="C525" s="1734"/>
      <c r="D525" s="1734"/>
      <c r="E525" s="1734"/>
      <c r="F525" s="1734"/>
      <c r="G525" s="1734"/>
      <c r="H525" s="1735"/>
      <c r="I525" s="94" t="s">
        <v>747</v>
      </c>
      <c r="J525" s="94"/>
      <c r="K525" s="94"/>
      <c r="L525" s="94"/>
      <c r="M525" s="94"/>
      <c r="N525" s="94"/>
      <c r="O525" s="94"/>
      <c r="P525" s="94"/>
      <c r="Q525" s="94"/>
      <c r="R525" s="94"/>
      <c r="S525" s="94"/>
      <c r="T525" s="94"/>
      <c r="U525" s="94"/>
      <c r="V525" s="94"/>
      <c r="W525" s="94"/>
      <c r="X525" s="94"/>
      <c r="Y525" s="94"/>
      <c r="Z525" s="94"/>
      <c r="AA525" s="94"/>
      <c r="AB525" s="94"/>
      <c r="AC525" s="1978" t="s">
        <v>136</v>
      </c>
      <c r="AD525" s="1892"/>
      <c r="AE525" s="1892"/>
      <c r="AF525" s="1892"/>
      <c r="AG525" s="79" t="s">
        <v>276</v>
      </c>
      <c r="AH525" s="1723"/>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727" t="s">
        <v>749</v>
      </c>
      <c r="C526" s="1728"/>
      <c r="D526" s="1728"/>
      <c r="E526" s="1728"/>
      <c r="F526" s="1728"/>
      <c r="G526" s="1728"/>
      <c r="H526" s="1729"/>
      <c r="I526" s="85" t="s">
        <v>750</v>
      </c>
      <c r="J526" s="86"/>
      <c r="K526" s="86"/>
      <c r="L526" s="86"/>
      <c r="M526" s="86"/>
      <c r="N526" s="86"/>
      <c r="O526" s="1695" t="s">
        <v>2455</v>
      </c>
      <c r="P526" s="1696"/>
      <c r="Q526" s="1696"/>
      <c r="R526" s="1696"/>
      <c r="S526" s="1696"/>
      <c r="T526" s="1696"/>
      <c r="U526" s="1696"/>
      <c r="V526" s="1696"/>
      <c r="W526" s="1696"/>
      <c r="X526" s="1696"/>
      <c r="Y526" s="1696"/>
      <c r="Z526" s="1696"/>
      <c r="AA526" s="1696"/>
      <c r="AB526" s="108"/>
      <c r="AC526" s="1979" t="s">
        <v>136</v>
      </c>
      <c r="AD526" s="1980"/>
      <c r="AE526" s="1980"/>
      <c r="AF526" s="1980"/>
      <c r="AG526" s="360" t="s">
        <v>276</v>
      </c>
      <c r="AH526" s="1723"/>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730"/>
      <c r="C527" s="1731"/>
      <c r="D527" s="1731"/>
      <c r="E527" s="1731"/>
      <c r="F527" s="1731"/>
      <c r="G527" s="1731"/>
      <c r="H527" s="1732"/>
      <c r="I527" s="317" t="s">
        <v>751</v>
      </c>
      <c r="J527" s="35"/>
      <c r="K527" s="35"/>
      <c r="L527" s="35"/>
      <c r="M527" s="35"/>
      <c r="N527" s="35"/>
      <c r="O527" s="35"/>
      <c r="P527" s="35"/>
      <c r="Q527" s="35"/>
      <c r="R527" s="35"/>
      <c r="S527" s="35"/>
      <c r="T527" s="35"/>
      <c r="U527" s="35"/>
      <c r="V527" s="35"/>
      <c r="W527" s="35"/>
      <c r="X527" s="35"/>
      <c r="Y527" s="35"/>
      <c r="Z527" s="35"/>
      <c r="AA527" s="35"/>
      <c r="AB527" s="115"/>
      <c r="AC527" s="1978" t="s">
        <v>136</v>
      </c>
      <c r="AD527" s="1892"/>
      <c r="AE527" s="1892"/>
      <c r="AF527" s="1892"/>
      <c r="AG527" s="89" t="s">
        <v>276</v>
      </c>
      <c r="AH527" s="1723"/>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730"/>
      <c r="C528" s="1731"/>
      <c r="D528" s="1731"/>
      <c r="E528" s="1731"/>
      <c r="F528" s="1731"/>
      <c r="G528" s="1731"/>
      <c r="H528" s="1732"/>
      <c r="I528" s="93" t="s">
        <v>752</v>
      </c>
      <c r="J528" s="94"/>
      <c r="K528" s="94"/>
      <c r="L528" s="94"/>
      <c r="M528" s="94"/>
      <c r="N528" s="94"/>
      <c r="O528" s="94"/>
      <c r="P528" s="94"/>
      <c r="Q528" s="94"/>
      <c r="R528" s="94"/>
      <c r="S528" s="94"/>
      <c r="T528" s="94"/>
      <c r="U528" s="94"/>
      <c r="V528" s="94"/>
      <c r="W528" s="94"/>
      <c r="X528" s="94"/>
      <c r="Y528" s="94"/>
      <c r="Z528" s="94"/>
      <c r="AA528" s="94"/>
      <c r="AB528" s="95"/>
      <c r="AC528" s="1978">
        <v>6</v>
      </c>
      <c r="AD528" s="1892"/>
      <c r="AE528" s="1892"/>
      <c r="AF528" s="1892"/>
      <c r="AG528" s="79" t="s">
        <v>276</v>
      </c>
      <c r="AH528" s="1723">
        <v>2020</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730"/>
      <c r="C529" s="1731"/>
      <c r="D529" s="1731"/>
      <c r="E529" s="1731"/>
      <c r="F529" s="1731"/>
      <c r="G529" s="1731"/>
      <c r="H529" s="1732"/>
      <c r="I529" s="86" t="s">
        <v>753</v>
      </c>
      <c r="J529" s="86"/>
      <c r="K529" s="86"/>
      <c r="L529" s="86"/>
      <c r="M529" s="86"/>
      <c r="N529" s="86"/>
      <c r="O529" s="1697" t="s">
        <v>2456</v>
      </c>
      <c r="P529" s="1698"/>
      <c r="Q529" s="1698"/>
      <c r="R529" s="1698"/>
      <c r="S529" s="1698"/>
      <c r="T529" s="1698"/>
      <c r="U529" s="1698"/>
      <c r="V529" s="1698"/>
      <c r="W529" s="1698"/>
      <c r="X529" s="1698"/>
      <c r="Y529" s="1698"/>
      <c r="Z529" s="1698"/>
      <c r="AA529" s="1698"/>
      <c r="AC529" s="1978" t="s">
        <v>136</v>
      </c>
      <c r="AD529" s="1892"/>
      <c r="AE529" s="1892"/>
      <c r="AF529" s="1892"/>
      <c r="AG529" s="89" t="s">
        <v>276</v>
      </c>
      <c r="AH529" s="1723"/>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730"/>
      <c r="C530" s="1731"/>
      <c r="D530" s="1731"/>
      <c r="E530" s="1731"/>
      <c r="F530" s="1731"/>
      <c r="G530" s="1731"/>
      <c r="H530" s="1732"/>
      <c r="I530" s="35" t="s">
        <v>751</v>
      </c>
      <c r="J530" s="35"/>
      <c r="K530" s="35"/>
      <c r="L530" s="35"/>
      <c r="M530" s="35"/>
      <c r="N530" s="35"/>
      <c r="O530" s="35"/>
      <c r="P530" s="35"/>
      <c r="Q530" s="35"/>
      <c r="R530" s="35"/>
      <c r="S530" s="35"/>
      <c r="T530" s="35"/>
      <c r="U530" s="35"/>
      <c r="V530" s="35"/>
      <c r="W530" s="35"/>
      <c r="X530" s="35"/>
      <c r="Y530" s="35"/>
      <c r="AC530" s="1978" t="s">
        <v>136</v>
      </c>
      <c r="AD530" s="1892"/>
      <c r="AE530" s="1892"/>
      <c r="AF530" s="1892"/>
      <c r="AG530" s="89" t="s">
        <v>276</v>
      </c>
      <c r="AH530" s="1723"/>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730"/>
      <c r="C531" s="1731"/>
      <c r="D531" s="1731"/>
      <c r="E531" s="1731"/>
      <c r="F531" s="1731"/>
      <c r="G531" s="1731"/>
      <c r="H531" s="1732"/>
      <c r="I531" s="94" t="s">
        <v>752</v>
      </c>
      <c r="J531" s="94"/>
      <c r="K531" s="94"/>
      <c r="L531" s="94"/>
      <c r="M531" s="94"/>
      <c r="N531" s="94"/>
      <c r="O531" s="94"/>
      <c r="P531" s="94"/>
      <c r="Q531" s="94"/>
      <c r="R531" s="94"/>
      <c r="S531" s="94"/>
      <c r="T531" s="94"/>
      <c r="U531" s="94"/>
      <c r="V531" s="94"/>
      <c r="W531" s="94"/>
      <c r="X531" s="94"/>
      <c r="Y531" s="94"/>
      <c r="Z531" s="94"/>
      <c r="AA531" s="94"/>
      <c r="AB531" s="94"/>
      <c r="AC531" s="1978">
        <v>6</v>
      </c>
      <c r="AD531" s="1892"/>
      <c r="AE531" s="1892"/>
      <c r="AF531" s="1892"/>
      <c r="AG531" s="79" t="s">
        <v>276</v>
      </c>
      <c r="AH531" s="1723">
        <v>2020</v>
      </c>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730"/>
      <c r="C532" s="1731"/>
      <c r="D532" s="1731"/>
      <c r="E532" s="1731"/>
      <c r="F532" s="1731"/>
      <c r="G532" s="1731"/>
      <c r="H532" s="1732"/>
      <c r="I532" s="86" t="s">
        <v>753</v>
      </c>
      <c r="J532" s="86"/>
      <c r="K532" s="86"/>
      <c r="L532" s="86"/>
      <c r="M532" s="86"/>
      <c r="N532" s="86"/>
      <c r="O532" s="1697" t="s">
        <v>2457</v>
      </c>
      <c r="P532" s="1698"/>
      <c r="Q532" s="1698"/>
      <c r="R532" s="1698"/>
      <c r="S532" s="1698"/>
      <c r="T532" s="1698"/>
      <c r="U532" s="1698"/>
      <c r="V532" s="1698"/>
      <c r="W532" s="1698"/>
      <c r="X532" s="1698"/>
      <c r="Y532" s="1698"/>
      <c r="Z532" s="1698"/>
      <c r="AA532" s="1698"/>
      <c r="AC532" s="1978" t="s">
        <v>136</v>
      </c>
      <c r="AD532" s="1892"/>
      <c r="AE532" s="1892"/>
      <c r="AF532" s="1892"/>
      <c r="AG532" s="89" t="s">
        <v>276</v>
      </c>
      <c r="AH532" s="1723"/>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730"/>
      <c r="C533" s="1731"/>
      <c r="D533" s="1731"/>
      <c r="E533" s="1731"/>
      <c r="F533" s="1731"/>
      <c r="G533" s="1731"/>
      <c r="H533" s="1732"/>
      <c r="I533" s="35" t="s">
        <v>751</v>
      </c>
      <c r="J533" s="35"/>
      <c r="K533" s="35"/>
      <c r="L533" s="35"/>
      <c r="M533" s="35"/>
      <c r="N533" s="35"/>
      <c r="O533" s="35"/>
      <c r="P533" s="35"/>
      <c r="Q533" s="35"/>
      <c r="R533" s="35"/>
      <c r="S533" s="35"/>
      <c r="T533" s="35"/>
      <c r="U533" s="35"/>
      <c r="V533" s="35"/>
      <c r="W533" s="35"/>
      <c r="X533" s="35"/>
      <c r="Y533" s="35"/>
      <c r="AC533" s="1978" t="s">
        <v>136</v>
      </c>
      <c r="AD533" s="1892"/>
      <c r="AE533" s="1892"/>
      <c r="AF533" s="1892"/>
      <c r="AG533" s="89" t="s">
        <v>276</v>
      </c>
      <c r="AH533" s="1723"/>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730"/>
      <c r="C534" s="1731"/>
      <c r="D534" s="1731"/>
      <c r="E534" s="1731"/>
      <c r="F534" s="1731"/>
      <c r="G534" s="1731"/>
      <c r="H534" s="1732"/>
      <c r="I534" s="94" t="s">
        <v>752</v>
      </c>
      <c r="J534" s="94"/>
      <c r="K534" s="94"/>
      <c r="L534" s="94"/>
      <c r="M534" s="94"/>
      <c r="N534" s="94"/>
      <c r="O534" s="94"/>
      <c r="P534" s="94"/>
      <c r="Q534" s="94"/>
      <c r="R534" s="94"/>
      <c r="S534" s="94"/>
      <c r="T534" s="94"/>
      <c r="U534" s="94"/>
      <c r="V534" s="94"/>
      <c r="W534" s="94"/>
      <c r="X534" s="94"/>
      <c r="Y534" s="94"/>
      <c r="Z534" s="94"/>
      <c r="AA534" s="94"/>
      <c r="AB534" s="94"/>
      <c r="AC534" s="1978">
        <v>6</v>
      </c>
      <c r="AD534" s="1892"/>
      <c r="AE534" s="1892"/>
      <c r="AF534" s="1892"/>
      <c r="AG534" s="79" t="s">
        <v>276</v>
      </c>
      <c r="AH534" s="1723">
        <v>2020</v>
      </c>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730"/>
      <c r="C535" s="1731"/>
      <c r="D535" s="1731"/>
      <c r="E535" s="1731"/>
      <c r="F535" s="1731"/>
      <c r="G535" s="1731"/>
      <c r="H535" s="1732"/>
      <c r="I535" s="86" t="s">
        <v>753</v>
      </c>
      <c r="J535" s="86"/>
      <c r="K535" s="86"/>
      <c r="L535" s="86"/>
      <c r="M535" s="86"/>
      <c r="N535" s="86"/>
      <c r="O535" s="1697" t="s">
        <v>2458</v>
      </c>
      <c r="P535" s="1698"/>
      <c r="Q535" s="1698"/>
      <c r="R535" s="1698"/>
      <c r="S535" s="1698"/>
      <c r="T535" s="1698"/>
      <c r="U535" s="1698"/>
      <c r="V535" s="1698"/>
      <c r="W535" s="1698"/>
      <c r="X535" s="1698"/>
      <c r="Y535" s="1698"/>
      <c r="Z535" s="1698"/>
      <c r="AA535" s="1698"/>
      <c r="AC535" s="1978" t="s">
        <v>136</v>
      </c>
      <c r="AD535" s="1892"/>
      <c r="AE535" s="1892"/>
      <c r="AF535" s="1892"/>
      <c r="AG535" s="89" t="s">
        <v>276</v>
      </c>
      <c r="AH535" s="1723"/>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730"/>
      <c r="C536" s="1731"/>
      <c r="D536" s="1731"/>
      <c r="E536" s="1731"/>
      <c r="F536" s="1731"/>
      <c r="G536" s="1731"/>
      <c r="H536" s="1732"/>
      <c r="I536" s="35" t="s">
        <v>751</v>
      </c>
      <c r="J536" s="35"/>
      <c r="K536" s="35"/>
      <c r="L536" s="35"/>
      <c r="M536" s="35"/>
      <c r="N536" s="35"/>
      <c r="O536" s="35"/>
      <c r="P536" s="35"/>
      <c r="Q536" s="35"/>
      <c r="R536" s="35"/>
      <c r="S536" s="35"/>
      <c r="T536" s="35"/>
      <c r="U536" s="35"/>
      <c r="V536" s="35"/>
      <c r="W536" s="35"/>
      <c r="X536" s="35"/>
      <c r="Y536" s="35"/>
      <c r="AC536" s="1978" t="s">
        <v>136</v>
      </c>
      <c r="AD536" s="1892"/>
      <c r="AE536" s="1892"/>
      <c r="AF536" s="1892"/>
      <c r="AG536" s="89" t="s">
        <v>276</v>
      </c>
      <c r="AH536" s="1723"/>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730"/>
      <c r="C537" s="1731"/>
      <c r="D537" s="1731"/>
      <c r="E537" s="1731"/>
      <c r="F537" s="1731"/>
      <c r="G537" s="1731"/>
      <c r="H537" s="1732"/>
      <c r="I537" s="94" t="s">
        <v>752</v>
      </c>
      <c r="J537" s="94"/>
      <c r="K537" s="94"/>
      <c r="L537" s="94"/>
      <c r="M537" s="94"/>
      <c r="N537" s="94"/>
      <c r="O537" s="94"/>
      <c r="P537" s="94"/>
      <c r="Q537" s="94"/>
      <c r="R537" s="94"/>
      <c r="S537" s="94"/>
      <c r="T537" s="94"/>
      <c r="U537" s="94"/>
      <c r="V537" s="94"/>
      <c r="W537" s="94"/>
      <c r="X537" s="94"/>
      <c r="Y537" s="94"/>
      <c r="Z537" s="94"/>
      <c r="AA537" s="94"/>
      <c r="AB537" s="94"/>
      <c r="AC537" s="1978" t="s">
        <v>136</v>
      </c>
      <c r="AD537" s="1892"/>
      <c r="AE537" s="1892"/>
      <c r="AF537" s="1892"/>
      <c r="AG537" s="79" t="s">
        <v>276</v>
      </c>
      <c r="AH537" s="1723"/>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730"/>
      <c r="C538" s="1731"/>
      <c r="D538" s="1731"/>
      <c r="E538" s="1731"/>
      <c r="F538" s="1731"/>
      <c r="G538" s="1731"/>
      <c r="H538" s="1732"/>
      <c r="I538" s="86" t="s">
        <v>753</v>
      </c>
      <c r="J538" s="86"/>
      <c r="K538" s="86"/>
      <c r="L538" s="86"/>
      <c r="M538" s="86"/>
      <c r="N538" s="86"/>
      <c r="O538" s="1698" t="s">
        <v>2459</v>
      </c>
      <c r="P538" s="1698"/>
      <c r="Q538" s="1698"/>
      <c r="R538" s="1698"/>
      <c r="S538" s="1698"/>
      <c r="T538" s="1698"/>
      <c r="U538" s="1698"/>
      <c r="V538" s="1698"/>
      <c r="W538" s="1698"/>
      <c r="X538" s="1698"/>
      <c r="Y538" s="1698"/>
      <c r="Z538" s="1698"/>
      <c r="AA538" s="1698"/>
      <c r="AC538" s="1978" t="s">
        <v>136</v>
      </c>
      <c r="AD538" s="1892"/>
      <c r="AE538" s="1892"/>
      <c r="AF538" s="1892"/>
      <c r="AG538" s="89" t="s">
        <v>276</v>
      </c>
      <c r="AH538" s="1723"/>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730"/>
      <c r="C539" s="1731"/>
      <c r="D539" s="1731"/>
      <c r="E539" s="1731"/>
      <c r="F539" s="1731"/>
      <c r="G539" s="1731"/>
      <c r="H539" s="1732"/>
      <c r="I539" s="35" t="s">
        <v>751</v>
      </c>
      <c r="J539" s="35"/>
      <c r="K539" s="35"/>
      <c r="L539" s="35"/>
      <c r="M539" s="35"/>
      <c r="N539" s="35"/>
      <c r="O539" s="35"/>
      <c r="P539" s="35"/>
      <c r="Q539" s="35"/>
      <c r="R539" s="35"/>
      <c r="S539" s="35"/>
      <c r="T539" s="35"/>
      <c r="U539" s="35"/>
      <c r="V539" s="35"/>
      <c r="W539" s="35"/>
      <c r="X539" s="35"/>
      <c r="Y539" s="35"/>
      <c r="AC539" s="1978" t="s">
        <v>136</v>
      </c>
      <c r="AD539" s="1892"/>
      <c r="AE539" s="1892"/>
      <c r="AF539" s="1892"/>
      <c r="AG539" s="79" t="s">
        <v>276</v>
      </c>
      <c r="AH539" s="1723"/>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730"/>
      <c r="C540" s="1731"/>
      <c r="D540" s="1731"/>
      <c r="E540" s="1731"/>
      <c r="F540" s="1731"/>
      <c r="G540" s="1731"/>
      <c r="H540" s="1732"/>
      <c r="I540" s="94" t="s">
        <v>752</v>
      </c>
      <c r="J540" s="94"/>
      <c r="K540" s="94"/>
      <c r="L540" s="94"/>
      <c r="M540" s="94"/>
      <c r="N540" s="94"/>
      <c r="O540" s="94"/>
      <c r="P540" s="94"/>
      <c r="Q540" s="94"/>
      <c r="R540" s="94"/>
      <c r="S540" s="94"/>
      <c r="T540" s="94"/>
      <c r="U540" s="94"/>
      <c r="V540" s="94"/>
      <c r="W540" s="94"/>
      <c r="X540" s="94"/>
      <c r="Y540" s="94"/>
      <c r="Z540" s="94"/>
      <c r="AA540" s="94"/>
      <c r="AB540" s="94"/>
      <c r="AC540" s="1978">
        <v>3</v>
      </c>
      <c r="AD540" s="1892"/>
      <c r="AE540" s="1892"/>
      <c r="AF540" s="1892"/>
      <c r="AG540" s="89" t="s">
        <v>276</v>
      </c>
      <c r="AH540" s="1723">
        <v>2020</v>
      </c>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30"/>
      <c r="C541" s="1731"/>
      <c r="D541" s="1731"/>
      <c r="E541" s="1731"/>
      <c r="F541" s="1731"/>
      <c r="G541" s="1731"/>
      <c r="H541" s="1732"/>
      <c r="I541" s="86" t="s">
        <v>753</v>
      </c>
      <c r="J541" s="86"/>
      <c r="K541" s="86"/>
      <c r="L541" s="86"/>
      <c r="M541" s="86"/>
      <c r="N541" s="86"/>
      <c r="O541" s="1698" t="s">
        <v>2460</v>
      </c>
      <c r="P541" s="1698"/>
      <c r="Q541" s="1698"/>
      <c r="R541" s="1698"/>
      <c r="S541" s="1698"/>
      <c r="T541" s="1698"/>
      <c r="U541" s="1698"/>
      <c r="V541" s="1698"/>
      <c r="W541" s="1698"/>
      <c r="X541" s="1698"/>
      <c r="Y541" s="1698"/>
      <c r="Z541" s="1698"/>
      <c r="AA541" s="1698"/>
      <c r="AC541" s="1978" t="s">
        <v>136</v>
      </c>
      <c r="AD541" s="1892"/>
      <c r="AE541" s="1892"/>
      <c r="AF541" s="1892"/>
      <c r="AG541" s="79" t="s">
        <v>276</v>
      </c>
      <c r="AH541" s="1723"/>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730"/>
      <c r="C542" s="1731"/>
      <c r="D542" s="1731"/>
      <c r="E542" s="1731"/>
      <c r="F542" s="1731"/>
      <c r="G542" s="1731"/>
      <c r="H542" s="1732"/>
      <c r="I542" s="35" t="s">
        <v>751</v>
      </c>
      <c r="J542" s="35"/>
      <c r="K542" s="35"/>
      <c r="L542" s="35"/>
      <c r="M542" s="35"/>
      <c r="N542" s="35"/>
      <c r="O542" s="35"/>
      <c r="P542" s="35"/>
      <c r="Q542" s="35"/>
      <c r="R542" s="35"/>
      <c r="S542" s="35"/>
      <c r="T542" s="35"/>
      <c r="U542" s="35"/>
      <c r="V542" s="35"/>
      <c r="W542" s="35"/>
      <c r="X542" s="35"/>
      <c r="Y542" s="35"/>
      <c r="AC542" s="1978" t="s">
        <v>136</v>
      </c>
      <c r="AD542" s="1892"/>
      <c r="AE542" s="1892"/>
      <c r="AF542" s="1892"/>
      <c r="AG542" s="89" t="s">
        <v>276</v>
      </c>
      <c r="AH542" s="1723"/>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730"/>
      <c r="C543" s="1731"/>
      <c r="D543" s="1731"/>
      <c r="E543" s="1731"/>
      <c r="F543" s="1731"/>
      <c r="G543" s="1731"/>
      <c r="H543" s="1732"/>
      <c r="I543" s="94" t="s">
        <v>752</v>
      </c>
      <c r="J543" s="94"/>
      <c r="K543" s="94"/>
      <c r="L543" s="94"/>
      <c r="M543" s="94"/>
      <c r="N543" s="94"/>
      <c r="O543" s="94"/>
      <c r="P543" s="94"/>
      <c r="Q543" s="94"/>
      <c r="R543" s="94"/>
      <c r="S543" s="94"/>
      <c r="T543" s="94"/>
      <c r="U543" s="94"/>
      <c r="V543" s="94"/>
      <c r="W543" s="94"/>
      <c r="X543" s="94"/>
      <c r="Y543" s="94"/>
      <c r="Z543" s="94"/>
      <c r="AA543" s="94"/>
      <c r="AB543" s="94"/>
      <c r="AC543" s="1978">
        <v>5</v>
      </c>
      <c r="AD543" s="1892"/>
      <c r="AE543" s="1892"/>
      <c r="AF543" s="1892"/>
      <c r="AG543" s="79" t="s">
        <v>276</v>
      </c>
      <c r="AH543" s="1723">
        <v>2021</v>
      </c>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30"/>
      <c r="C544" s="1731"/>
      <c r="D544" s="1731"/>
      <c r="E544" s="1731"/>
      <c r="F544" s="1731"/>
      <c r="G544" s="1731"/>
      <c r="H544" s="1732"/>
      <c r="I544" s="86" t="s">
        <v>801</v>
      </c>
      <c r="J544" s="86"/>
      <c r="K544" s="86"/>
      <c r="L544" s="86"/>
      <c r="M544" s="86"/>
      <c r="N544" s="86"/>
      <c r="O544" s="86"/>
      <c r="P544" s="86"/>
      <c r="Q544" s="86"/>
      <c r="R544" s="86"/>
      <c r="S544" s="86"/>
      <c r="T544" s="86"/>
      <c r="U544" s="86"/>
      <c r="V544" s="86"/>
      <c r="W544" s="86"/>
      <c r="X544" s="35"/>
      <c r="Y544" s="35"/>
      <c r="AC544" s="2108">
        <v>3</v>
      </c>
      <c r="AD544" s="1892"/>
      <c r="AE544" s="1892"/>
      <c r="AF544" s="1892"/>
      <c r="AG544" s="79" t="s">
        <v>276</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730"/>
      <c r="C545" s="1731"/>
      <c r="D545" s="1731"/>
      <c r="E545" s="1731"/>
      <c r="F545" s="1731"/>
      <c r="G545" s="1731"/>
      <c r="H545" s="1732"/>
      <c r="I545" s="35" t="s">
        <v>802</v>
      </c>
      <c r="J545" s="35"/>
      <c r="K545" s="35"/>
      <c r="L545" s="35"/>
      <c r="M545" s="35"/>
      <c r="N545" s="35"/>
      <c r="O545" s="35"/>
      <c r="P545" s="35"/>
      <c r="Q545" s="35"/>
      <c r="R545" s="35"/>
      <c r="S545" s="35"/>
      <c r="T545" s="35"/>
      <c r="U545" s="35"/>
      <c r="V545" s="35"/>
      <c r="W545" s="35"/>
      <c r="X545" s="35"/>
      <c r="Y545" s="35"/>
      <c r="AC545" s="1978">
        <v>3</v>
      </c>
      <c r="AD545" s="1892"/>
      <c r="AE545" s="1892"/>
      <c r="AF545" s="1892"/>
      <c r="AG545" s="89" t="s">
        <v>276</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730"/>
      <c r="C546" s="1731"/>
      <c r="D546" s="1731"/>
      <c r="E546" s="1731"/>
      <c r="F546" s="1731"/>
      <c r="G546" s="1731"/>
      <c r="H546" s="1732"/>
      <c r="I546" s="35" t="s">
        <v>803</v>
      </c>
      <c r="J546" s="35"/>
      <c r="K546" s="35"/>
      <c r="L546" s="35"/>
      <c r="M546" s="35"/>
      <c r="N546" s="35"/>
      <c r="O546" s="35"/>
      <c r="P546" s="35"/>
      <c r="Q546" s="35"/>
      <c r="R546" s="35"/>
      <c r="S546" s="35"/>
      <c r="T546" s="35"/>
      <c r="U546" s="35"/>
      <c r="V546" s="35"/>
      <c r="W546" s="35"/>
      <c r="X546" s="35"/>
      <c r="Y546" s="35"/>
      <c r="AC546" s="1978">
        <v>9</v>
      </c>
      <c r="AD546" s="1892"/>
      <c r="AE546" s="1892"/>
      <c r="AF546" s="1892"/>
      <c r="AG546" s="79" t="s">
        <v>276</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730"/>
      <c r="C547" s="1731"/>
      <c r="D547" s="1731"/>
      <c r="E547" s="1731"/>
      <c r="F547" s="1731"/>
      <c r="G547" s="1731"/>
      <c r="H547" s="1732"/>
      <c r="I547" s="35" t="s">
        <v>804</v>
      </c>
      <c r="J547" s="35"/>
      <c r="K547" s="35"/>
      <c r="L547" s="35"/>
      <c r="M547" s="35"/>
      <c r="N547" s="35"/>
      <c r="O547" s="35"/>
      <c r="P547" s="35"/>
      <c r="Q547" s="35"/>
      <c r="R547" s="35"/>
      <c r="S547" s="35"/>
      <c r="T547" s="35"/>
      <c r="U547" s="35"/>
      <c r="V547" s="35"/>
      <c r="W547" s="35"/>
      <c r="X547" s="35"/>
      <c r="Y547" s="35"/>
      <c r="AC547" s="1978">
        <v>9</v>
      </c>
      <c r="AD547" s="1892"/>
      <c r="AE547" s="1892"/>
      <c r="AF547" s="1892"/>
      <c r="AG547" s="79" t="s">
        <v>276</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733"/>
      <c r="C548" s="1734"/>
      <c r="D548" s="1734"/>
      <c r="E548" s="1734"/>
      <c r="F548" s="1734"/>
      <c r="G548" s="1734"/>
      <c r="H548" s="1735"/>
      <c r="I548" s="94" t="s">
        <v>1517</v>
      </c>
      <c r="J548" s="94"/>
      <c r="K548" s="94"/>
      <c r="L548" s="94"/>
      <c r="M548" s="94"/>
      <c r="N548" s="94"/>
      <c r="O548" s="94"/>
      <c r="P548" s="94"/>
      <c r="Q548" s="94"/>
      <c r="R548" s="94"/>
      <c r="S548" s="94"/>
      <c r="T548" s="94"/>
      <c r="U548" s="94"/>
      <c r="V548" s="94"/>
      <c r="W548" s="94"/>
      <c r="X548" s="94"/>
      <c r="Y548" s="94"/>
      <c r="Z548" s="94"/>
      <c r="AA548" s="94"/>
      <c r="AB548" s="94"/>
      <c r="AC548" s="1978">
        <v>2</v>
      </c>
      <c r="AD548" s="1892"/>
      <c r="AE548" s="1892"/>
      <c r="AF548" s="1892"/>
      <c r="AG548" s="79" t="s">
        <v>276</v>
      </c>
      <c r="AH548" s="1723">
        <v>2024</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5" t="s">
        <v>547</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37"/>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27" t="s">
        <v>806</v>
      </c>
      <c r="C557" s="1728"/>
      <c r="D557" s="1728"/>
      <c r="E557" s="1728"/>
      <c r="F557" s="1728"/>
      <c r="G557" s="1728"/>
      <c r="H557" s="1728"/>
      <c r="I557" s="1728"/>
      <c r="J557" s="1728"/>
      <c r="K557" s="1728"/>
      <c r="L557" s="1728"/>
      <c r="M557" s="1728"/>
      <c r="N557" s="1728"/>
      <c r="O557" s="1728"/>
      <c r="P557" s="1729"/>
      <c r="Q557" s="1727" t="s">
        <v>489</v>
      </c>
      <c r="R557" s="1728"/>
      <c r="S557" s="1729"/>
      <c r="T557" s="1727" t="s">
        <v>2280</v>
      </c>
      <c r="U557" s="1728"/>
      <c r="V557" s="1729"/>
      <c r="W557" s="1727" t="s">
        <v>807</v>
      </c>
      <c r="X557" s="1728"/>
      <c r="Y557" s="1729"/>
      <c r="Z557" s="1727" t="s">
        <v>2285</v>
      </c>
      <c r="AA557" s="1728"/>
      <c r="AB557" s="1728"/>
      <c r="AC557" s="1728"/>
      <c r="AD557" s="1729"/>
      <c r="AE557" s="1727" t="s">
        <v>2282</v>
      </c>
      <c r="AF557" s="1728"/>
      <c r="AG557" s="1728"/>
      <c r="AH557" s="1729"/>
      <c r="AI557" s="1727" t="s">
        <v>2286</v>
      </c>
      <c r="AJ557" s="1728"/>
      <c r="AK557" s="1728"/>
      <c r="AL557" s="1729"/>
      <c r="AM557" s="1727" t="s">
        <v>808</v>
      </c>
      <c r="AN557" s="1728"/>
      <c r="AO557" s="1728"/>
      <c r="AP557" s="1728"/>
      <c r="AQ557" s="1728"/>
      <c r="AR557" s="1728"/>
      <c r="AS557" s="172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30"/>
      <c r="C558" s="1731"/>
      <c r="D558" s="1731"/>
      <c r="E558" s="1731"/>
      <c r="F558" s="1731"/>
      <c r="G558" s="1731"/>
      <c r="H558" s="1731"/>
      <c r="I558" s="1731"/>
      <c r="J558" s="1731"/>
      <c r="K558" s="1731"/>
      <c r="L558" s="1731"/>
      <c r="M558" s="1731"/>
      <c r="N558" s="1731"/>
      <c r="O558" s="1731"/>
      <c r="P558" s="1732"/>
      <c r="Q558" s="1730"/>
      <c r="R558" s="1731"/>
      <c r="S558" s="1732"/>
      <c r="T558" s="1730"/>
      <c r="U558" s="1731"/>
      <c r="V558" s="1732"/>
      <c r="W558" s="1730"/>
      <c r="X558" s="1731"/>
      <c r="Y558" s="1732"/>
      <c r="Z558" s="1730"/>
      <c r="AA558" s="1731"/>
      <c r="AB558" s="1731"/>
      <c r="AC558" s="1731"/>
      <c r="AD558" s="1732"/>
      <c r="AE558" s="1730"/>
      <c r="AF558" s="1731"/>
      <c r="AG558" s="1731"/>
      <c r="AH558" s="1732"/>
      <c r="AI558" s="1730"/>
      <c r="AJ558" s="1731"/>
      <c r="AK558" s="1731"/>
      <c r="AL558" s="1732"/>
      <c r="AM558" s="1730"/>
      <c r="AN558" s="1731"/>
      <c r="AO558" s="1731"/>
      <c r="AP558" s="1731"/>
      <c r="AQ558" s="1731"/>
      <c r="AR558" s="1731"/>
      <c r="AS558" s="173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33"/>
      <c r="C559" s="1734"/>
      <c r="D559" s="1734"/>
      <c r="E559" s="1734"/>
      <c r="F559" s="1734"/>
      <c r="G559" s="1734"/>
      <c r="H559" s="1734"/>
      <c r="I559" s="1734"/>
      <c r="J559" s="1734"/>
      <c r="K559" s="1734"/>
      <c r="L559" s="1734"/>
      <c r="M559" s="1734"/>
      <c r="N559" s="1734"/>
      <c r="O559" s="1734"/>
      <c r="P559" s="1735"/>
      <c r="Q559" s="1733"/>
      <c r="R559" s="1734"/>
      <c r="S559" s="1735"/>
      <c r="T559" s="1733"/>
      <c r="U559" s="1734"/>
      <c r="V559" s="1735"/>
      <c r="W559" s="1733"/>
      <c r="X559" s="1734"/>
      <c r="Y559" s="1735"/>
      <c r="Z559" s="1733"/>
      <c r="AA559" s="1734"/>
      <c r="AB559" s="1734"/>
      <c r="AC559" s="1734"/>
      <c r="AD559" s="1735"/>
      <c r="AE559" s="1733"/>
      <c r="AF559" s="1734"/>
      <c r="AG559" s="1734"/>
      <c r="AH559" s="1735"/>
      <c r="AI559" s="1733"/>
      <c r="AJ559" s="1734"/>
      <c r="AK559" s="1734"/>
      <c r="AL559" s="1735"/>
      <c r="AM559" s="1733"/>
      <c r="AN559" s="1734"/>
      <c r="AO559" s="1734"/>
      <c r="AP559" s="1734"/>
      <c r="AQ559" s="1734"/>
      <c r="AR559" s="1734"/>
      <c r="AS559" s="173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1003</v>
      </c>
      <c r="C560" s="1695" t="s">
        <v>2461</v>
      </c>
      <c r="D560" s="1695"/>
      <c r="E560" s="1695"/>
      <c r="F560" s="1695"/>
      <c r="G560" s="1695"/>
      <c r="H560" s="1695"/>
      <c r="I560" s="1695"/>
      <c r="J560" s="1695"/>
      <c r="K560" s="1695"/>
      <c r="L560" s="1695"/>
      <c r="M560" s="1695"/>
      <c r="N560" s="1695"/>
      <c r="O560" s="1695"/>
      <c r="P560" s="2034"/>
      <c r="Q560" s="1879">
        <v>24</v>
      </c>
      <c r="R560" s="1879"/>
      <c r="S560" s="1972"/>
      <c r="T560" s="1971"/>
      <c r="U560" s="1879"/>
      <c r="V560" s="1972"/>
      <c r="W560" s="2035">
        <v>0.04</v>
      </c>
      <c r="X560" s="2036"/>
      <c r="Y560" s="2037"/>
      <c r="Z560" s="2038" t="s">
        <v>2266</v>
      </c>
      <c r="AA560" s="2038"/>
      <c r="AB560" s="2038"/>
      <c r="AC560" s="2038"/>
      <c r="AD560" s="2038"/>
      <c r="AE560" s="2039"/>
      <c r="AF560" s="2040"/>
      <c r="AG560" s="2040"/>
      <c r="AH560" s="2041"/>
      <c r="AI560" s="2042"/>
      <c r="AJ560" s="2043"/>
      <c r="AK560" s="2043"/>
      <c r="AL560" s="2044"/>
      <c r="AM560" s="1714">
        <v>24698185</v>
      </c>
      <c r="AN560" s="1715"/>
      <c r="AO560" s="1715"/>
      <c r="AP560" s="1715"/>
      <c r="AQ560" s="1715"/>
      <c r="AR560" s="1715"/>
      <c r="AS560" s="171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1004</v>
      </c>
      <c r="C561" s="1695" t="s">
        <v>2462</v>
      </c>
      <c r="D561" s="1695"/>
      <c r="E561" s="1695"/>
      <c r="F561" s="1695"/>
      <c r="G561" s="1695"/>
      <c r="H561" s="1695"/>
      <c r="I561" s="1695"/>
      <c r="J561" s="1695"/>
      <c r="K561" s="1695"/>
      <c r="L561" s="1695"/>
      <c r="M561" s="1695"/>
      <c r="N561" s="1695"/>
      <c r="O561" s="1695"/>
      <c r="P561" s="2034"/>
      <c r="Q561" s="1971">
        <v>24</v>
      </c>
      <c r="R561" s="1879"/>
      <c r="S561" s="1972"/>
      <c r="T561" s="1971"/>
      <c r="U561" s="1879"/>
      <c r="V561" s="1972"/>
      <c r="W561" s="2035">
        <v>2.07E-2</v>
      </c>
      <c r="X561" s="2036"/>
      <c r="Y561" s="2037"/>
      <c r="Z561" s="2038" t="s">
        <v>2266</v>
      </c>
      <c r="AA561" s="2038"/>
      <c r="AB561" s="2038"/>
      <c r="AC561" s="2038"/>
      <c r="AD561" s="2038"/>
      <c r="AE561" s="2039"/>
      <c r="AF561" s="2040"/>
      <c r="AG561" s="2040"/>
      <c r="AH561" s="2041"/>
      <c r="AI561" s="2042"/>
      <c r="AJ561" s="2043"/>
      <c r="AK561" s="2043"/>
      <c r="AL561" s="2044"/>
      <c r="AM561" s="1714">
        <v>1614460</v>
      </c>
      <c r="AN561" s="1715"/>
      <c r="AO561" s="1715"/>
      <c r="AP561" s="1715"/>
      <c r="AQ561" s="1715"/>
      <c r="AR561" s="1715"/>
      <c r="AS561" s="171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1010</v>
      </c>
      <c r="C562" s="1695" t="s">
        <v>2463</v>
      </c>
      <c r="D562" s="1695"/>
      <c r="E562" s="1695"/>
      <c r="F562" s="1695"/>
      <c r="G562" s="1695"/>
      <c r="H562" s="1695"/>
      <c r="I562" s="1695"/>
      <c r="J562" s="1695"/>
      <c r="K562" s="1695"/>
      <c r="L562" s="1695"/>
      <c r="M562" s="1695"/>
      <c r="N562" s="1695"/>
      <c r="O562" s="1695"/>
      <c r="P562" s="2034"/>
      <c r="Q562" s="1971">
        <v>24</v>
      </c>
      <c r="R562" s="1879"/>
      <c r="S562" s="1972"/>
      <c r="T562" s="1971"/>
      <c r="U562" s="1879"/>
      <c r="V562" s="1972"/>
      <c r="W562" s="2035">
        <v>2.07E-2</v>
      </c>
      <c r="X562" s="2036"/>
      <c r="Y562" s="2037"/>
      <c r="Z562" s="2038" t="s">
        <v>2266</v>
      </c>
      <c r="AA562" s="2038"/>
      <c r="AB562" s="2038"/>
      <c r="AC562" s="2038"/>
      <c r="AD562" s="2038"/>
      <c r="AE562" s="2039"/>
      <c r="AF562" s="2040"/>
      <c r="AG562" s="2040"/>
      <c r="AH562" s="2041"/>
      <c r="AI562" s="2042"/>
      <c r="AJ562" s="2043"/>
      <c r="AK562" s="2043"/>
      <c r="AL562" s="2044"/>
      <c r="AM562" s="1714">
        <v>2000000</v>
      </c>
      <c r="AN562" s="1715"/>
      <c r="AO562" s="1715"/>
      <c r="AP562" s="1715"/>
      <c r="AQ562" s="1715"/>
      <c r="AR562" s="1715"/>
      <c r="AS562" s="171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480</v>
      </c>
      <c r="C563" s="1695" t="s">
        <v>2455</v>
      </c>
      <c r="D563" s="1695"/>
      <c r="E563" s="1695"/>
      <c r="F563" s="1695"/>
      <c r="G563" s="1695"/>
      <c r="H563" s="1695"/>
      <c r="I563" s="1695"/>
      <c r="J563" s="1695"/>
      <c r="K563" s="1695"/>
      <c r="L563" s="1695"/>
      <c r="M563" s="1695"/>
      <c r="N563" s="1695"/>
      <c r="O563" s="1695"/>
      <c r="P563" s="2034"/>
      <c r="Q563" s="1971">
        <v>24</v>
      </c>
      <c r="R563" s="1879"/>
      <c r="S563" s="1972"/>
      <c r="T563" s="1971"/>
      <c r="U563" s="1879"/>
      <c r="V563" s="1972"/>
      <c r="W563" s="2035">
        <v>0.03</v>
      </c>
      <c r="X563" s="2036"/>
      <c r="Y563" s="2037"/>
      <c r="Z563" s="2038" t="s">
        <v>2266</v>
      </c>
      <c r="AA563" s="2038"/>
      <c r="AB563" s="2038"/>
      <c r="AC563" s="2038"/>
      <c r="AD563" s="2038"/>
      <c r="AE563" s="2039"/>
      <c r="AF563" s="2040"/>
      <c r="AG563" s="2040"/>
      <c r="AH563" s="2041"/>
      <c r="AI563" s="2042"/>
      <c r="AJ563" s="2043"/>
      <c r="AK563" s="2043"/>
      <c r="AL563" s="2044"/>
      <c r="AM563" s="1714">
        <v>660011</v>
      </c>
      <c r="AN563" s="1715"/>
      <c r="AO563" s="1715"/>
      <c r="AP563" s="1715"/>
      <c r="AQ563" s="1715"/>
      <c r="AR563" s="1715"/>
      <c r="AS563" s="171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188</v>
      </c>
      <c r="C564" s="1695" t="s">
        <v>2464</v>
      </c>
      <c r="D564" s="1695"/>
      <c r="E564" s="1695"/>
      <c r="F564" s="1695"/>
      <c r="G564" s="1695"/>
      <c r="H564" s="1695"/>
      <c r="I564" s="1695"/>
      <c r="J564" s="1695"/>
      <c r="K564" s="1695"/>
      <c r="L564" s="1695"/>
      <c r="M564" s="1695"/>
      <c r="N564" s="1695"/>
      <c r="O564" s="1695"/>
      <c r="P564" s="2034"/>
      <c r="Q564" s="1971">
        <v>24</v>
      </c>
      <c r="R564" s="1879"/>
      <c r="S564" s="1972"/>
      <c r="T564" s="1971"/>
      <c r="U564" s="1879"/>
      <c r="V564" s="1972"/>
      <c r="W564" s="2035">
        <v>0.03</v>
      </c>
      <c r="X564" s="2036"/>
      <c r="Y564" s="2037"/>
      <c r="Z564" s="2038" t="s">
        <v>2266</v>
      </c>
      <c r="AA564" s="2038"/>
      <c r="AB564" s="2038"/>
      <c r="AC564" s="2038"/>
      <c r="AD564" s="2038"/>
      <c r="AE564" s="2039"/>
      <c r="AF564" s="2040"/>
      <c r="AG564" s="2040"/>
      <c r="AH564" s="2041"/>
      <c r="AI564" s="2042"/>
      <c r="AJ564" s="2043"/>
      <c r="AK564" s="2043"/>
      <c r="AL564" s="2044"/>
      <c r="AM564" s="1714">
        <v>805549</v>
      </c>
      <c r="AN564" s="1715"/>
      <c r="AO564" s="1715"/>
      <c r="AP564" s="1715"/>
      <c r="AQ564" s="1715"/>
      <c r="AR564" s="1715"/>
      <c r="AS564" s="171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483</v>
      </c>
      <c r="C565" s="1695" t="s">
        <v>2479</v>
      </c>
      <c r="D565" s="1695"/>
      <c r="E565" s="1695"/>
      <c r="F565" s="1695"/>
      <c r="G565" s="1695"/>
      <c r="H565" s="1695"/>
      <c r="I565" s="1695"/>
      <c r="J565" s="1695"/>
      <c r="K565" s="1695"/>
      <c r="L565" s="1695"/>
      <c r="M565" s="1695"/>
      <c r="N565" s="1695"/>
      <c r="O565" s="1695"/>
      <c r="P565" s="2034"/>
      <c r="Q565" s="1971">
        <v>24</v>
      </c>
      <c r="R565" s="1879"/>
      <c r="S565" s="1972"/>
      <c r="T565" s="1971"/>
      <c r="U565" s="1879"/>
      <c r="V565" s="1972"/>
      <c r="W565" s="2035">
        <v>0</v>
      </c>
      <c r="X565" s="2036"/>
      <c r="Y565" s="2037"/>
      <c r="Z565" s="2038" t="s">
        <v>2266</v>
      </c>
      <c r="AA565" s="2038"/>
      <c r="AB565" s="2038"/>
      <c r="AC565" s="2038"/>
      <c r="AD565" s="2038"/>
      <c r="AE565" s="2039"/>
      <c r="AF565" s="2040"/>
      <c r="AG565" s="2040"/>
      <c r="AH565" s="2041"/>
      <c r="AI565" s="2042"/>
      <c r="AJ565" s="2043"/>
      <c r="AK565" s="2043"/>
      <c r="AL565" s="2044"/>
      <c r="AM565" s="1714">
        <v>2492956</v>
      </c>
      <c r="AN565" s="1715"/>
      <c r="AO565" s="1715"/>
      <c r="AP565" s="1715"/>
      <c r="AQ565" s="1715"/>
      <c r="AR565" s="1715"/>
      <c r="AS565" s="171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809</v>
      </c>
      <c r="C566" s="1695" t="s">
        <v>2465</v>
      </c>
      <c r="D566" s="1695"/>
      <c r="E566" s="1695"/>
      <c r="F566" s="1695"/>
      <c r="G566" s="1695"/>
      <c r="H566" s="1695"/>
      <c r="I566" s="1695"/>
      <c r="J566" s="1695"/>
      <c r="K566" s="1695"/>
      <c r="L566" s="1695"/>
      <c r="M566" s="1695"/>
      <c r="N566" s="1695"/>
      <c r="O566" s="1695"/>
      <c r="P566" s="2034"/>
      <c r="Q566" s="1971"/>
      <c r="R566" s="1879"/>
      <c r="S566" s="1972"/>
      <c r="T566" s="1971"/>
      <c r="U566" s="1879"/>
      <c r="V566" s="1972"/>
      <c r="W566" s="2035"/>
      <c r="X566" s="2036"/>
      <c r="Y566" s="2037"/>
      <c r="Z566" s="2038" t="s">
        <v>2266</v>
      </c>
      <c r="AA566" s="2038"/>
      <c r="AB566" s="2038"/>
      <c r="AC566" s="2038"/>
      <c r="AD566" s="2038"/>
      <c r="AE566" s="2039"/>
      <c r="AF566" s="2040"/>
      <c r="AG566" s="2040"/>
      <c r="AH566" s="2041"/>
      <c r="AI566" s="2042"/>
      <c r="AJ566" s="2043"/>
      <c r="AK566" s="2043"/>
      <c r="AL566" s="2044"/>
      <c r="AM566" s="1714">
        <v>921423</v>
      </c>
      <c r="AN566" s="1715"/>
      <c r="AO566" s="1715"/>
      <c r="AP566" s="1715"/>
      <c r="AQ566" s="1715"/>
      <c r="AR566" s="1715"/>
      <c r="AS566" s="171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810</v>
      </c>
      <c r="C567" s="1695" t="s">
        <v>2466</v>
      </c>
      <c r="D567" s="1695"/>
      <c r="E567" s="1695"/>
      <c r="F567" s="1695"/>
      <c r="G567" s="1695"/>
      <c r="H567" s="1695"/>
      <c r="I567" s="1695"/>
      <c r="J567" s="1695"/>
      <c r="K567" s="1695"/>
      <c r="L567" s="1695"/>
      <c r="M567" s="1695"/>
      <c r="N567" s="1695"/>
      <c r="O567" s="1695"/>
      <c r="P567" s="2034"/>
      <c r="Q567" s="1971"/>
      <c r="R567" s="1879"/>
      <c r="S567" s="1972"/>
      <c r="T567" s="1971"/>
      <c r="U567" s="1879"/>
      <c r="V567" s="1972"/>
      <c r="W567" s="2035"/>
      <c r="X567" s="2036"/>
      <c r="Y567" s="2037"/>
      <c r="Z567" s="2038" t="s">
        <v>2266</v>
      </c>
      <c r="AA567" s="2038"/>
      <c r="AB567" s="2038"/>
      <c r="AC567" s="2038"/>
      <c r="AD567" s="2038"/>
      <c r="AE567" s="2039"/>
      <c r="AF567" s="2040"/>
      <c r="AG567" s="2040"/>
      <c r="AH567" s="2041"/>
      <c r="AI567" s="2042"/>
      <c r="AJ567" s="2043"/>
      <c r="AK567" s="2043"/>
      <c r="AL567" s="2044"/>
      <c r="AM567" s="1714">
        <f>1860956-90000</f>
        <v>1770956</v>
      </c>
      <c r="AN567" s="1715"/>
      <c r="AO567" s="1715"/>
      <c r="AP567" s="1715"/>
      <c r="AQ567" s="1715"/>
      <c r="AR567" s="1715"/>
      <c r="AS567" s="171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605</v>
      </c>
      <c r="C568" s="1695" t="s">
        <v>2533</v>
      </c>
      <c r="D568" s="1695"/>
      <c r="E568" s="1695"/>
      <c r="F568" s="1695"/>
      <c r="G568" s="1695"/>
      <c r="H568" s="1695"/>
      <c r="I568" s="1695"/>
      <c r="J568" s="1695"/>
      <c r="K568" s="1695"/>
      <c r="L568" s="1695"/>
      <c r="M568" s="1695"/>
      <c r="N568" s="1695"/>
      <c r="O568" s="1695"/>
      <c r="P568" s="2034"/>
      <c r="Q568" s="1971"/>
      <c r="R568" s="1879"/>
      <c r="S568" s="1972"/>
      <c r="T568" s="1971"/>
      <c r="U568" s="1879"/>
      <c r="V568" s="1972"/>
      <c r="W568" s="2035"/>
      <c r="X568" s="2036"/>
      <c r="Y568" s="2037"/>
      <c r="Z568" s="2038" t="s">
        <v>2266</v>
      </c>
      <c r="AA568" s="2038"/>
      <c r="AB568" s="2038"/>
      <c r="AC568" s="2038"/>
      <c r="AD568" s="2038"/>
      <c r="AE568" s="2039"/>
      <c r="AF568" s="2040"/>
      <c r="AG568" s="2040"/>
      <c r="AH568" s="2041"/>
      <c r="AI568" s="2042"/>
      <c r="AJ568" s="2043"/>
      <c r="AK568" s="2043"/>
      <c r="AL568" s="2044"/>
      <c r="AM568" s="1714">
        <v>157578</v>
      </c>
      <c r="AN568" s="1715"/>
      <c r="AO568" s="1715"/>
      <c r="AP568" s="1715"/>
      <c r="AQ568" s="1715"/>
      <c r="AR568" s="1715"/>
      <c r="AS568" s="171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191</v>
      </c>
      <c r="C569" s="1695"/>
      <c r="D569" s="1695"/>
      <c r="E569" s="1695"/>
      <c r="F569" s="1695"/>
      <c r="G569" s="1695"/>
      <c r="H569" s="1695"/>
      <c r="I569" s="1695"/>
      <c r="J569" s="1695"/>
      <c r="K569" s="1695"/>
      <c r="L569" s="1695"/>
      <c r="M569" s="1695"/>
      <c r="N569" s="1695"/>
      <c r="O569" s="1695"/>
      <c r="P569" s="2034"/>
      <c r="Q569" s="1971"/>
      <c r="R569" s="1879"/>
      <c r="S569" s="1972"/>
      <c r="T569" s="1971"/>
      <c r="U569" s="1879"/>
      <c r="V569" s="1972"/>
      <c r="W569" s="2035"/>
      <c r="X569" s="2036"/>
      <c r="Y569" s="2037"/>
      <c r="Z569" s="2038" t="s">
        <v>2266</v>
      </c>
      <c r="AA569" s="2038"/>
      <c r="AB569" s="2038"/>
      <c r="AC569" s="2038"/>
      <c r="AD569" s="2038"/>
      <c r="AE569" s="2039"/>
      <c r="AF569" s="2040"/>
      <c r="AG569" s="2040"/>
      <c r="AH569" s="2041"/>
      <c r="AI569" s="2042"/>
      <c r="AJ569" s="2043"/>
      <c r="AK569" s="2043"/>
      <c r="AL569" s="2044"/>
      <c r="AM569" s="1714"/>
      <c r="AN569" s="1715"/>
      <c r="AO569" s="1715"/>
      <c r="AP569" s="1715"/>
      <c r="AQ569" s="1715"/>
      <c r="AR569" s="1715"/>
      <c r="AS569" s="171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695"/>
      <c r="D570" s="1695"/>
      <c r="E570" s="1695"/>
      <c r="F570" s="1695"/>
      <c r="G570" s="1695"/>
      <c r="H570" s="1695"/>
      <c r="I570" s="1695"/>
      <c r="J570" s="1695"/>
      <c r="K570" s="1695"/>
      <c r="L570" s="1695"/>
      <c r="M570" s="1695"/>
      <c r="N570" s="1695"/>
      <c r="O570" s="1695"/>
      <c r="P570" s="2034"/>
      <c r="Q570" s="1971"/>
      <c r="R570" s="1879"/>
      <c r="S570" s="1972"/>
      <c r="T570" s="1971"/>
      <c r="U570" s="1879"/>
      <c r="V570" s="1972"/>
      <c r="W570" s="2035"/>
      <c r="X570" s="2036"/>
      <c r="Y570" s="2037"/>
      <c r="Z570" s="2038" t="s">
        <v>2266</v>
      </c>
      <c r="AA570" s="2038"/>
      <c r="AB570" s="2038"/>
      <c r="AC570" s="2038"/>
      <c r="AD570" s="2038"/>
      <c r="AE570" s="2039"/>
      <c r="AF570" s="2040"/>
      <c r="AG570" s="2040"/>
      <c r="AH570" s="2041"/>
      <c r="AI570" s="2042"/>
      <c r="AJ570" s="2043"/>
      <c r="AK570" s="2043"/>
      <c r="AL570" s="2044"/>
      <c r="AM570" s="1714"/>
      <c r="AN570" s="1715"/>
      <c r="AO570" s="1715"/>
      <c r="AP570" s="1715"/>
      <c r="AQ570" s="1715"/>
      <c r="AR570" s="1715"/>
      <c r="AS570" s="171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695"/>
      <c r="D571" s="1695"/>
      <c r="E571" s="1695"/>
      <c r="F571" s="1695"/>
      <c r="G571" s="1695"/>
      <c r="H571" s="1695"/>
      <c r="I571" s="1695"/>
      <c r="J571" s="1695"/>
      <c r="K571" s="1695"/>
      <c r="L571" s="1695"/>
      <c r="M571" s="1695"/>
      <c r="N571" s="1695"/>
      <c r="O571" s="1695"/>
      <c r="P571" s="2034"/>
      <c r="Q571" s="1971"/>
      <c r="R571" s="1879"/>
      <c r="S571" s="1972"/>
      <c r="T571" s="1971"/>
      <c r="U571" s="1879"/>
      <c r="V571" s="1972"/>
      <c r="W571" s="2035"/>
      <c r="X571" s="2036"/>
      <c r="Y571" s="2037"/>
      <c r="Z571" s="2038" t="s">
        <v>2266</v>
      </c>
      <c r="AA571" s="2038"/>
      <c r="AB571" s="2038"/>
      <c r="AC571" s="2038"/>
      <c r="AD571" s="2038"/>
      <c r="AE571" s="2039"/>
      <c r="AF571" s="2040"/>
      <c r="AG571" s="2040"/>
      <c r="AH571" s="2041"/>
      <c r="AI571" s="2042"/>
      <c r="AJ571" s="2043"/>
      <c r="AK571" s="2043"/>
      <c r="AL571" s="2044"/>
      <c r="AM571" s="1714"/>
      <c r="AN571" s="1715"/>
      <c r="AO571" s="1715"/>
      <c r="AP571" s="1715"/>
      <c r="AQ571" s="1715"/>
      <c r="AR571" s="1715"/>
      <c r="AS571" s="171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910" t="s">
        <v>401</v>
      </c>
      <c r="C572" s="1911"/>
      <c r="D572" s="1911"/>
      <c r="E572" s="1911"/>
      <c r="F572" s="1911"/>
      <c r="G572" s="1911"/>
      <c r="H572" s="1911"/>
      <c r="I572" s="1911"/>
      <c r="J572" s="1911"/>
      <c r="K572" s="1911"/>
      <c r="L572" s="1911"/>
      <c r="M572" s="1911"/>
      <c r="N572" s="1911"/>
      <c r="O572" s="1911"/>
      <c r="P572" s="1911"/>
      <c r="Q572" s="1911"/>
      <c r="R572" s="1911"/>
      <c r="S572" s="1911"/>
      <c r="T572" s="1911"/>
      <c r="U572" s="2077"/>
      <c r="V572" s="1911"/>
      <c r="W572" s="1911"/>
      <c r="X572" s="1911"/>
      <c r="Y572" s="1911"/>
      <c r="Z572" s="1911"/>
      <c r="AA572" s="1911"/>
      <c r="AB572" s="1911"/>
      <c r="AC572" s="1911"/>
      <c r="AD572" s="1911"/>
      <c r="AE572" s="1911"/>
      <c r="AF572" s="1911"/>
      <c r="AG572" s="1911"/>
      <c r="AH572" s="1911"/>
      <c r="AI572" s="1911"/>
      <c r="AJ572" s="1911"/>
      <c r="AK572" s="1911"/>
      <c r="AL572" s="1912"/>
      <c r="AM572" s="1755">
        <f>SUM(AM560:AS571)</f>
        <v>35121118</v>
      </c>
      <c r="AN572" s="1756"/>
      <c r="AO572" s="1756"/>
      <c r="AP572" s="1756"/>
      <c r="AQ572" s="1756"/>
      <c r="AR572" s="1756"/>
      <c r="AS572" s="175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7"/>
      <c r="AF573" s="1397"/>
      <c r="AG573" s="1397"/>
      <c r="AH573" s="1397"/>
      <c r="AI573" s="1397"/>
      <c r="AJ573" s="1397"/>
      <c r="AK573" s="139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1003</v>
      </c>
      <c r="B574" s="16" t="s">
        <v>93</v>
      </c>
      <c r="G574" s="1875" t="str">
        <f>C560</f>
        <v>Wells Fargo - Construction Loan</v>
      </c>
      <c r="H574" s="1875"/>
      <c r="I574" s="1875"/>
      <c r="J574" s="1875"/>
      <c r="K574" s="1875"/>
      <c r="L574" s="1875"/>
      <c r="M574" s="1875"/>
      <c r="N574" s="1875"/>
      <c r="O574" s="1875"/>
      <c r="P574" s="1875"/>
      <c r="Q574" s="1875"/>
      <c r="R574" s="1875"/>
      <c r="S574" s="18"/>
      <c r="T574" s="101" t="s">
        <v>1004</v>
      </c>
      <c r="U574" s="16" t="s">
        <v>93</v>
      </c>
      <c r="Z574" s="1875" t="str">
        <f>C561</f>
        <v>HACSB - Seller Note</v>
      </c>
      <c r="AA574" s="1875"/>
      <c r="AB574" s="1875"/>
      <c r="AC574" s="1875"/>
      <c r="AD574" s="1875"/>
      <c r="AE574" s="1875"/>
      <c r="AF574" s="1875"/>
      <c r="AG574" s="1875"/>
      <c r="AH574" s="1875"/>
      <c r="AI574" s="1875"/>
      <c r="AJ574" s="1875"/>
      <c r="AK574" s="187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416</v>
      </c>
      <c r="G575" s="1698" t="s">
        <v>2467</v>
      </c>
      <c r="H575" s="1698"/>
      <c r="I575" s="1698"/>
      <c r="J575" s="1698"/>
      <c r="K575" s="1698"/>
      <c r="L575" s="1698"/>
      <c r="M575" s="1698"/>
      <c r="N575" s="1698"/>
      <c r="O575" s="1698"/>
      <c r="P575" s="1698"/>
      <c r="Q575" s="1698"/>
      <c r="R575" s="1698"/>
      <c r="S575" s="18"/>
      <c r="T575" s="46"/>
      <c r="U575" s="16" t="s">
        <v>416</v>
      </c>
      <c r="Z575" s="1698" t="s">
        <v>2383</v>
      </c>
      <c r="AA575" s="1698"/>
      <c r="AB575" s="1698"/>
      <c r="AC575" s="1698"/>
      <c r="AD575" s="1698"/>
      <c r="AE575" s="1698"/>
      <c r="AF575" s="1698"/>
      <c r="AG575" s="1698"/>
      <c r="AH575" s="1698"/>
      <c r="AI575" s="1698"/>
      <c r="AJ575" s="1698"/>
      <c r="AK575" s="169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479</v>
      </c>
      <c r="G576" s="1698" t="s">
        <v>448</v>
      </c>
      <c r="H576" s="1698"/>
      <c r="I576" s="1698"/>
      <c r="J576" s="1698"/>
      <c r="K576" s="1698"/>
      <c r="L576" s="1698"/>
      <c r="M576" s="1698"/>
      <c r="N576" s="1698"/>
      <c r="O576" s="1698"/>
      <c r="P576" s="1698"/>
      <c r="Q576" s="1698"/>
      <c r="R576" s="1698"/>
      <c r="S576" s="102"/>
      <c r="T576" s="46"/>
      <c r="U576" s="16" t="s">
        <v>479</v>
      </c>
      <c r="Z576" s="1696" t="s">
        <v>896</v>
      </c>
      <c r="AA576" s="1696"/>
      <c r="AB576" s="1696"/>
      <c r="AC576" s="1696"/>
      <c r="AD576" s="1696"/>
      <c r="AE576" s="1696"/>
      <c r="AF576" s="1696"/>
      <c r="AG576" s="1696"/>
      <c r="AH576" s="1696"/>
      <c r="AI576" s="1696"/>
      <c r="AJ576" s="1696"/>
      <c r="AK576" s="169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914</v>
      </c>
      <c r="G577" s="1698" t="s">
        <v>2468</v>
      </c>
      <c r="H577" s="1698"/>
      <c r="I577" s="1698"/>
      <c r="J577" s="1698"/>
      <c r="K577" s="1698"/>
      <c r="L577" s="1698"/>
      <c r="M577" s="1698"/>
      <c r="N577" s="1698"/>
      <c r="O577" s="1698"/>
      <c r="P577" s="1698"/>
      <c r="Q577" s="1698"/>
      <c r="R577" s="1698"/>
      <c r="S577" s="18"/>
      <c r="T577" s="46"/>
      <c r="U577" s="16" t="s">
        <v>914</v>
      </c>
      <c r="Z577" s="1696" t="s">
        <v>2372</v>
      </c>
      <c r="AA577" s="1696"/>
      <c r="AB577" s="1696"/>
      <c r="AC577" s="1696"/>
      <c r="AD577" s="1696"/>
      <c r="AE577" s="1696"/>
      <c r="AF577" s="1696"/>
      <c r="AG577" s="1696"/>
      <c r="AH577" s="1696"/>
      <c r="AI577" s="1696"/>
      <c r="AJ577" s="1696"/>
      <c r="AK577" s="169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94" t="s">
        <v>2469</v>
      </c>
      <c r="H578" s="1688"/>
      <c r="I578" s="1688"/>
      <c r="J578" s="1688"/>
      <c r="K578" s="1688"/>
      <c r="L578" s="1688"/>
      <c r="O578" s="149" t="s">
        <v>899</v>
      </c>
      <c r="P578" s="1700"/>
      <c r="Q578" s="1700"/>
      <c r="R578" s="1700"/>
      <c r="S578" s="20"/>
      <c r="T578" s="46"/>
      <c r="U578" s="16" t="s">
        <v>715</v>
      </c>
      <c r="Z578" s="1694" t="s">
        <v>2385</v>
      </c>
      <c r="AA578" s="1688"/>
      <c r="AB578" s="1688"/>
      <c r="AC578" s="1688"/>
      <c r="AD578" s="1688"/>
      <c r="AE578" s="1688"/>
      <c r="AH578" s="149" t="s">
        <v>899</v>
      </c>
      <c r="AI578" s="1700"/>
      <c r="AJ578" s="1700"/>
      <c r="AK578" s="170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8" t="s">
        <v>2470</v>
      </c>
      <c r="I579" s="1698"/>
      <c r="J579" s="1698"/>
      <c r="K579" s="1698"/>
      <c r="L579" s="1698"/>
      <c r="M579" s="1698"/>
      <c r="N579" s="1698"/>
      <c r="O579" s="1698"/>
      <c r="P579" s="1698"/>
      <c r="Q579" s="1698"/>
      <c r="R579" s="1698"/>
      <c r="S579" s="18"/>
      <c r="T579" s="46"/>
      <c r="U579" s="16" t="s">
        <v>915</v>
      </c>
      <c r="AA579" s="1698" t="s">
        <v>2471</v>
      </c>
      <c r="AB579" s="1698"/>
      <c r="AC579" s="1698"/>
      <c r="AD579" s="1698"/>
      <c r="AE579" s="1698"/>
      <c r="AF579" s="1698"/>
      <c r="AG579" s="1698"/>
      <c r="AH579" s="1698"/>
      <c r="AI579" s="1698"/>
      <c r="AJ579" s="1698"/>
      <c r="AK579" s="169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99" t="s">
        <v>119</v>
      </c>
      <c r="O580" s="1699"/>
      <c r="T580" s="46"/>
      <c r="U580" s="16" t="s">
        <v>917</v>
      </c>
      <c r="AG580" s="1699" t="s">
        <v>119</v>
      </c>
      <c r="AH580" s="169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75" t="str">
        <f>C562</f>
        <v>HACSB - Development Loan</v>
      </c>
      <c r="H582" s="1875"/>
      <c r="I582" s="1875"/>
      <c r="J582" s="1875"/>
      <c r="K582" s="1875"/>
      <c r="L582" s="1875"/>
      <c r="M582" s="1875"/>
      <c r="N582" s="1875"/>
      <c r="O582" s="1875"/>
      <c r="P582" s="1875"/>
      <c r="Q582" s="1875"/>
      <c r="R582" s="1875"/>
      <c r="T582" s="101" t="s">
        <v>480</v>
      </c>
      <c r="U582" s="16" t="s">
        <v>93</v>
      </c>
      <c r="Z582" s="1875" t="str">
        <f>C563</f>
        <v>County of Ventura HOME</v>
      </c>
      <c r="AA582" s="1875"/>
      <c r="AB582" s="1875"/>
      <c r="AC582" s="1875"/>
      <c r="AD582" s="1875"/>
      <c r="AE582" s="1875"/>
      <c r="AF582" s="1875"/>
      <c r="AG582" s="1875"/>
      <c r="AH582" s="1875"/>
      <c r="AI582" s="1875"/>
      <c r="AJ582" s="1875"/>
      <c r="AK582" s="187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8" t="str">
        <f>Z575</f>
        <v>995 Riverside Street</v>
      </c>
      <c r="H583" s="1698"/>
      <c r="I583" s="1698"/>
      <c r="J583" s="1698"/>
      <c r="K583" s="1698"/>
      <c r="L583" s="1698"/>
      <c r="M583" s="1698"/>
      <c r="N583" s="1698"/>
      <c r="O583" s="1698"/>
      <c r="P583" s="1698"/>
      <c r="Q583" s="1698"/>
      <c r="R583" s="1698"/>
      <c r="T583" s="46"/>
      <c r="U583" s="16" t="s">
        <v>416</v>
      </c>
      <c r="Z583" s="1698" t="s">
        <v>2472</v>
      </c>
      <c r="AA583" s="1698"/>
      <c r="AB583" s="1698"/>
      <c r="AC583" s="1698"/>
      <c r="AD583" s="1698"/>
      <c r="AE583" s="1698"/>
      <c r="AF583" s="1698"/>
      <c r="AG583" s="1698"/>
      <c r="AH583" s="1698"/>
      <c r="AI583" s="1698"/>
      <c r="AJ583" s="1698"/>
      <c r="AK583" s="169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6" t="str">
        <f>Z576</f>
        <v>Ventura</v>
      </c>
      <c r="H584" s="1696"/>
      <c r="I584" s="1696"/>
      <c r="J584" s="1696"/>
      <c r="K584" s="1696"/>
      <c r="L584" s="1696"/>
      <c r="M584" s="1696"/>
      <c r="N584" s="1696"/>
      <c r="O584" s="1696"/>
      <c r="P584" s="1696"/>
      <c r="Q584" s="1696"/>
      <c r="R584" s="1696"/>
      <c r="T584" s="46"/>
      <c r="U584" s="16" t="s">
        <v>479</v>
      </c>
      <c r="Z584" s="1696" t="str">
        <f>Z576</f>
        <v>Ventura</v>
      </c>
      <c r="AA584" s="1696"/>
      <c r="AB584" s="1696"/>
      <c r="AC584" s="1696"/>
      <c r="AD584" s="1696"/>
      <c r="AE584" s="1696"/>
      <c r="AF584" s="1696"/>
      <c r="AG584" s="1696"/>
      <c r="AH584" s="1696"/>
      <c r="AI584" s="1696"/>
      <c r="AJ584" s="1696"/>
      <c r="AK584" s="169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6" t="str">
        <f>Z577</f>
        <v>Denise M. Wise</v>
      </c>
      <c r="H585" s="1696"/>
      <c r="I585" s="1696"/>
      <c r="J585" s="1696"/>
      <c r="K585" s="1696"/>
      <c r="L585" s="1696"/>
      <c r="M585" s="1696"/>
      <c r="N585" s="1696"/>
      <c r="O585" s="1696"/>
      <c r="P585" s="1696"/>
      <c r="Q585" s="1696"/>
      <c r="R585" s="1696"/>
      <c r="T585" s="46"/>
      <c r="U585" s="16" t="s">
        <v>914</v>
      </c>
      <c r="Z585" s="1696" t="s">
        <v>2473</v>
      </c>
      <c r="AA585" s="1696"/>
      <c r="AB585" s="1696"/>
      <c r="AC585" s="1696"/>
      <c r="AD585" s="1696"/>
      <c r="AE585" s="1696"/>
      <c r="AF585" s="1696"/>
      <c r="AG585" s="1696"/>
      <c r="AH585" s="1696"/>
      <c r="AI585" s="1696"/>
      <c r="AJ585" s="1696"/>
      <c r="AK585" s="169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8" t="str">
        <f>Z578</f>
        <v>805-648-5008</v>
      </c>
      <c r="H586" s="1688"/>
      <c r="I586" s="1688"/>
      <c r="J586" s="1688"/>
      <c r="K586" s="1688"/>
      <c r="L586" s="1688"/>
      <c r="O586" s="149" t="s">
        <v>899</v>
      </c>
      <c r="P586" s="1700"/>
      <c r="Q586" s="1700"/>
      <c r="R586" s="1700"/>
      <c r="T586" s="46"/>
      <c r="U586" s="16" t="s">
        <v>715</v>
      </c>
      <c r="Z586" s="1694" t="s">
        <v>2474</v>
      </c>
      <c r="AA586" s="1688"/>
      <c r="AB586" s="1688"/>
      <c r="AC586" s="1688"/>
      <c r="AD586" s="1688"/>
      <c r="AE586" s="1688"/>
      <c r="AH586" s="149" t="s">
        <v>899</v>
      </c>
      <c r="AI586" s="1700"/>
      <c r="AJ586" s="1700"/>
      <c r="AK586" s="170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8" t="s">
        <v>2470</v>
      </c>
      <c r="I587" s="1698"/>
      <c r="J587" s="1698"/>
      <c r="K587" s="1698"/>
      <c r="L587" s="1698"/>
      <c r="M587" s="1698"/>
      <c r="N587" s="1698"/>
      <c r="O587" s="1698"/>
      <c r="P587" s="1698"/>
      <c r="Q587" s="1698"/>
      <c r="R587" s="1698"/>
      <c r="T587" s="46"/>
      <c r="U587" s="16" t="s">
        <v>915</v>
      </c>
      <c r="AA587" s="1698" t="s">
        <v>2470</v>
      </c>
      <c r="AB587" s="1698"/>
      <c r="AC587" s="1698"/>
      <c r="AD587" s="1698"/>
      <c r="AE587" s="1698"/>
      <c r="AF587" s="1698"/>
      <c r="AG587" s="1698"/>
      <c r="AH587" s="1698"/>
      <c r="AI587" s="1698"/>
      <c r="AJ587" s="1698"/>
      <c r="AK587" s="169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3" t="s">
        <v>119</v>
      </c>
      <c r="O588" s="1723"/>
      <c r="T588" s="46"/>
      <c r="U588" s="16" t="s">
        <v>917</v>
      </c>
      <c r="AG588" s="1723" t="s">
        <v>119</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5" t="str">
        <f>C564</f>
        <v>County of Ventura CDBG-DR</v>
      </c>
      <c r="H590" s="1875"/>
      <c r="I590" s="1875"/>
      <c r="J590" s="1875"/>
      <c r="K590" s="1875"/>
      <c r="L590" s="1875"/>
      <c r="M590" s="1875"/>
      <c r="N590" s="1875"/>
      <c r="O590" s="1875"/>
      <c r="P590" s="1875"/>
      <c r="Q590" s="1875"/>
      <c r="R590" s="1875"/>
      <c r="T590" s="101" t="s">
        <v>483</v>
      </c>
      <c r="U590" s="16" t="s">
        <v>93</v>
      </c>
      <c r="Z590" s="1875" t="str">
        <f>C565</f>
        <v>HCD Infill Infrastructure Grant Program</v>
      </c>
      <c r="AA590" s="1875"/>
      <c r="AB590" s="1875"/>
      <c r="AC590" s="1875"/>
      <c r="AD590" s="1875"/>
      <c r="AE590" s="1875"/>
      <c r="AF590" s="1875"/>
      <c r="AG590" s="1875"/>
      <c r="AH590" s="1875"/>
      <c r="AI590" s="1875"/>
      <c r="AJ590" s="1875"/>
      <c r="AK590" s="187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8" t="str">
        <f>Z583</f>
        <v>800 S. Victoria Avenue</v>
      </c>
      <c r="H591" s="1698"/>
      <c r="I591" s="1698"/>
      <c r="J591" s="1698"/>
      <c r="K591" s="1698"/>
      <c r="L591" s="1698"/>
      <c r="M591" s="1698"/>
      <c r="N591" s="1698"/>
      <c r="O591" s="1698"/>
      <c r="P591" s="1698"/>
      <c r="Q591" s="1698"/>
      <c r="R591" s="1698"/>
      <c r="T591" s="46"/>
      <c r="U591" s="16" t="s">
        <v>416</v>
      </c>
      <c r="Z591" s="1698" t="s">
        <v>2475</v>
      </c>
      <c r="AA591" s="1698"/>
      <c r="AB591" s="1698"/>
      <c r="AC591" s="1698"/>
      <c r="AD591" s="1698"/>
      <c r="AE591" s="1698"/>
      <c r="AF591" s="1698"/>
      <c r="AG591" s="1698"/>
      <c r="AH591" s="1698"/>
      <c r="AI591" s="1698"/>
      <c r="AJ591" s="1698"/>
      <c r="AK591" s="169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8" t="str">
        <f>Z584</f>
        <v>Ventura</v>
      </c>
      <c r="H592" s="1698"/>
      <c r="I592" s="1698"/>
      <c r="J592" s="1698"/>
      <c r="K592" s="1698"/>
      <c r="L592" s="1698"/>
      <c r="M592" s="1698"/>
      <c r="N592" s="1698"/>
      <c r="O592" s="1698"/>
      <c r="P592" s="1698"/>
      <c r="Q592" s="1698"/>
      <c r="R592" s="1698"/>
      <c r="T592" s="46"/>
      <c r="U592" s="16" t="s">
        <v>479</v>
      </c>
      <c r="Z592" s="1696" t="s">
        <v>121</v>
      </c>
      <c r="AA592" s="1696"/>
      <c r="AB592" s="1696"/>
      <c r="AC592" s="1696"/>
      <c r="AD592" s="1696"/>
      <c r="AE592" s="1696"/>
      <c r="AF592" s="1696"/>
      <c r="AG592" s="1696"/>
      <c r="AH592" s="1696"/>
      <c r="AI592" s="1696"/>
      <c r="AJ592" s="1696"/>
      <c r="AK592" s="169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8" t="str">
        <f>Z585</f>
        <v>Tracy McAulay</v>
      </c>
      <c r="H593" s="1698"/>
      <c r="I593" s="1698"/>
      <c r="J593" s="1698"/>
      <c r="K593" s="1698"/>
      <c r="L593" s="1698"/>
      <c r="M593" s="1698"/>
      <c r="N593" s="1698"/>
      <c r="O593" s="1698"/>
      <c r="P593" s="1698"/>
      <c r="Q593" s="1698"/>
      <c r="R593" s="1698"/>
      <c r="T593" s="46"/>
      <c r="U593" s="16" t="s">
        <v>914</v>
      </c>
      <c r="Z593" s="1696" t="s">
        <v>2476</v>
      </c>
      <c r="AA593" s="1696"/>
      <c r="AB593" s="1696"/>
      <c r="AC593" s="1696"/>
      <c r="AD593" s="1696"/>
      <c r="AE593" s="1696"/>
      <c r="AF593" s="1696"/>
      <c r="AG593" s="1696"/>
      <c r="AH593" s="1696"/>
      <c r="AI593" s="1696"/>
      <c r="AJ593" s="1696"/>
      <c r="AK593" s="169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715</v>
      </c>
      <c r="G594" s="1688" t="str">
        <f>Z586</f>
        <v>805-662-6792</v>
      </c>
      <c r="H594" s="1688"/>
      <c r="I594" s="1688"/>
      <c r="J594" s="1688"/>
      <c r="K594" s="1688"/>
      <c r="L594" s="1688"/>
      <c r="O594" s="149" t="s">
        <v>899</v>
      </c>
      <c r="P594" s="1700"/>
      <c r="Q594" s="1700"/>
      <c r="R594" s="1700"/>
      <c r="T594" s="46"/>
      <c r="U594" s="16" t="s">
        <v>715</v>
      </c>
      <c r="Z594" s="1694" t="s">
        <v>2477</v>
      </c>
      <c r="AA594" s="1688"/>
      <c r="AB594" s="1688"/>
      <c r="AC594" s="1688"/>
      <c r="AD594" s="1688"/>
      <c r="AE594" s="1688"/>
      <c r="AH594" s="149" t="s">
        <v>899</v>
      </c>
      <c r="AI594" s="1700"/>
      <c r="AJ594" s="1700"/>
      <c r="AK594" s="170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915</v>
      </c>
      <c r="H595" s="1698" t="s">
        <v>2470</v>
      </c>
      <c r="I595" s="1698"/>
      <c r="J595" s="1698"/>
      <c r="K595" s="1698"/>
      <c r="L595" s="1698"/>
      <c r="M595" s="1698"/>
      <c r="N595" s="1698"/>
      <c r="O595" s="1698"/>
      <c r="P595" s="1698"/>
      <c r="Q595" s="1698"/>
      <c r="R595" s="1698"/>
      <c r="T595" s="46"/>
      <c r="U595" s="16" t="s">
        <v>915</v>
      </c>
      <c r="AA595" s="1698" t="s">
        <v>2478</v>
      </c>
      <c r="AB595" s="1698"/>
      <c r="AC595" s="1698"/>
      <c r="AD595" s="1698"/>
      <c r="AE595" s="1698"/>
      <c r="AF595" s="1698"/>
      <c r="AG595" s="1698"/>
      <c r="AH595" s="1698"/>
      <c r="AI595" s="1698"/>
      <c r="AJ595" s="1698"/>
      <c r="AK595" s="169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917</v>
      </c>
      <c r="N596" s="1723" t="s">
        <v>119</v>
      </c>
      <c r="O596" s="1723"/>
      <c r="T596" s="46"/>
      <c r="U596" s="16" t="s">
        <v>917</v>
      </c>
      <c r="AG596" s="1723" t="s">
        <v>119</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75" t="str">
        <f>C566</f>
        <v>Costs Deferred Until Conversion</v>
      </c>
      <c r="H598" s="1875"/>
      <c r="I598" s="1875"/>
      <c r="J598" s="1875"/>
      <c r="K598" s="1875"/>
      <c r="L598" s="1875"/>
      <c r="M598" s="1875"/>
      <c r="N598" s="1875"/>
      <c r="O598" s="1875"/>
      <c r="P598" s="1875"/>
      <c r="Q598" s="1875"/>
      <c r="R598" s="1875"/>
      <c r="T598" s="101" t="s">
        <v>810</v>
      </c>
      <c r="U598" s="16" t="s">
        <v>93</v>
      </c>
      <c r="Z598" s="1875" t="str">
        <f>C567</f>
        <v>Tax Credit Equity Investor</v>
      </c>
      <c r="AA598" s="1875"/>
      <c r="AB598" s="1875"/>
      <c r="AC598" s="1875"/>
      <c r="AD598" s="1875"/>
      <c r="AE598" s="1875"/>
      <c r="AF598" s="1875"/>
      <c r="AG598" s="1875"/>
      <c r="AH598" s="1875"/>
      <c r="AI598" s="1875"/>
      <c r="AJ598" s="1875"/>
      <c r="AK598" s="187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416</v>
      </c>
      <c r="G599" s="1698" t="str">
        <f>Z575</f>
        <v>995 Riverside Street</v>
      </c>
      <c r="H599" s="1698"/>
      <c r="I599" s="1698"/>
      <c r="J599" s="1698"/>
      <c r="K599" s="1698"/>
      <c r="L599" s="1698"/>
      <c r="M599" s="1698"/>
      <c r="N599" s="1698"/>
      <c r="O599" s="1698"/>
      <c r="P599" s="1698"/>
      <c r="Q599" s="1698"/>
      <c r="R599" s="1698"/>
      <c r="T599" s="46"/>
      <c r="U599" s="16" t="s">
        <v>416</v>
      </c>
      <c r="Z599" s="1698" t="s">
        <v>2406</v>
      </c>
      <c r="AA599" s="1698"/>
      <c r="AB599" s="1698"/>
      <c r="AC599" s="1698"/>
      <c r="AD599" s="1698"/>
      <c r="AE599" s="1698"/>
      <c r="AF599" s="1698"/>
      <c r="AG599" s="1698"/>
      <c r="AH599" s="1698"/>
      <c r="AI599" s="1698"/>
      <c r="AJ599" s="1698"/>
      <c r="AK599" s="169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8" t="str">
        <f>Z576</f>
        <v>Ventura</v>
      </c>
      <c r="H600" s="1698"/>
      <c r="I600" s="1698"/>
      <c r="J600" s="1698"/>
      <c r="K600" s="1698"/>
      <c r="L600" s="1698"/>
      <c r="M600" s="1698"/>
      <c r="N600" s="1698"/>
      <c r="O600" s="1698"/>
      <c r="P600" s="1698"/>
      <c r="Q600" s="1698"/>
      <c r="R600" s="1698"/>
      <c r="S600" s="16"/>
      <c r="T600" s="46"/>
      <c r="U600" s="16" t="s">
        <v>479</v>
      </c>
      <c r="V600" s="16"/>
      <c r="W600" s="16"/>
      <c r="X600" s="16"/>
      <c r="Y600" s="16"/>
      <c r="Z600" s="1696"/>
      <c r="AA600" s="1696"/>
      <c r="AB600" s="1696"/>
      <c r="AC600" s="1696"/>
      <c r="AD600" s="1696"/>
      <c r="AE600" s="1696"/>
      <c r="AF600" s="1696"/>
      <c r="AG600" s="1696"/>
      <c r="AH600" s="1696"/>
      <c r="AI600" s="1696"/>
      <c r="AJ600" s="1696"/>
      <c r="AK600" s="169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914</v>
      </c>
      <c r="C601" s="16"/>
      <c r="D601" s="16"/>
      <c r="E601" s="16"/>
      <c r="F601" s="16"/>
      <c r="G601" s="1698" t="str">
        <f>Z577</f>
        <v>Denise M. Wise</v>
      </c>
      <c r="H601" s="1698"/>
      <c r="I601" s="1698"/>
      <c r="J601" s="1698"/>
      <c r="K601" s="1698"/>
      <c r="L601" s="1698"/>
      <c r="M601" s="1698"/>
      <c r="N601" s="1698"/>
      <c r="O601" s="1698"/>
      <c r="P601" s="1698"/>
      <c r="Q601" s="1698"/>
      <c r="R601" s="1698"/>
      <c r="S601" s="16"/>
      <c r="T601" s="46"/>
      <c r="U601" s="16" t="s">
        <v>914</v>
      </c>
      <c r="V601" s="16"/>
      <c r="W601" s="16"/>
      <c r="X601" s="16"/>
      <c r="Y601" s="16"/>
      <c r="Z601" s="1696"/>
      <c r="AA601" s="1696"/>
      <c r="AB601" s="1696"/>
      <c r="AC601" s="1696"/>
      <c r="AD601" s="1696"/>
      <c r="AE601" s="1696"/>
      <c r="AF601" s="1696"/>
      <c r="AG601" s="1696"/>
      <c r="AH601" s="1696"/>
      <c r="AI601" s="1696"/>
      <c r="AJ601" s="1696"/>
      <c r="AK601" s="1696"/>
      <c r="AL601" s="16"/>
      <c r="AM601" s="72"/>
      <c r="AN601" s="72"/>
      <c r="AO601" s="72"/>
      <c r="AP601" s="72"/>
      <c r="AQ601" s="72"/>
      <c r="AR601" s="72"/>
      <c r="AS601" s="72"/>
      <c r="AT601" s="72"/>
      <c r="AU601" s="72"/>
      <c r="AV601" s="72"/>
      <c r="AW601" s="72"/>
      <c r="AX601" s="72"/>
      <c r="AY601" s="72"/>
      <c r="AZ601" s="72"/>
      <c r="BN601" s="1438" t="s">
        <v>468</v>
      </c>
      <c r="BO601" s="1438"/>
      <c r="BP601" s="1438"/>
      <c r="BQ601" s="1439"/>
      <c r="BR601" s="1440"/>
      <c r="BS601" s="1438" t="s">
        <v>491</v>
      </c>
      <c r="BT601" s="1438"/>
      <c r="BU601" s="1438"/>
      <c r="BV601" s="1439"/>
      <c r="BW601" s="1440"/>
      <c r="BX601" s="1440" t="s">
        <v>852</v>
      </c>
      <c r="BY601" s="1438"/>
      <c r="BZ601" s="1438"/>
      <c r="CA601" s="1438"/>
      <c r="CB601" s="1438"/>
      <c r="CC601" s="1438" t="s">
        <v>853</v>
      </c>
      <c r="CD601" s="1438"/>
      <c r="CE601" s="1438"/>
      <c r="CF601" s="1438"/>
      <c r="CG601" s="1438"/>
      <c r="CH601" s="1438" t="s">
        <v>866</v>
      </c>
      <c r="CI601" s="1438"/>
      <c r="CJ601" s="1438"/>
      <c r="CK601" s="1438"/>
      <c r="CL601" s="1438"/>
      <c r="CM601" s="1438" t="s">
        <v>383</v>
      </c>
      <c r="CN601" s="1438"/>
      <c r="CO601" s="1438"/>
      <c r="CP601" s="1439"/>
      <c r="CQ601" s="1440"/>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715</v>
      </c>
      <c r="C602" s="16"/>
      <c r="D602" s="16"/>
      <c r="E602" s="16"/>
      <c r="F602" s="16"/>
      <c r="G602" s="1688" t="str">
        <f>Z578</f>
        <v>805-648-5008</v>
      </c>
      <c r="H602" s="1688"/>
      <c r="I602" s="1688"/>
      <c r="J602" s="1688"/>
      <c r="K602" s="1688"/>
      <c r="L602" s="1688"/>
      <c r="M602" s="16"/>
      <c r="N602" s="16"/>
      <c r="O602" s="149" t="s">
        <v>899</v>
      </c>
      <c r="P602" s="1700"/>
      <c r="Q602" s="1700"/>
      <c r="R602" s="1700"/>
      <c r="S602" s="16"/>
      <c r="T602" s="46"/>
      <c r="U602" s="16" t="s">
        <v>715</v>
      </c>
      <c r="V602" s="16"/>
      <c r="W602" s="16"/>
      <c r="X602" s="16"/>
      <c r="Y602" s="16"/>
      <c r="Z602" s="1688"/>
      <c r="AA602" s="1688"/>
      <c r="AB602" s="1688"/>
      <c r="AC602" s="1688"/>
      <c r="AD602" s="1688"/>
      <c r="AE602" s="1688"/>
      <c r="AF602" s="16"/>
      <c r="AG602" s="16"/>
      <c r="AH602" s="149" t="s">
        <v>899</v>
      </c>
      <c r="AI602" s="1700"/>
      <c r="AJ602" s="1700"/>
      <c r="AK602" s="1700"/>
      <c r="AL602" s="16"/>
      <c r="AZ602" s="8" t="s">
        <v>490</v>
      </c>
      <c r="BA602" s="72"/>
      <c r="BB602" s="72"/>
      <c r="BC602" s="72"/>
      <c r="BD602" s="72"/>
      <c r="BE602" s="334" t="s">
        <v>392</v>
      </c>
      <c r="BF602" s="335"/>
      <c r="BG602" s="1829"/>
      <c r="BH602" s="1832"/>
      <c r="BI602" s="334" t="s">
        <v>393</v>
      </c>
      <c r="BJ602" s="335"/>
      <c r="BK602" s="1829"/>
      <c r="BL602" s="1832"/>
      <c r="BN602" s="1829">
        <f t="shared" ref="BN602:BN626" si="0">IF(B706="SRO/Studio",G706,0)</f>
        <v>0</v>
      </c>
      <c r="BO602" s="1830"/>
      <c r="BP602" s="1830"/>
      <c r="BQ602" s="1830"/>
      <c r="BR602" s="1831"/>
      <c r="BS602" s="1829">
        <f t="shared" ref="BS602:BS626" si="1">IF(B706="1 Bedroom",G706,0)</f>
        <v>5</v>
      </c>
      <c r="BT602" s="1830"/>
      <c r="BU602" s="1830"/>
      <c r="BV602" s="1830"/>
      <c r="BW602" s="1832"/>
      <c r="BX602" s="1829">
        <f t="shared" ref="BX602:BX626" si="2">IF(B706="2 Bedrooms",G706,0)</f>
        <v>0</v>
      </c>
      <c r="BY602" s="1830"/>
      <c r="BZ602" s="1830"/>
      <c r="CA602" s="1830"/>
      <c r="CB602" s="1832"/>
      <c r="CC602" s="1829">
        <f t="shared" ref="CC602:CC626" si="3">IF(B706="3 Bedrooms",G706,0)</f>
        <v>0</v>
      </c>
      <c r="CD602" s="1830"/>
      <c r="CE602" s="1830"/>
      <c r="CF602" s="1830"/>
      <c r="CG602" s="1832"/>
      <c r="CH602" s="1829">
        <f t="shared" ref="CH602:CH626" si="4">IF(B706="4 Bedrooms",G706,0)</f>
        <v>0</v>
      </c>
      <c r="CI602" s="1830"/>
      <c r="CJ602" s="1830"/>
      <c r="CK602" s="1830"/>
      <c r="CL602" s="1832"/>
      <c r="CM602" s="2148">
        <f t="shared" ref="CM602:CM626" si="5">IF(B706="5 Bedrooms",G706,0)</f>
        <v>0</v>
      </c>
      <c r="CN602" s="2149"/>
      <c r="CO602" s="2149"/>
      <c r="CP602" s="2149"/>
      <c r="CQ602" s="1831"/>
      <c r="CS602" s="1438" t="s">
        <v>468</v>
      </c>
      <c r="CT602" s="1438"/>
      <c r="CU602" s="1438"/>
      <c r="CV602" s="1438"/>
      <c r="CW602" s="1438"/>
      <c r="CX602" s="1438" t="s">
        <v>491</v>
      </c>
      <c r="CY602" s="1438"/>
      <c r="CZ602" s="1439"/>
      <c r="DA602" s="1441"/>
      <c r="DB602" s="1440"/>
      <c r="DC602" s="1438" t="s">
        <v>852</v>
      </c>
      <c r="DD602" s="1438"/>
      <c r="DE602" s="1438"/>
      <c r="DF602" s="1438"/>
      <c r="DG602" s="1438"/>
      <c r="DH602" s="1438" t="s">
        <v>853</v>
      </c>
      <c r="DI602" s="1438"/>
      <c r="DJ602" s="1438"/>
      <c r="DK602" s="1438"/>
      <c r="DL602" s="1438"/>
      <c r="DM602" s="1438" t="s">
        <v>866</v>
      </c>
      <c r="DN602" s="1438"/>
      <c r="DO602" s="1438"/>
      <c r="DP602" s="1438"/>
      <c r="DQ602" s="1438"/>
      <c r="DR602" s="1438" t="s">
        <v>383</v>
      </c>
      <c r="DS602" s="1438"/>
      <c r="DT602" s="1438"/>
      <c r="DU602" s="1438"/>
      <c r="DV602" s="1438"/>
    </row>
    <row r="603" spans="1:126" s="8" customFormat="1" ht="12.5">
      <c r="A603" s="46"/>
      <c r="B603" s="16" t="s">
        <v>915</v>
      </c>
      <c r="C603" s="16"/>
      <c r="D603" s="16"/>
      <c r="E603" s="16"/>
      <c r="F603" s="16"/>
      <c r="G603" s="16"/>
      <c r="H603" s="1698" t="s">
        <v>2480</v>
      </c>
      <c r="I603" s="1698"/>
      <c r="J603" s="1698"/>
      <c r="K603" s="1698"/>
      <c r="L603" s="1698"/>
      <c r="M603" s="1698"/>
      <c r="N603" s="1698"/>
      <c r="O603" s="1698"/>
      <c r="P603" s="1698"/>
      <c r="Q603" s="1698"/>
      <c r="R603" s="1698"/>
      <c r="S603" s="16"/>
      <c r="T603" s="46"/>
      <c r="U603" s="16" t="s">
        <v>915</v>
      </c>
      <c r="V603" s="16"/>
      <c r="W603" s="16"/>
      <c r="X603" s="16"/>
      <c r="Y603" s="16"/>
      <c r="Z603" s="16"/>
      <c r="AA603" s="1698"/>
      <c r="AB603" s="1698"/>
      <c r="AC603" s="1698"/>
      <c r="AD603" s="1698"/>
      <c r="AE603" s="1698"/>
      <c r="AF603" s="1698"/>
      <c r="AG603" s="1698"/>
      <c r="AH603" s="1698"/>
      <c r="AI603" s="1698"/>
      <c r="AJ603" s="1698"/>
      <c r="AK603" s="1698"/>
      <c r="AL603" s="16"/>
      <c r="AZ603" s="8" t="s">
        <v>491</v>
      </c>
      <c r="BA603" s="72"/>
      <c r="BB603" s="72"/>
      <c r="BC603" s="72"/>
      <c r="BD603" s="72"/>
      <c r="BE603" s="1833">
        <f>IF(AND(AH706&lt;=0.5,AH706&gt;=0.36),1,0)</f>
        <v>0</v>
      </c>
      <c r="BF603" s="1834"/>
      <c r="BG603" s="1829">
        <f t="shared" ref="BG603:BG627" si="6">IF(BE603=1,G706,0)</f>
        <v>0</v>
      </c>
      <c r="BH603" s="1832"/>
      <c r="BI603" s="1833">
        <f>IF(AND(AH706&lt;=0.35,AH706&gt;0),1,0)</f>
        <v>1</v>
      </c>
      <c r="BJ603" s="1834"/>
      <c r="BK603" s="1829">
        <f t="shared" ref="BK603:BK627" si="7">IF(BI603=1,G706,0)</f>
        <v>5</v>
      </c>
      <c r="BL603" s="1832"/>
      <c r="BN603" s="1829">
        <f t="shared" si="0"/>
        <v>0</v>
      </c>
      <c r="BO603" s="1830"/>
      <c r="BP603" s="1830"/>
      <c r="BQ603" s="1830"/>
      <c r="BR603" s="1831"/>
      <c r="BS603" s="1829">
        <f t="shared" si="1"/>
        <v>5</v>
      </c>
      <c r="BT603" s="1830"/>
      <c r="BU603" s="1830"/>
      <c r="BV603" s="1830"/>
      <c r="BW603" s="1832"/>
      <c r="BX603" s="1829">
        <f t="shared" si="2"/>
        <v>0</v>
      </c>
      <c r="BY603" s="1830"/>
      <c r="BZ603" s="1830"/>
      <c r="CA603" s="1830"/>
      <c r="CB603" s="1832"/>
      <c r="CC603" s="1829">
        <f t="shared" si="3"/>
        <v>0</v>
      </c>
      <c r="CD603" s="1830"/>
      <c r="CE603" s="1830"/>
      <c r="CF603" s="1830"/>
      <c r="CG603" s="1832"/>
      <c r="CH603" s="1829">
        <f t="shared" si="4"/>
        <v>0</v>
      </c>
      <c r="CI603" s="1830"/>
      <c r="CJ603" s="1830"/>
      <c r="CK603" s="1830"/>
      <c r="CL603" s="1832"/>
      <c r="CM603" s="1829">
        <f t="shared" si="5"/>
        <v>0</v>
      </c>
      <c r="CN603" s="1830"/>
      <c r="CO603" s="1830"/>
      <c r="CP603" s="1830"/>
      <c r="CQ603" s="1832"/>
      <c r="CS603" s="2145">
        <f>IF(AND(B706="SRO/Studio",AH706&lt;=0.3),G706,0)</f>
        <v>0</v>
      </c>
      <c r="CT603" s="2146"/>
      <c r="CU603" s="2146"/>
      <c r="CV603" s="2146"/>
      <c r="CW603" s="2147"/>
      <c r="CX603" s="2145">
        <f>IF(AND(B706="1 Bedroom",AH706&lt;=0.3),G706,0)</f>
        <v>5</v>
      </c>
      <c r="CY603" s="2146"/>
      <c r="CZ603" s="2146"/>
      <c r="DA603" s="2146"/>
      <c r="DB603" s="2147"/>
      <c r="DC603" s="2145">
        <f>IF(AND(B706="2 Bedrooms",AH706&lt;=0.3),G706,0)</f>
        <v>0</v>
      </c>
      <c r="DD603" s="2146"/>
      <c r="DE603" s="2146"/>
      <c r="DF603" s="2146"/>
      <c r="DG603" s="2147"/>
      <c r="DH603" s="2145">
        <f>IF(AND(B706="3 Bedrooms",AH706&lt;=0.3),G706,0)</f>
        <v>0</v>
      </c>
      <c r="DI603" s="2146"/>
      <c r="DJ603" s="2146"/>
      <c r="DK603" s="2146"/>
      <c r="DL603" s="2147"/>
      <c r="DM603" s="2145">
        <f>IF(AND(B706="4 Bedrooms",AH706&lt;=0.3),G706,0)</f>
        <v>0</v>
      </c>
      <c r="DN603" s="2146"/>
      <c r="DO603" s="2146"/>
      <c r="DP603" s="2146"/>
      <c r="DQ603" s="2147"/>
      <c r="DR603" s="2145">
        <f>IF(AND(B706="5 Bedrooms",AH706&lt;=0.3),G706,0)</f>
        <v>0</v>
      </c>
      <c r="DS603" s="2146"/>
      <c r="DT603" s="2146"/>
      <c r="DU603" s="2146"/>
      <c r="DV603" s="2147"/>
    </row>
    <row r="604" spans="1:126" s="8" customFormat="1" ht="12.5">
      <c r="A604" s="46"/>
      <c r="B604" s="16" t="s">
        <v>917</v>
      </c>
      <c r="C604" s="16"/>
      <c r="D604" s="16"/>
      <c r="E604" s="16"/>
      <c r="F604" s="16"/>
      <c r="G604" s="16"/>
      <c r="H604" s="16"/>
      <c r="I604" s="16"/>
      <c r="J604" s="16"/>
      <c r="K604" s="16"/>
      <c r="L604" s="16"/>
      <c r="M604" s="16"/>
      <c r="N604" s="1723" t="s">
        <v>119</v>
      </c>
      <c r="O604" s="1723"/>
      <c r="P604" s="16"/>
      <c r="Q604" s="16"/>
      <c r="R604" s="16"/>
      <c r="S604" s="16"/>
      <c r="T604" s="46"/>
      <c r="U604" s="16" t="s">
        <v>917</v>
      </c>
      <c r="V604" s="16"/>
      <c r="W604" s="16"/>
      <c r="X604" s="16"/>
      <c r="Y604" s="16"/>
      <c r="Z604" s="16"/>
      <c r="AA604" s="16"/>
      <c r="AB604" s="16"/>
      <c r="AC604" s="16"/>
      <c r="AD604" s="16"/>
      <c r="AE604" s="16"/>
      <c r="AF604" s="16"/>
      <c r="AG604" s="1723" t="s">
        <v>531</v>
      </c>
      <c r="AH604" s="1723"/>
      <c r="AI604" s="16"/>
      <c r="AJ604" s="16"/>
      <c r="AK604" s="16"/>
      <c r="AL604" s="16"/>
      <c r="AZ604" s="8" t="s">
        <v>852</v>
      </c>
      <c r="BA604" s="72"/>
      <c r="BB604" s="72"/>
      <c r="BC604" s="72"/>
      <c r="BD604" s="72"/>
      <c r="BE604" s="1833">
        <f t="shared" ref="BE604:BE627" si="8">IF(AND(AH707&lt;=0.5,AH707&gt;=0.36),1,0)</f>
        <v>1</v>
      </c>
      <c r="BF604" s="1834"/>
      <c r="BG604" s="1829">
        <f t="shared" si="6"/>
        <v>5</v>
      </c>
      <c r="BH604" s="1832"/>
      <c r="BI604" s="1833">
        <f t="shared" ref="BI604:BI627" si="9">IF(AND(AH707&lt;=0.35,AH707&gt;0),1,0)</f>
        <v>0</v>
      </c>
      <c r="BJ604" s="1834"/>
      <c r="BK604" s="1829">
        <f t="shared" si="7"/>
        <v>0</v>
      </c>
      <c r="BL604" s="1832"/>
      <c r="BN604" s="1829">
        <f t="shared" si="0"/>
        <v>0</v>
      </c>
      <c r="BO604" s="1830"/>
      <c r="BP604" s="1830"/>
      <c r="BQ604" s="1830"/>
      <c r="BR604" s="1831"/>
      <c r="BS604" s="1829">
        <f t="shared" si="1"/>
        <v>11</v>
      </c>
      <c r="BT604" s="1830"/>
      <c r="BU604" s="1830"/>
      <c r="BV604" s="1830"/>
      <c r="BW604" s="1832"/>
      <c r="BX604" s="1829">
        <f t="shared" si="2"/>
        <v>0</v>
      </c>
      <c r="BY604" s="1830"/>
      <c r="BZ604" s="1830"/>
      <c r="CA604" s="1830"/>
      <c r="CB604" s="1832"/>
      <c r="CC604" s="1829">
        <f t="shared" si="3"/>
        <v>0</v>
      </c>
      <c r="CD604" s="1830"/>
      <c r="CE604" s="1830"/>
      <c r="CF604" s="1830"/>
      <c r="CG604" s="1832"/>
      <c r="CH604" s="1829">
        <f t="shared" si="4"/>
        <v>0</v>
      </c>
      <c r="CI604" s="1830"/>
      <c r="CJ604" s="1830"/>
      <c r="CK604" s="1830"/>
      <c r="CL604" s="1832"/>
      <c r="CM604" s="1829">
        <f t="shared" si="5"/>
        <v>0</v>
      </c>
      <c r="CN604" s="1830"/>
      <c r="CO604" s="1830"/>
      <c r="CP604" s="1830"/>
      <c r="CQ604" s="1832"/>
      <c r="CS604" s="2145">
        <f t="shared" ref="CS604:CS627" si="10">IF(AND(B707="SRO/Studio",AH707&lt;=0.3),G707,0)</f>
        <v>0</v>
      </c>
      <c r="CT604" s="2146"/>
      <c r="CU604" s="2146"/>
      <c r="CV604" s="2146"/>
      <c r="CW604" s="2147"/>
      <c r="CX604" s="2145">
        <f t="shared" ref="CX604:CX627" si="11">IF(AND(B707="1 Bedroom",AH707&lt;=0.3),G707,0)</f>
        <v>0</v>
      </c>
      <c r="CY604" s="2146"/>
      <c r="CZ604" s="2146"/>
      <c r="DA604" s="2146"/>
      <c r="DB604" s="2147"/>
      <c r="DC604" s="2145">
        <f t="shared" ref="DC604:DC627" si="12">IF(AND(B707="2 Bedrooms",AH707&lt;=0.3),G707,0)</f>
        <v>0</v>
      </c>
      <c r="DD604" s="2146"/>
      <c r="DE604" s="2146"/>
      <c r="DF604" s="2146"/>
      <c r="DG604" s="2147"/>
      <c r="DH604" s="2145">
        <f t="shared" ref="DH604:DH627" si="13">IF(AND(B707="3 Bedrooms",AH707&lt;=0.3),G707,0)</f>
        <v>0</v>
      </c>
      <c r="DI604" s="2146"/>
      <c r="DJ604" s="2146"/>
      <c r="DK604" s="2146"/>
      <c r="DL604" s="2147"/>
      <c r="DM604" s="2145">
        <f t="shared" ref="DM604:DM627" si="14">IF(AND(B707="4 Bedrooms",AH707&lt;=0.3),G707,0)</f>
        <v>0</v>
      </c>
      <c r="DN604" s="2146"/>
      <c r="DO604" s="2146"/>
      <c r="DP604" s="2146"/>
      <c r="DQ604" s="2147"/>
      <c r="DR604" s="2145">
        <f t="shared" ref="DR604:DR627" si="15">IF(AND(B707="5 Bedrooms",AH707&lt;=0.3),G707,0)</f>
        <v>0</v>
      </c>
      <c r="DS604" s="2146"/>
      <c r="DT604" s="2146"/>
      <c r="DU604" s="2146"/>
      <c r="DV604" s="2147"/>
    </row>
    <row r="605" spans="1:126" ht="12.5">
      <c r="AZ605" s="8" t="s">
        <v>853</v>
      </c>
      <c r="BA605" s="72"/>
      <c r="BB605" s="72"/>
      <c r="BC605" s="72"/>
      <c r="BD605" s="72"/>
      <c r="BE605" s="1833">
        <f t="shared" si="8"/>
        <v>1</v>
      </c>
      <c r="BF605" s="1834"/>
      <c r="BG605" s="1829">
        <f t="shared" si="6"/>
        <v>11</v>
      </c>
      <c r="BH605" s="1832"/>
      <c r="BI605" s="1833">
        <f t="shared" si="9"/>
        <v>0</v>
      </c>
      <c r="BJ605" s="1834"/>
      <c r="BK605" s="1829">
        <f t="shared" si="7"/>
        <v>0</v>
      </c>
      <c r="BL605" s="1832"/>
      <c r="BN605" s="1829">
        <f t="shared" si="0"/>
        <v>0</v>
      </c>
      <c r="BO605" s="1830"/>
      <c r="BP605" s="1830"/>
      <c r="BQ605" s="1830"/>
      <c r="BR605" s="1831"/>
      <c r="BS605" s="1829">
        <f t="shared" si="1"/>
        <v>6</v>
      </c>
      <c r="BT605" s="1830"/>
      <c r="BU605" s="1830"/>
      <c r="BV605" s="1830"/>
      <c r="BW605" s="1832"/>
      <c r="BX605" s="1829">
        <f t="shared" si="2"/>
        <v>0</v>
      </c>
      <c r="BY605" s="1830"/>
      <c r="BZ605" s="1830"/>
      <c r="CA605" s="1830"/>
      <c r="CB605" s="1832"/>
      <c r="CC605" s="1829">
        <f t="shared" si="3"/>
        <v>0</v>
      </c>
      <c r="CD605" s="1830"/>
      <c r="CE605" s="1830"/>
      <c r="CF605" s="1830"/>
      <c r="CG605" s="1832"/>
      <c r="CH605" s="1829">
        <f t="shared" si="4"/>
        <v>0</v>
      </c>
      <c r="CI605" s="1830"/>
      <c r="CJ605" s="1830"/>
      <c r="CK605" s="1830"/>
      <c r="CL605" s="1832"/>
      <c r="CM605" s="1829">
        <f t="shared" si="5"/>
        <v>0</v>
      </c>
      <c r="CN605" s="1830"/>
      <c r="CO605" s="1830"/>
      <c r="CP605" s="1830"/>
      <c r="CQ605" s="1832"/>
      <c r="CS605" s="2145">
        <f t="shared" si="10"/>
        <v>0</v>
      </c>
      <c r="CT605" s="2146"/>
      <c r="CU605" s="2146"/>
      <c r="CV605" s="2146"/>
      <c r="CW605" s="2147"/>
      <c r="CX605" s="2145">
        <f t="shared" si="11"/>
        <v>0</v>
      </c>
      <c r="CY605" s="2146"/>
      <c r="CZ605" s="2146"/>
      <c r="DA605" s="2146"/>
      <c r="DB605" s="2147"/>
      <c r="DC605" s="2145">
        <f t="shared" si="12"/>
        <v>0</v>
      </c>
      <c r="DD605" s="2146"/>
      <c r="DE605" s="2146"/>
      <c r="DF605" s="2146"/>
      <c r="DG605" s="2147"/>
      <c r="DH605" s="2145">
        <f t="shared" si="13"/>
        <v>0</v>
      </c>
      <c r="DI605" s="2146"/>
      <c r="DJ605" s="2146"/>
      <c r="DK605" s="2146"/>
      <c r="DL605" s="2147"/>
      <c r="DM605" s="2145">
        <f t="shared" si="14"/>
        <v>0</v>
      </c>
      <c r="DN605" s="2146"/>
      <c r="DO605" s="2146"/>
      <c r="DP605" s="2146"/>
      <c r="DQ605" s="2147"/>
      <c r="DR605" s="2145">
        <f t="shared" si="15"/>
        <v>0</v>
      </c>
      <c r="DS605" s="2146"/>
      <c r="DT605" s="2146"/>
      <c r="DU605" s="2146"/>
      <c r="DV605" s="2147"/>
    </row>
    <row r="606" spans="1:126" ht="12.5">
      <c r="A606" s="101" t="s">
        <v>605</v>
      </c>
      <c r="B606" s="16" t="s">
        <v>93</v>
      </c>
      <c r="G606" s="1875" t="str">
        <f>C568</f>
        <v>Deferred Developer Fee</v>
      </c>
      <c r="H606" s="1875"/>
      <c r="I606" s="1875"/>
      <c r="J606" s="1875"/>
      <c r="K606" s="1875"/>
      <c r="L606" s="1875"/>
      <c r="M606" s="1875"/>
      <c r="N606" s="1875"/>
      <c r="O606" s="1875"/>
      <c r="P606" s="1875"/>
      <c r="Q606" s="1875"/>
      <c r="R606" s="1875"/>
      <c r="T606" s="101" t="s">
        <v>191</v>
      </c>
      <c r="U606" s="16" t="s">
        <v>93</v>
      </c>
      <c r="Z606" s="1875">
        <f>C569</f>
        <v>0</v>
      </c>
      <c r="AA606" s="1875"/>
      <c r="AB606" s="1875"/>
      <c r="AC606" s="1875"/>
      <c r="AD606" s="1875"/>
      <c r="AE606" s="1875"/>
      <c r="AF606" s="1875"/>
      <c r="AG606" s="1875"/>
      <c r="AH606" s="1875"/>
      <c r="AI606" s="1875"/>
      <c r="AJ606" s="1875"/>
      <c r="AK606" s="1875"/>
      <c r="AZ606" s="8" t="s">
        <v>854</v>
      </c>
      <c r="BA606" s="72"/>
      <c r="BB606" s="72"/>
      <c r="BC606" s="72"/>
      <c r="BD606" s="72"/>
      <c r="BE606" s="1833">
        <f t="shared" si="8"/>
        <v>0</v>
      </c>
      <c r="BF606" s="1834"/>
      <c r="BG606" s="1829">
        <f t="shared" si="6"/>
        <v>0</v>
      </c>
      <c r="BH606" s="1832"/>
      <c r="BI606" s="1833">
        <f t="shared" si="9"/>
        <v>0</v>
      </c>
      <c r="BJ606" s="1834"/>
      <c r="BK606" s="1829">
        <f t="shared" si="7"/>
        <v>0</v>
      </c>
      <c r="BL606" s="1832"/>
      <c r="BN606" s="1829">
        <f t="shared" si="0"/>
        <v>0</v>
      </c>
      <c r="BO606" s="1830"/>
      <c r="BP606" s="1830"/>
      <c r="BQ606" s="1830"/>
      <c r="BR606" s="1831"/>
      <c r="BS606" s="1829">
        <f t="shared" si="1"/>
        <v>4</v>
      </c>
      <c r="BT606" s="1830"/>
      <c r="BU606" s="1830"/>
      <c r="BV606" s="1830"/>
      <c r="BW606" s="1832"/>
      <c r="BX606" s="1829">
        <f t="shared" si="2"/>
        <v>0</v>
      </c>
      <c r="BY606" s="1830"/>
      <c r="BZ606" s="1830"/>
      <c r="CA606" s="1830"/>
      <c r="CB606" s="1832"/>
      <c r="CC606" s="1829">
        <f t="shared" si="3"/>
        <v>0</v>
      </c>
      <c r="CD606" s="1830"/>
      <c r="CE606" s="1830"/>
      <c r="CF606" s="1830"/>
      <c r="CG606" s="1832"/>
      <c r="CH606" s="1829">
        <f t="shared" si="4"/>
        <v>0</v>
      </c>
      <c r="CI606" s="1830"/>
      <c r="CJ606" s="1830"/>
      <c r="CK606" s="1830"/>
      <c r="CL606" s="1832"/>
      <c r="CM606" s="1829">
        <f t="shared" si="5"/>
        <v>0</v>
      </c>
      <c r="CN606" s="1830"/>
      <c r="CO606" s="1830"/>
      <c r="CP606" s="1830"/>
      <c r="CQ606" s="1832"/>
      <c r="CS606" s="2145">
        <f t="shared" si="10"/>
        <v>0</v>
      </c>
      <c r="CT606" s="2146"/>
      <c r="CU606" s="2146"/>
      <c r="CV606" s="2146"/>
      <c r="CW606" s="2147"/>
      <c r="CX606" s="2145">
        <f t="shared" si="11"/>
        <v>0</v>
      </c>
      <c r="CY606" s="2146"/>
      <c r="CZ606" s="2146"/>
      <c r="DA606" s="2146"/>
      <c r="DB606" s="2147"/>
      <c r="DC606" s="2145">
        <f t="shared" si="12"/>
        <v>0</v>
      </c>
      <c r="DD606" s="2146"/>
      <c r="DE606" s="2146"/>
      <c r="DF606" s="2146"/>
      <c r="DG606" s="2147"/>
      <c r="DH606" s="2145">
        <f t="shared" si="13"/>
        <v>0</v>
      </c>
      <c r="DI606" s="2146"/>
      <c r="DJ606" s="2146"/>
      <c r="DK606" s="2146"/>
      <c r="DL606" s="2147"/>
      <c r="DM606" s="2145">
        <f t="shared" si="14"/>
        <v>0</v>
      </c>
      <c r="DN606" s="2146"/>
      <c r="DO606" s="2146"/>
      <c r="DP606" s="2146"/>
      <c r="DQ606" s="2147"/>
      <c r="DR606" s="2145">
        <f t="shared" si="15"/>
        <v>0</v>
      </c>
      <c r="DS606" s="2146"/>
      <c r="DT606" s="2146"/>
      <c r="DU606" s="2146"/>
      <c r="DV606" s="2147"/>
    </row>
    <row r="607" spans="1:126" ht="12.5">
      <c r="A607" s="46"/>
      <c r="B607" s="16" t="s">
        <v>416</v>
      </c>
      <c r="G607" s="1698"/>
      <c r="H607" s="1698"/>
      <c r="I607" s="1698"/>
      <c r="J607" s="1698"/>
      <c r="K607" s="1698"/>
      <c r="L607" s="1698"/>
      <c r="M607" s="1698"/>
      <c r="N607" s="1698"/>
      <c r="O607" s="1698"/>
      <c r="P607" s="1698"/>
      <c r="Q607" s="1698"/>
      <c r="R607" s="1698"/>
      <c r="T607" s="46"/>
      <c r="U607" s="16" t="s">
        <v>416</v>
      </c>
      <c r="Z607" s="1698"/>
      <c r="AA607" s="1698"/>
      <c r="AB607" s="1698"/>
      <c r="AC607" s="1698"/>
      <c r="AD607" s="1698"/>
      <c r="AE607" s="1698"/>
      <c r="AF607" s="1698"/>
      <c r="AG607" s="1698"/>
      <c r="AH607" s="1698"/>
      <c r="AI607" s="1698"/>
      <c r="AJ607" s="1698"/>
      <c r="AK607" s="1698"/>
      <c r="AZ607" s="8" t="s">
        <v>383</v>
      </c>
      <c r="BA607" s="72"/>
      <c r="BB607" s="72"/>
      <c r="BC607" s="72"/>
      <c r="BD607" s="72"/>
      <c r="BE607" s="1833">
        <f t="shared" si="8"/>
        <v>0</v>
      </c>
      <c r="BF607" s="1834"/>
      <c r="BG607" s="1829">
        <f t="shared" si="6"/>
        <v>0</v>
      </c>
      <c r="BH607" s="1832"/>
      <c r="BI607" s="1833">
        <f t="shared" si="9"/>
        <v>1</v>
      </c>
      <c r="BJ607" s="1834"/>
      <c r="BK607" s="1829">
        <f t="shared" si="7"/>
        <v>4</v>
      </c>
      <c r="BL607" s="1832"/>
      <c r="BN607" s="1829">
        <f t="shared" si="0"/>
        <v>0</v>
      </c>
      <c r="BO607" s="1830"/>
      <c r="BP607" s="1830"/>
      <c r="BQ607" s="1830"/>
      <c r="BR607" s="1831"/>
      <c r="BS607" s="1829">
        <f t="shared" si="1"/>
        <v>0</v>
      </c>
      <c r="BT607" s="1830"/>
      <c r="BU607" s="1830"/>
      <c r="BV607" s="1830"/>
      <c r="BW607" s="1832"/>
      <c r="BX607" s="1829">
        <f t="shared" si="2"/>
        <v>1</v>
      </c>
      <c r="BY607" s="1830"/>
      <c r="BZ607" s="1830"/>
      <c r="CA607" s="1830"/>
      <c r="CB607" s="1832"/>
      <c r="CC607" s="1829">
        <f t="shared" si="3"/>
        <v>0</v>
      </c>
      <c r="CD607" s="1830"/>
      <c r="CE607" s="1830"/>
      <c r="CF607" s="1830"/>
      <c r="CG607" s="1832"/>
      <c r="CH607" s="1829">
        <f t="shared" si="4"/>
        <v>0</v>
      </c>
      <c r="CI607" s="1830"/>
      <c r="CJ607" s="1830"/>
      <c r="CK607" s="1830"/>
      <c r="CL607" s="1832"/>
      <c r="CM607" s="1829">
        <f t="shared" si="5"/>
        <v>0</v>
      </c>
      <c r="CN607" s="1830"/>
      <c r="CO607" s="1830"/>
      <c r="CP607" s="1830"/>
      <c r="CQ607" s="1832"/>
      <c r="CS607" s="2145">
        <f t="shared" si="10"/>
        <v>0</v>
      </c>
      <c r="CT607" s="2146"/>
      <c r="CU607" s="2146"/>
      <c r="CV607" s="2146"/>
      <c r="CW607" s="2147"/>
      <c r="CX607" s="2145">
        <f t="shared" si="11"/>
        <v>4</v>
      </c>
      <c r="CY607" s="2146"/>
      <c r="CZ607" s="2146"/>
      <c r="DA607" s="2146"/>
      <c r="DB607" s="2147"/>
      <c r="DC607" s="2145">
        <f t="shared" si="12"/>
        <v>0</v>
      </c>
      <c r="DD607" s="2146"/>
      <c r="DE607" s="2146"/>
      <c r="DF607" s="2146"/>
      <c r="DG607" s="2147"/>
      <c r="DH607" s="2145">
        <f t="shared" si="13"/>
        <v>0</v>
      </c>
      <c r="DI607" s="2146"/>
      <c r="DJ607" s="2146"/>
      <c r="DK607" s="2146"/>
      <c r="DL607" s="2147"/>
      <c r="DM607" s="2145">
        <f t="shared" si="14"/>
        <v>0</v>
      </c>
      <c r="DN607" s="2146"/>
      <c r="DO607" s="2146"/>
      <c r="DP607" s="2146"/>
      <c r="DQ607" s="2147"/>
      <c r="DR607" s="2145">
        <f t="shared" si="15"/>
        <v>0</v>
      </c>
      <c r="DS607" s="2146"/>
      <c r="DT607" s="2146"/>
      <c r="DU607" s="2146"/>
      <c r="DV607" s="2147"/>
    </row>
    <row r="608" spans="1:126" ht="12.5">
      <c r="A608" s="46"/>
      <c r="B608" s="16" t="s">
        <v>479</v>
      </c>
      <c r="G608" s="1698"/>
      <c r="H608" s="1698"/>
      <c r="I608" s="1698"/>
      <c r="J608" s="1698"/>
      <c r="K608" s="1698"/>
      <c r="L608" s="1698"/>
      <c r="M608" s="1698"/>
      <c r="N608" s="1698"/>
      <c r="O608" s="1698"/>
      <c r="P608" s="1698"/>
      <c r="Q608" s="1698"/>
      <c r="R608" s="1698"/>
      <c r="T608" s="46"/>
      <c r="U608" s="16" t="s">
        <v>479</v>
      </c>
      <c r="Z608" s="1696"/>
      <c r="AA608" s="1696"/>
      <c r="AB608" s="1696"/>
      <c r="AC608" s="1696"/>
      <c r="AD608" s="1696"/>
      <c r="AE608" s="1696"/>
      <c r="AF608" s="1696"/>
      <c r="AG608" s="1696"/>
      <c r="AH608" s="1696"/>
      <c r="AI608" s="1696"/>
      <c r="AJ608" s="1696"/>
      <c r="AK608" s="1696"/>
      <c r="AZ608" s="72"/>
      <c r="BA608" s="72"/>
      <c r="BB608" s="72"/>
      <c r="BC608" s="72"/>
      <c r="BD608" s="72"/>
      <c r="BE608" s="1833">
        <f t="shared" si="8"/>
        <v>0</v>
      </c>
      <c r="BF608" s="1834"/>
      <c r="BG608" s="1829">
        <f t="shared" si="6"/>
        <v>0</v>
      </c>
      <c r="BH608" s="1832"/>
      <c r="BI608" s="1833">
        <f t="shared" si="9"/>
        <v>1</v>
      </c>
      <c r="BJ608" s="1834"/>
      <c r="BK608" s="1829">
        <f t="shared" si="7"/>
        <v>1</v>
      </c>
      <c r="BL608" s="1832"/>
      <c r="BN608" s="1829">
        <f t="shared" si="0"/>
        <v>0</v>
      </c>
      <c r="BO608" s="1830"/>
      <c r="BP608" s="1830"/>
      <c r="BQ608" s="1830"/>
      <c r="BR608" s="1831"/>
      <c r="BS608" s="1829">
        <f t="shared" si="1"/>
        <v>3</v>
      </c>
      <c r="BT608" s="1830"/>
      <c r="BU608" s="1830"/>
      <c r="BV608" s="1830"/>
      <c r="BW608" s="1832"/>
      <c r="BX608" s="1829">
        <f t="shared" si="2"/>
        <v>0</v>
      </c>
      <c r="BY608" s="1830"/>
      <c r="BZ608" s="1830"/>
      <c r="CA608" s="1830"/>
      <c r="CB608" s="1832"/>
      <c r="CC608" s="1829">
        <f t="shared" si="3"/>
        <v>0</v>
      </c>
      <c r="CD608" s="1830"/>
      <c r="CE608" s="1830"/>
      <c r="CF608" s="1830"/>
      <c r="CG608" s="1832"/>
      <c r="CH608" s="1829">
        <f t="shared" si="4"/>
        <v>0</v>
      </c>
      <c r="CI608" s="1830"/>
      <c r="CJ608" s="1830"/>
      <c r="CK608" s="1830"/>
      <c r="CL608" s="1832"/>
      <c r="CM608" s="1829">
        <f t="shared" si="5"/>
        <v>0</v>
      </c>
      <c r="CN608" s="1830"/>
      <c r="CO608" s="1830"/>
      <c r="CP608" s="1830"/>
      <c r="CQ608" s="1832"/>
      <c r="CS608" s="2145">
        <f t="shared" si="10"/>
        <v>0</v>
      </c>
      <c r="CT608" s="2146"/>
      <c r="CU608" s="2146"/>
      <c r="CV608" s="2146"/>
      <c r="CW608" s="2147"/>
      <c r="CX608" s="2145">
        <f t="shared" si="11"/>
        <v>0</v>
      </c>
      <c r="CY608" s="2146"/>
      <c r="CZ608" s="2146"/>
      <c r="DA608" s="2146"/>
      <c r="DB608" s="2147"/>
      <c r="DC608" s="2145">
        <f t="shared" si="12"/>
        <v>1</v>
      </c>
      <c r="DD608" s="2146"/>
      <c r="DE608" s="2146"/>
      <c r="DF608" s="2146"/>
      <c r="DG608" s="2147"/>
      <c r="DH608" s="2145">
        <f t="shared" si="13"/>
        <v>0</v>
      </c>
      <c r="DI608" s="2146"/>
      <c r="DJ608" s="2146"/>
      <c r="DK608" s="2146"/>
      <c r="DL608" s="2147"/>
      <c r="DM608" s="2145">
        <f t="shared" si="14"/>
        <v>0</v>
      </c>
      <c r="DN608" s="2146"/>
      <c r="DO608" s="2146"/>
      <c r="DP608" s="2146"/>
      <c r="DQ608" s="2147"/>
      <c r="DR608" s="2145">
        <f t="shared" si="15"/>
        <v>0</v>
      </c>
      <c r="DS608" s="2146"/>
      <c r="DT608" s="2146"/>
      <c r="DU608" s="2146"/>
      <c r="DV608" s="2147"/>
    </row>
    <row r="609" spans="1:126" ht="12.5">
      <c r="A609" s="46"/>
      <c r="B609" s="16" t="s">
        <v>914</v>
      </c>
      <c r="G609" s="1698"/>
      <c r="H609" s="1698"/>
      <c r="I609" s="1698"/>
      <c r="J609" s="1698"/>
      <c r="K609" s="1698"/>
      <c r="L609" s="1698"/>
      <c r="M609" s="1698"/>
      <c r="N609" s="1698"/>
      <c r="O609" s="1698"/>
      <c r="P609" s="1698"/>
      <c r="Q609" s="1698"/>
      <c r="R609" s="1698"/>
      <c r="T609" s="46"/>
      <c r="U609" s="16" t="s">
        <v>914</v>
      </c>
      <c r="Z609" s="1696"/>
      <c r="AA609" s="1696"/>
      <c r="AB609" s="1696"/>
      <c r="AC609" s="1696"/>
      <c r="AD609" s="1696"/>
      <c r="AE609" s="1696"/>
      <c r="AF609" s="1696"/>
      <c r="AG609" s="1696"/>
      <c r="AH609" s="1696"/>
      <c r="AI609" s="1696"/>
      <c r="AJ609" s="1696"/>
      <c r="AK609" s="1696"/>
      <c r="AZ609" s="72"/>
      <c r="BA609" s="72"/>
      <c r="BB609" s="72"/>
      <c r="BC609" s="72"/>
      <c r="BD609" s="72"/>
      <c r="BE609" s="1833">
        <f t="shared" si="8"/>
        <v>1</v>
      </c>
      <c r="BF609" s="1834"/>
      <c r="BG609" s="1829">
        <f t="shared" si="6"/>
        <v>3</v>
      </c>
      <c r="BH609" s="1832"/>
      <c r="BI609" s="1833">
        <f t="shared" si="9"/>
        <v>0</v>
      </c>
      <c r="BJ609" s="1834"/>
      <c r="BK609" s="1829">
        <f t="shared" si="7"/>
        <v>0</v>
      </c>
      <c r="BL609" s="1832"/>
      <c r="BN609" s="1829">
        <f t="shared" si="0"/>
        <v>0</v>
      </c>
      <c r="BO609" s="1830"/>
      <c r="BP609" s="1830"/>
      <c r="BQ609" s="1830"/>
      <c r="BR609" s="1831"/>
      <c r="BS609" s="1829">
        <f t="shared" si="1"/>
        <v>6</v>
      </c>
      <c r="BT609" s="1830"/>
      <c r="BU609" s="1830"/>
      <c r="BV609" s="1830"/>
      <c r="BW609" s="1832"/>
      <c r="BX609" s="1829">
        <f t="shared" si="2"/>
        <v>0</v>
      </c>
      <c r="BY609" s="1830"/>
      <c r="BZ609" s="1830"/>
      <c r="CA609" s="1830"/>
      <c r="CB609" s="1832"/>
      <c r="CC609" s="1829">
        <f t="shared" si="3"/>
        <v>0</v>
      </c>
      <c r="CD609" s="1830"/>
      <c r="CE609" s="1830"/>
      <c r="CF609" s="1830"/>
      <c r="CG609" s="1832"/>
      <c r="CH609" s="1829">
        <f t="shared" si="4"/>
        <v>0</v>
      </c>
      <c r="CI609" s="1830"/>
      <c r="CJ609" s="1830"/>
      <c r="CK609" s="1830"/>
      <c r="CL609" s="1832"/>
      <c r="CM609" s="1829">
        <f t="shared" si="5"/>
        <v>0</v>
      </c>
      <c r="CN609" s="1830"/>
      <c r="CO609" s="1830"/>
      <c r="CP609" s="1830"/>
      <c r="CQ609" s="1832"/>
      <c r="CS609" s="2145">
        <f t="shared" si="10"/>
        <v>0</v>
      </c>
      <c r="CT609" s="2146"/>
      <c r="CU609" s="2146"/>
      <c r="CV609" s="2146"/>
      <c r="CW609" s="2147"/>
      <c r="CX609" s="2145">
        <f t="shared" si="11"/>
        <v>0</v>
      </c>
      <c r="CY609" s="2146"/>
      <c r="CZ609" s="2146"/>
      <c r="DA609" s="2146"/>
      <c r="DB609" s="2147"/>
      <c r="DC609" s="2145">
        <f t="shared" si="12"/>
        <v>0</v>
      </c>
      <c r="DD609" s="2146"/>
      <c r="DE609" s="2146"/>
      <c r="DF609" s="2146"/>
      <c r="DG609" s="2147"/>
      <c r="DH609" s="2145">
        <f t="shared" si="13"/>
        <v>0</v>
      </c>
      <c r="DI609" s="2146"/>
      <c r="DJ609" s="2146"/>
      <c r="DK609" s="2146"/>
      <c r="DL609" s="2147"/>
      <c r="DM609" s="2145">
        <f t="shared" si="14"/>
        <v>0</v>
      </c>
      <c r="DN609" s="2146"/>
      <c r="DO609" s="2146"/>
      <c r="DP609" s="2146"/>
      <c r="DQ609" s="2147"/>
      <c r="DR609" s="2145">
        <f t="shared" si="15"/>
        <v>0</v>
      </c>
      <c r="DS609" s="2146"/>
      <c r="DT609" s="2146"/>
      <c r="DU609" s="2146"/>
      <c r="DV609" s="2147"/>
    </row>
    <row r="610" spans="1:126" ht="12.5">
      <c r="A610" s="46"/>
      <c r="B610" s="16" t="s">
        <v>715</v>
      </c>
      <c r="G610" s="1688"/>
      <c r="H610" s="1688"/>
      <c r="I610" s="1688"/>
      <c r="J610" s="1688"/>
      <c r="K610" s="1688"/>
      <c r="L610" s="1688"/>
      <c r="O610" s="149" t="s">
        <v>899</v>
      </c>
      <c r="P610" s="1700"/>
      <c r="Q610" s="1700"/>
      <c r="R610" s="1700"/>
      <c r="T610" s="46"/>
      <c r="U610" s="16" t="s">
        <v>715</v>
      </c>
      <c r="Z610" s="1688"/>
      <c r="AA610" s="1688"/>
      <c r="AB610" s="1688"/>
      <c r="AC610" s="1688"/>
      <c r="AD610" s="1688"/>
      <c r="AE610" s="1688"/>
      <c r="AH610" s="149" t="s">
        <v>899</v>
      </c>
      <c r="AI610" s="1700"/>
      <c r="AJ610" s="1700"/>
      <c r="AK610" s="1700"/>
      <c r="AZ610" s="72"/>
      <c r="BA610" s="72"/>
      <c r="BB610" s="72"/>
      <c r="BC610" s="72"/>
      <c r="BD610" s="72"/>
      <c r="BE610" s="1833">
        <f t="shared" si="8"/>
        <v>1</v>
      </c>
      <c r="BF610" s="1834"/>
      <c r="BG610" s="1829">
        <f t="shared" si="6"/>
        <v>6</v>
      </c>
      <c r="BH610" s="1832"/>
      <c r="BI610" s="1833">
        <f t="shared" si="9"/>
        <v>0</v>
      </c>
      <c r="BJ610" s="1834"/>
      <c r="BK610" s="1829">
        <f t="shared" si="7"/>
        <v>0</v>
      </c>
      <c r="BL610" s="1832"/>
      <c r="BN610" s="1829">
        <f t="shared" si="0"/>
        <v>0</v>
      </c>
      <c r="BO610" s="1830"/>
      <c r="BP610" s="1830"/>
      <c r="BQ610" s="1830"/>
      <c r="BR610" s="1831"/>
      <c r="BS610" s="1829">
        <f t="shared" si="1"/>
        <v>4</v>
      </c>
      <c r="BT610" s="1830"/>
      <c r="BU610" s="1830"/>
      <c r="BV610" s="1830"/>
      <c r="BW610" s="1832"/>
      <c r="BX610" s="1829">
        <f t="shared" si="2"/>
        <v>0</v>
      </c>
      <c r="BY610" s="1830"/>
      <c r="BZ610" s="1830"/>
      <c r="CA610" s="1830"/>
      <c r="CB610" s="1832"/>
      <c r="CC610" s="1829">
        <f t="shared" si="3"/>
        <v>0</v>
      </c>
      <c r="CD610" s="1830"/>
      <c r="CE610" s="1830"/>
      <c r="CF610" s="1830"/>
      <c r="CG610" s="1832"/>
      <c r="CH610" s="1829">
        <f t="shared" si="4"/>
        <v>0</v>
      </c>
      <c r="CI610" s="1830"/>
      <c r="CJ610" s="1830"/>
      <c r="CK610" s="1830"/>
      <c r="CL610" s="1832"/>
      <c r="CM610" s="1829">
        <f t="shared" si="5"/>
        <v>0</v>
      </c>
      <c r="CN610" s="1830"/>
      <c r="CO610" s="1830"/>
      <c r="CP610" s="1830"/>
      <c r="CQ610" s="1832"/>
      <c r="CS610" s="2145">
        <f t="shared" si="10"/>
        <v>0</v>
      </c>
      <c r="CT610" s="2146"/>
      <c r="CU610" s="2146"/>
      <c r="CV610" s="2146"/>
      <c r="CW610" s="2147"/>
      <c r="CX610" s="2145">
        <f t="shared" si="11"/>
        <v>0</v>
      </c>
      <c r="CY610" s="2146"/>
      <c r="CZ610" s="2146"/>
      <c r="DA610" s="2146"/>
      <c r="DB610" s="2147"/>
      <c r="DC610" s="2145">
        <f t="shared" si="12"/>
        <v>0</v>
      </c>
      <c r="DD610" s="2146"/>
      <c r="DE610" s="2146"/>
      <c r="DF610" s="2146"/>
      <c r="DG610" s="2147"/>
      <c r="DH610" s="2145">
        <f t="shared" si="13"/>
        <v>0</v>
      </c>
      <c r="DI610" s="2146"/>
      <c r="DJ610" s="2146"/>
      <c r="DK610" s="2146"/>
      <c r="DL610" s="2147"/>
      <c r="DM610" s="2145">
        <f t="shared" si="14"/>
        <v>0</v>
      </c>
      <c r="DN610" s="2146"/>
      <c r="DO610" s="2146"/>
      <c r="DP610" s="2146"/>
      <c r="DQ610" s="2147"/>
      <c r="DR610" s="2145">
        <f t="shared" si="15"/>
        <v>0</v>
      </c>
      <c r="DS610" s="2146"/>
      <c r="DT610" s="2146"/>
      <c r="DU610" s="2146"/>
      <c r="DV610" s="2147"/>
    </row>
    <row r="611" spans="1:126" s="8" customFormat="1" ht="12.5">
      <c r="A611" s="46"/>
      <c r="B611" s="16" t="s">
        <v>915</v>
      </c>
      <c r="C611" s="16"/>
      <c r="D611" s="16"/>
      <c r="E611" s="16"/>
      <c r="F611" s="16"/>
      <c r="G611" s="16"/>
      <c r="H611" s="1698"/>
      <c r="I611" s="1698"/>
      <c r="J611" s="1698"/>
      <c r="K611" s="1698"/>
      <c r="L611" s="1698"/>
      <c r="M611" s="1698"/>
      <c r="N611" s="1698"/>
      <c r="O611" s="1698"/>
      <c r="P611" s="1698"/>
      <c r="Q611" s="1698"/>
      <c r="R611" s="1698"/>
      <c r="S611" s="16"/>
      <c r="T611" s="46"/>
      <c r="U611" s="16" t="s">
        <v>915</v>
      </c>
      <c r="V611" s="16"/>
      <c r="W611" s="16"/>
      <c r="X611" s="16"/>
      <c r="Y611" s="16"/>
      <c r="Z611" s="16"/>
      <c r="AA611" s="1698"/>
      <c r="AB611" s="1698"/>
      <c r="AC611" s="1698"/>
      <c r="AD611" s="1698"/>
      <c r="AE611" s="1698"/>
      <c r="AF611" s="1698"/>
      <c r="AG611" s="1698"/>
      <c r="AH611" s="1698"/>
      <c r="AI611" s="1698"/>
      <c r="AJ611" s="1698"/>
      <c r="AK611" s="1698"/>
      <c r="AL611" s="16"/>
      <c r="AZ611" s="72"/>
      <c r="BA611" s="72"/>
      <c r="BB611" s="72"/>
      <c r="BC611" s="72"/>
      <c r="BD611" s="72"/>
      <c r="BE611" s="1833">
        <f t="shared" si="8"/>
        <v>0</v>
      </c>
      <c r="BF611" s="1834"/>
      <c r="BG611" s="1829">
        <f t="shared" si="6"/>
        <v>0</v>
      </c>
      <c r="BH611" s="1832"/>
      <c r="BI611" s="1833">
        <f t="shared" si="9"/>
        <v>0</v>
      </c>
      <c r="BJ611" s="1834"/>
      <c r="BK611" s="1829">
        <f t="shared" si="7"/>
        <v>0</v>
      </c>
      <c r="BL611" s="1832"/>
      <c r="BN611" s="1829">
        <f t="shared" si="0"/>
        <v>0</v>
      </c>
      <c r="BO611" s="1830"/>
      <c r="BP611" s="1830"/>
      <c r="BQ611" s="1830"/>
      <c r="BR611" s="1831"/>
      <c r="BS611" s="1829">
        <f t="shared" si="1"/>
        <v>0</v>
      </c>
      <c r="BT611" s="1830"/>
      <c r="BU611" s="1830"/>
      <c r="BV611" s="1830"/>
      <c r="BW611" s="1832"/>
      <c r="BX611" s="1829">
        <f t="shared" si="2"/>
        <v>4</v>
      </c>
      <c r="BY611" s="1830"/>
      <c r="BZ611" s="1830"/>
      <c r="CA611" s="1830"/>
      <c r="CB611" s="1832"/>
      <c r="CC611" s="1829">
        <f t="shared" si="3"/>
        <v>0</v>
      </c>
      <c r="CD611" s="1830"/>
      <c r="CE611" s="1830"/>
      <c r="CF611" s="1830"/>
      <c r="CG611" s="1832"/>
      <c r="CH611" s="1829">
        <f t="shared" si="4"/>
        <v>0</v>
      </c>
      <c r="CI611" s="1830"/>
      <c r="CJ611" s="1830"/>
      <c r="CK611" s="1830"/>
      <c r="CL611" s="1832"/>
      <c r="CM611" s="1829">
        <f t="shared" si="5"/>
        <v>0</v>
      </c>
      <c r="CN611" s="1830"/>
      <c r="CO611" s="1830"/>
      <c r="CP611" s="1830"/>
      <c r="CQ611" s="1832"/>
      <c r="CS611" s="2145">
        <f t="shared" si="10"/>
        <v>0</v>
      </c>
      <c r="CT611" s="2146"/>
      <c r="CU611" s="2146"/>
      <c r="CV611" s="2146"/>
      <c r="CW611" s="2147"/>
      <c r="CX611" s="2145">
        <f t="shared" si="11"/>
        <v>0</v>
      </c>
      <c r="CY611" s="2146"/>
      <c r="CZ611" s="2146"/>
      <c r="DA611" s="2146"/>
      <c r="DB611" s="2147"/>
      <c r="DC611" s="2145">
        <f t="shared" si="12"/>
        <v>0</v>
      </c>
      <c r="DD611" s="2146"/>
      <c r="DE611" s="2146"/>
      <c r="DF611" s="2146"/>
      <c r="DG611" s="2147"/>
      <c r="DH611" s="2145">
        <f t="shared" si="13"/>
        <v>0</v>
      </c>
      <c r="DI611" s="2146"/>
      <c r="DJ611" s="2146"/>
      <c r="DK611" s="2146"/>
      <c r="DL611" s="2147"/>
      <c r="DM611" s="2145">
        <f t="shared" si="14"/>
        <v>0</v>
      </c>
      <c r="DN611" s="2146"/>
      <c r="DO611" s="2146"/>
      <c r="DP611" s="2146"/>
      <c r="DQ611" s="2147"/>
      <c r="DR611" s="2145">
        <f t="shared" si="15"/>
        <v>0</v>
      </c>
      <c r="DS611" s="2146"/>
      <c r="DT611" s="2146"/>
      <c r="DU611" s="2146"/>
      <c r="DV611" s="2147"/>
    </row>
    <row r="612" spans="1:126" s="8" customFormat="1" ht="12.5">
      <c r="A612" s="46"/>
      <c r="B612" s="16" t="s">
        <v>917</v>
      </c>
      <c r="C612" s="16"/>
      <c r="D612" s="16"/>
      <c r="E612" s="16"/>
      <c r="F612" s="16"/>
      <c r="G612" s="16"/>
      <c r="H612" s="16"/>
      <c r="I612" s="16"/>
      <c r="J612" s="16"/>
      <c r="K612" s="16"/>
      <c r="L612" s="16"/>
      <c r="M612" s="16"/>
      <c r="N612" s="1723" t="s">
        <v>119</v>
      </c>
      <c r="O612" s="1723"/>
      <c r="P612" s="16"/>
      <c r="Q612" s="16"/>
      <c r="R612" s="16"/>
      <c r="S612" s="16"/>
      <c r="T612" s="46"/>
      <c r="U612" s="16" t="s">
        <v>917</v>
      </c>
      <c r="V612" s="16"/>
      <c r="W612" s="16"/>
      <c r="X612" s="16"/>
      <c r="Y612" s="16"/>
      <c r="Z612" s="16"/>
      <c r="AA612" s="16"/>
      <c r="AB612" s="16"/>
      <c r="AC612" s="16"/>
      <c r="AD612" s="16"/>
      <c r="AE612" s="16"/>
      <c r="AF612" s="16"/>
      <c r="AG612" s="1723" t="s">
        <v>531</v>
      </c>
      <c r="AH612" s="1723"/>
      <c r="AI612" s="16"/>
      <c r="AJ612" s="16"/>
      <c r="AK612" s="16"/>
      <c r="AL612" s="16"/>
      <c r="AZ612" s="72"/>
      <c r="BA612" s="72"/>
      <c r="BB612" s="72"/>
      <c r="BC612" s="72"/>
      <c r="BD612" s="72"/>
      <c r="BE612" s="1833">
        <f t="shared" si="8"/>
        <v>0</v>
      </c>
      <c r="BF612" s="1834"/>
      <c r="BG612" s="1829">
        <f t="shared" si="6"/>
        <v>0</v>
      </c>
      <c r="BH612" s="1832"/>
      <c r="BI612" s="1833">
        <f t="shared" si="9"/>
        <v>0</v>
      </c>
      <c r="BJ612" s="1834"/>
      <c r="BK612" s="1829">
        <f t="shared" si="7"/>
        <v>0</v>
      </c>
      <c r="BL612" s="1832"/>
      <c r="BN612" s="1829">
        <f t="shared" si="0"/>
        <v>0</v>
      </c>
      <c r="BO612" s="1830"/>
      <c r="BP612" s="1830"/>
      <c r="BQ612" s="1830"/>
      <c r="BR612" s="1831"/>
      <c r="BS612" s="1829">
        <f t="shared" si="1"/>
        <v>0</v>
      </c>
      <c r="BT612" s="1830"/>
      <c r="BU612" s="1830"/>
      <c r="BV612" s="1830"/>
      <c r="BW612" s="1832"/>
      <c r="BX612" s="1829">
        <f t="shared" si="2"/>
        <v>0</v>
      </c>
      <c r="BY612" s="1830"/>
      <c r="BZ612" s="1830"/>
      <c r="CA612" s="1830"/>
      <c r="CB612" s="1832"/>
      <c r="CC612" s="1829">
        <f t="shared" si="3"/>
        <v>0</v>
      </c>
      <c r="CD612" s="1830"/>
      <c r="CE612" s="1830"/>
      <c r="CF612" s="1830"/>
      <c r="CG612" s="1832"/>
      <c r="CH612" s="1829">
        <f t="shared" si="4"/>
        <v>0</v>
      </c>
      <c r="CI612" s="1830"/>
      <c r="CJ612" s="1830"/>
      <c r="CK612" s="1830"/>
      <c r="CL612" s="1832"/>
      <c r="CM612" s="1829">
        <f t="shared" si="5"/>
        <v>0</v>
      </c>
      <c r="CN612" s="1830"/>
      <c r="CO612" s="1830"/>
      <c r="CP612" s="1830"/>
      <c r="CQ612" s="1832"/>
      <c r="CS612" s="2145">
        <f t="shared" si="10"/>
        <v>0</v>
      </c>
      <c r="CT612" s="2146"/>
      <c r="CU612" s="2146"/>
      <c r="CV612" s="2146"/>
      <c r="CW612" s="2147"/>
      <c r="CX612" s="2145">
        <f t="shared" si="11"/>
        <v>0</v>
      </c>
      <c r="CY612" s="2146"/>
      <c r="CZ612" s="2146"/>
      <c r="DA612" s="2146"/>
      <c r="DB612" s="2147"/>
      <c r="DC612" s="2145">
        <f t="shared" si="12"/>
        <v>0</v>
      </c>
      <c r="DD612" s="2146"/>
      <c r="DE612" s="2146"/>
      <c r="DF612" s="2146"/>
      <c r="DG612" s="2147"/>
      <c r="DH612" s="2145">
        <f t="shared" si="13"/>
        <v>0</v>
      </c>
      <c r="DI612" s="2146"/>
      <c r="DJ612" s="2146"/>
      <c r="DK612" s="2146"/>
      <c r="DL612" s="2147"/>
      <c r="DM612" s="2145">
        <f t="shared" si="14"/>
        <v>0</v>
      </c>
      <c r="DN612" s="2146"/>
      <c r="DO612" s="2146"/>
      <c r="DP612" s="2146"/>
      <c r="DQ612" s="2147"/>
      <c r="DR612" s="2145">
        <f t="shared" si="15"/>
        <v>0</v>
      </c>
      <c r="DS612" s="2146"/>
      <c r="DT612" s="2146"/>
      <c r="DU612" s="2146"/>
      <c r="DV612" s="2147"/>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33">
        <f t="shared" si="8"/>
        <v>0</v>
      </c>
      <c r="BF613" s="1834"/>
      <c r="BG613" s="1829">
        <f t="shared" si="6"/>
        <v>0</v>
      </c>
      <c r="BH613" s="1832"/>
      <c r="BI613" s="1833">
        <f t="shared" si="9"/>
        <v>0</v>
      </c>
      <c r="BJ613" s="1834"/>
      <c r="BK613" s="1829">
        <f t="shared" si="7"/>
        <v>0</v>
      </c>
      <c r="BL613" s="1832"/>
      <c r="BN613" s="1829">
        <f t="shared" si="0"/>
        <v>0</v>
      </c>
      <c r="BO613" s="1830"/>
      <c r="BP613" s="1830"/>
      <c r="BQ613" s="1830"/>
      <c r="BR613" s="1831"/>
      <c r="BS613" s="1829">
        <f t="shared" si="1"/>
        <v>0</v>
      </c>
      <c r="BT613" s="1830"/>
      <c r="BU613" s="1830"/>
      <c r="BV613" s="1830"/>
      <c r="BW613" s="1832"/>
      <c r="BX613" s="1829">
        <f t="shared" si="2"/>
        <v>0</v>
      </c>
      <c r="BY613" s="1830"/>
      <c r="BZ613" s="1830"/>
      <c r="CA613" s="1830"/>
      <c r="CB613" s="1832"/>
      <c r="CC613" s="1829">
        <f t="shared" si="3"/>
        <v>0</v>
      </c>
      <c r="CD613" s="1830"/>
      <c r="CE613" s="1830"/>
      <c r="CF613" s="1830"/>
      <c r="CG613" s="1832"/>
      <c r="CH613" s="1829">
        <f t="shared" si="4"/>
        <v>0</v>
      </c>
      <c r="CI613" s="1830"/>
      <c r="CJ613" s="1830"/>
      <c r="CK613" s="1830"/>
      <c r="CL613" s="1832"/>
      <c r="CM613" s="1829">
        <f t="shared" si="5"/>
        <v>0</v>
      </c>
      <c r="CN613" s="1830"/>
      <c r="CO613" s="1830"/>
      <c r="CP613" s="1830"/>
      <c r="CQ613" s="1832"/>
      <c r="CS613" s="2145">
        <f t="shared" si="10"/>
        <v>0</v>
      </c>
      <c r="CT613" s="2146"/>
      <c r="CU613" s="2146"/>
      <c r="CV613" s="2146"/>
      <c r="CW613" s="2147"/>
      <c r="CX613" s="2145">
        <f t="shared" si="11"/>
        <v>0</v>
      </c>
      <c r="CY613" s="2146"/>
      <c r="CZ613" s="2146"/>
      <c r="DA613" s="2146"/>
      <c r="DB613" s="2147"/>
      <c r="DC613" s="2145">
        <f t="shared" si="12"/>
        <v>0</v>
      </c>
      <c r="DD613" s="2146"/>
      <c r="DE613" s="2146"/>
      <c r="DF613" s="2146"/>
      <c r="DG613" s="2147"/>
      <c r="DH613" s="2145">
        <f t="shared" si="13"/>
        <v>0</v>
      </c>
      <c r="DI613" s="2146"/>
      <c r="DJ613" s="2146"/>
      <c r="DK613" s="2146"/>
      <c r="DL613" s="2147"/>
      <c r="DM613" s="2145">
        <f t="shared" si="14"/>
        <v>0</v>
      </c>
      <c r="DN613" s="2146"/>
      <c r="DO613" s="2146"/>
      <c r="DP613" s="2146"/>
      <c r="DQ613" s="2147"/>
      <c r="DR613" s="2145">
        <f t="shared" si="15"/>
        <v>0</v>
      </c>
      <c r="DS613" s="2146"/>
      <c r="DT613" s="2146"/>
      <c r="DU613" s="2146"/>
      <c r="DV613" s="2147"/>
    </row>
    <row r="614" spans="1:126" ht="12.5">
      <c r="A614" s="101" t="s">
        <v>37</v>
      </c>
      <c r="B614" s="16" t="s">
        <v>93</v>
      </c>
      <c r="G614" s="1875">
        <f>C570</f>
        <v>0</v>
      </c>
      <c r="H614" s="1875"/>
      <c r="I614" s="1875"/>
      <c r="J614" s="1875"/>
      <c r="K614" s="1875"/>
      <c r="L614" s="1875"/>
      <c r="M614" s="1875"/>
      <c r="N614" s="1875"/>
      <c r="O614" s="1875"/>
      <c r="P614" s="1875"/>
      <c r="Q614" s="1875"/>
      <c r="R614" s="1875"/>
      <c r="T614" s="101" t="s">
        <v>38</v>
      </c>
      <c r="U614" s="16" t="s">
        <v>93</v>
      </c>
      <c r="Z614" s="1875">
        <f>C571</f>
        <v>0</v>
      </c>
      <c r="AA614" s="1875"/>
      <c r="AB614" s="1875"/>
      <c r="AC614" s="1875"/>
      <c r="AD614" s="1875"/>
      <c r="AE614" s="1875"/>
      <c r="AF614" s="1875"/>
      <c r="AG614" s="1875"/>
      <c r="AH614" s="1875"/>
      <c r="AI614" s="1875"/>
      <c r="AJ614" s="1875"/>
      <c r="AK614" s="1875"/>
      <c r="AZ614" s="72"/>
      <c r="BA614" s="72"/>
      <c r="BB614" s="72"/>
      <c r="BC614" s="72"/>
      <c r="BD614" s="72"/>
      <c r="BE614" s="1833">
        <f t="shared" si="8"/>
        <v>0</v>
      </c>
      <c r="BF614" s="1834"/>
      <c r="BG614" s="1829">
        <f t="shared" si="6"/>
        <v>0</v>
      </c>
      <c r="BH614" s="1832"/>
      <c r="BI614" s="1833">
        <f t="shared" si="9"/>
        <v>0</v>
      </c>
      <c r="BJ614" s="1834"/>
      <c r="BK614" s="1829">
        <f t="shared" si="7"/>
        <v>0</v>
      </c>
      <c r="BL614" s="1832"/>
      <c r="BN614" s="1829">
        <f t="shared" si="0"/>
        <v>0</v>
      </c>
      <c r="BO614" s="1830"/>
      <c r="BP614" s="1830"/>
      <c r="BQ614" s="1830"/>
      <c r="BR614" s="1831"/>
      <c r="BS614" s="1829">
        <f t="shared" si="1"/>
        <v>0</v>
      </c>
      <c r="BT614" s="1830"/>
      <c r="BU614" s="1830"/>
      <c r="BV614" s="1830"/>
      <c r="BW614" s="1832"/>
      <c r="BX614" s="1829">
        <f t="shared" si="2"/>
        <v>0</v>
      </c>
      <c r="BY614" s="1830"/>
      <c r="BZ614" s="1830"/>
      <c r="CA614" s="1830"/>
      <c r="CB614" s="1832"/>
      <c r="CC614" s="1829">
        <f t="shared" si="3"/>
        <v>0</v>
      </c>
      <c r="CD614" s="1830"/>
      <c r="CE614" s="1830"/>
      <c r="CF614" s="1830"/>
      <c r="CG614" s="1832"/>
      <c r="CH614" s="1829">
        <f t="shared" si="4"/>
        <v>0</v>
      </c>
      <c r="CI614" s="1830"/>
      <c r="CJ614" s="1830"/>
      <c r="CK614" s="1830"/>
      <c r="CL614" s="1832"/>
      <c r="CM614" s="1829">
        <f t="shared" si="5"/>
        <v>0</v>
      </c>
      <c r="CN614" s="1830"/>
      <c r="CO614" s="1830"/>
      <c r="CP614" s="1830"/>
      <c r="CQ614" s="1832"/>
      <c r="CS614" s="2145">
        <f t="shared" si="10"/>
        <v>0</v>
      </c>
      <c r="CT614" s="2146"/>
      <c r="CU614" s="2146"/>
      <c r="CV614" s="2146"/>
      <c r="CW614" s="2147"/>
      <c r="CX614" s="2145">
        <f t="shared" si="11"/>
        <v>0</v>
      </c>
      <c r="CY614" s="2146"/>
      <c r="CZ614" s="2146"/>
      <c r="DA614" s="2146"/>
      <c r="DB614" s="2147"/>
      <c r="DC614" s="2145">
        <f t="shared" si="12"/>
        <v>0</v>
      </c>
      <c r="DD614" s="2146"/>
      <c r="DE614" s="2146"/>
      <c r="DF614" s="2146"/>
      <c r="DG614" s="2147"/>
      <c r="DH614" s="2145">
        <f t="shared" si="13"/>
        <v>0</v>
      </c>
      <c r="DI614" s="2146"/>
      <c r="DJ614" s="2146"/>
      <c r="DK614" s="2146"/>
      <c r="DL614" s="2147"/>
      <c r="DM614" s="2145">
        <f t="shared" si="14"/>
        <v>0</v>
      </c>
      <c r="DN614" s="2146"/>
      <c r="DO614" s="2146"/>
      <c r="DP614" s="2146"/>
      <c r="DQ614" s="2147"/>
      <c r="DR614" s="2145">
        <f t="shared" si="15"/>
        <v>0</v>
      </c>
      <c r="DS614" s="2146"/>
      <c r="DT614" s="2146"/>
      <c r="DU614" s="2146"/>
      <c r="DV614" s="2147"/>
    </row>
    <row r="615" spans="1:126" ht="12.5">
      <c r="B615" s="16" t="s">
        <v>416</v>
      </c>
      <c r="G615" s="1698"/>
      <c r="H615" s="1698"/>
      <c r="I615" s="1698"/>
      <c r="J615" s="1698"/>
      <c r="K615" s="1698"/>
      <c r="L615" s="1698"/>
      <c r="M615" s="1698"/>
      <c r="N615" s="1698"/>
      <c r="O615" s="1698"/>
      <c r="P615" s="1698"/>
      <c r="Q615" s="1698"/>
      <c r="R615" s="1698"/>
      <c r="U615" s="16" t="s">
        <v>416</v>
      </c>
      <c r="Z615" s="1698"/>
      <c r="AA615" s="1698"/>
      <c r="AB615" s="1698"/>
      <c r="AC615" s="1698"/>
      <c r="AD615" s="1698"/>
      <c r="AE615" s="1698"/>
      <c r="AF615" s="1698"/>
      <c r="AG615" s="1698"/>
      <c r="AH615" s="1698"/>
      <c r="AI615" s="1698"/>
      <c r="AJ615" s="1698"/>
      <c r="AK615" s="1698"/>
      <c r="AL615" s="35"/>
      <c r="AZ615" s="72"/>
      <c r="BA615" s="72"/>
      <c r="BB615" s="72"/>
      <c r="BC615" s="72"/>
      <c r="BD615" s="72"/>
      <c r="BE615" s="1833">
        <f t="shared" si="8"/>
        <v>0</v>
      </c>
      <c r="BF615" s="1834"/>
      <c r="BG615" s="1829">
        <f t="shared" si="6"/>
        <v>0</v>
      </c>
      <c r="BH615" s="1832"/>
      <c r="BI615" s="1833">
        <f t="shared" si="9"/>
        <v>0</v>
      </c>
      <c r="BJ615" s="1834"/>
      <c r="BK615" s="1829">
        <f t="shared" si="7"/>
        <v>0</v>
      </c>
      <c r="BL615" s="1832"/>
      <c r="BN615" s="1829">
        <f t="shared" si="0"/>
        <v>0</v>
      </c>
      <c r="BO615" s="1830"/>
      <c r="BP615" s="1830"/>
      <c r="BQ615" s="1830"/>
      <c r="BR615" s="1831"/>
      <c r="BS615" s="1829">
        <f t="shared" si="1"/>
        <v>0</v>
      </c>
      <c r="BT615" s="1830"/>
      <c r="BU615" s="1830"/>
      <c r="BV615" s="1830"/>
      <c r="BW615" s="1832"/>
      <c r="BX615" s="1829">
        <f t="shared" si="2"/>
        <v>0</v>
      </c>
      <c r="BY615" s="1830"/>
      <c r="BZ615" s="1830"/>
      <c r="CA615" s="1830"/>
      <c r="CB615" s="1832"/>
      <c r="CC615" s="1829">
        <f t="shared" si="3"/>
        <v>0</v>
      </c>
      <c r="CD615" s="1830"/>
      <c r="CE615" s="1830"/>
      <c r="CF615" s="1830"/>
      <c r="CG615" s="1832"/>
      <c r="CH615" s="1829">
        <f t="shared" si="4"/>
        <v>0</v>
      </c>
      <c r="CI615" s="1830"/>
      <c r="CJ615" s="1830"/>
      <c r="CK615" s="1830"/>
      <c r="CL615" s="1832"/>
      <c r="CM615" s="1829">
        <f t="shared" si="5"/>
        <v>0</v>
      </c>
      <c r="CN615" s="1830"/>
      <c r="CO615" s="1830"/>
      <c r="CP615" s="1830"/>
      <c r="CQ615" s="1832"/>
      <c r="CS615" s="2145">
        <f t="shared" si="10"/>
        <v>0</v>
      </c>
      <c r="CT615" s="2146"/>
      <c r="CU615" s="2146"/>
      <c r="CV615" s="2146"/>
      <c r="CW615" s="2147"/>
      <c r="CX615" s="2145">
        <f t="shared" si="11"/>
        <v>0</v>
      </c>
      <c r="CY615" s="2146"/>
      <c r="CZ615" s="2146"/>
      <c r="DA615" s="2146"/>
      <c r="DB615" s="2147"/>
      <c r="DC615" s="2145">
        <f t="shared" si="12"/>
        <v>0</v>
      </c>
      <c r="DD615" s="2146"/>
      <c r="DE615" s="2146"/>
      <c r="DF615" s="2146"/>
      <c r="DG615" s="2147"/>
      <c r="DH615" s="2145">
        <f t="shared" si="13"/>
        <v>0</v>
      </c>
      <c r="DI615" s="2146"/>
      <c r="DJ615" s="2146"/>
      <c r="DK615" s="2146"/>
      <c r="DL615" s="2147"/>
      <c r="DM615" s="2145">
        <f t="shared" si="14"/>
        <v>0</v>
      </c>
      <c r="DN615" s="2146"/>
      <c r="DO615" s="2146"/>
      <c r="DP615" s="2146"/>
      <c r="DQ615" s="2147"/>
      <c r="DR615" s="2145">
        <f t="shared" si="15"/>
        <v>0</v>
      </c>
      <c r="DS615" s="2146"/>
      <c r="DT615" s="2146"/>
      <c r="DU615" s="2146"/>
      <c r="DV615" s="2147"/>
    </row>
    <row r="616" spans="1:126" ht="13">
      <c r="B616" s="16" t="s">
        <v>479</v>
      </c>
      <c r="G616" s="1698"/>
      <c r="H616" s="1698"/>
      <c r="I616" s="1698"/>
      <c r="J616" s="1698"/>
      <c r="K616" s="1698"/>
      <c r="L616" s="1698"/>
      <c r="M616" s="1698"/>
      <c r="N616" s="1698"/>
      <c r="O616" s="1698"/>
      <c r="P616" s="1698"/>
      <c r="Q616" s="1698"/>
      <c r="R616" s="1698"/>
      <c r="U616" s="16" t="s">
        <v>479</v>
      </c>
      <c r="Z616" s="1696"/>
      <c r="AA616" s="1696"/>
      <c r="AB616" s="1696"/>
      <c r="AC616" s="1696"/>
      <c r="AD616" s="1696"/>
      <c r="AE616" s="1696"/>
      <c r="AF616" s="1696"/>
      <c r="AG616" s="1696"/>
      <c r="AH616" s="1696"/>
      <c r="AI616" s="1696"/>
      <c r="AJ616" s="1696"/>
      <c r="AK616" s="1696"/>
      <c r="AL616" s="488"/>
      <c r="BA616" s="72"/>
      <c r="BB616" s="72"/>
      <c r="BC616" s="72"/>
      <c r="BD616" s="72"/>
      <c r="BE616" s="1833">
        <f t="shared" si="8"/>
        <v>0</v>
      </c>
      <c r="BF616" s="1834"/>
      <c r="BG616" s="1829">
        <f t="shared" si="6"/>
        <v>0</v>
      </c>
      <c r="BH616" s="1832"/>
      <c r="BI616" s="1833">
        <f t="shared" si="9"/>
        <v>0</v>
      </c>
      <c r="BJ616" s="1834"/>
      <c r="BK616" s="1829">
        <f t="shared" si="7"/>
        <v>0</v>
      </c>
      <c r="BL616" s="1832"/>
      <c r="BN616" s="1829">
        <f t="shared" si="0"/>
        <v>0</v>
      </c>
      <c r="BO616" s="1830"/>
      <c r="BP616" s="1830"/>
      <c r="BQ616" s="1830"/>
      <c r="BR616" s="1831"/>
      <c r="BS616" s="1829">
        <f t="shared" si="1"/>
        <v>0</v>
      </c>
      <c r="BT616" s="1830"/>
      <c r="BU616" s="1830"/>
      <c r="BV616" s="1830"/>
      <c r="BW616" s="1832"/>
      <c r="BX616" s="1829">
        <f t="shared" si="2"/>
        <v>0</v>
      </c>
      <c r="BY616" s="1830"/>
      <c r="BZ616" s="1830"/>
      <c r="CA616" s="1830"/>
      <c r="CB616" s="1832"/>
      <c r="CC616" s="1829">
        <f t="shared" si="3"/>
        <v>0</v>
      </c>
      <c r="CD616" s="1830"/>
      <c r="CE616" s="1830"/>
      <c r="CF616" s="1830"/>
      <c r="CG616" s="1832"/>
      <c r="CH616" s="1829">
        <f t="shared" si="4"/>
        <v>0</v>
      </c>
      <c r="CI616" s="1830"/>
      <c r="CJ616" s="1830"/>
      <c r="CK616" s="1830"/>
      <c r="CL616" s="1832"/>
      <c r="CM616" s="1829">
        <f t="shared" si="5"/>
        <v>0</v>
      </c>
      <c r="CN616" s="1830"/>
      <c r="CO616" s="1830"/>
      <c r="CP616" s="1830"/>
      <c r="CQ616" s="1832"/>
      <c r="CS616" s="2145">
        <f t="shared" si="10"/>
        <v>0</v>
      </c>
      <c r="CT616" s="2146"/>
      <c r="CU616" s="2146"/>
      <c r="CV616" s="2146"/>
      <c r="CW616" s="2147"/>
      <c r="CX616" s="2145">
        <f t="shared" si="11"/>
        <v>0</v>
      </c>
      <c r="CY616" s="2146"/>
      <c r="CZ616" s="2146"/>
      <c r="DA616" s="2146"/>
      <c r="DB616" s="2147"/>
      <c r="DC616" s="2145">
        <f t="shared" si="12"/>
        <v>0</v>
      </c>
      <c r="DD616" s="2146"/>
      <c r="DE616" s="2146"/>
      <c r="DF616" s="2146"/>
      <c r="DG616" s="2147"/>
      <c r="DH616" s="2145">
        <f t="shared" si="13"/>
        <v>0</v>
      </c>
      <c r="DI616" s="2146"/>
      <c r="DJ616" s="2146"/>
      <c r="DK616" s="2146"/>
      <c r="DL616" s="2147"/>
      <c r="DM616" s="2145">
        <f t="shared" si="14"/>
        <v>0</v>
      </c>
      <c r="DN616" s="2146"/>
      <c r="DO616" s="2146"/>
      <c r="DP616" s="2146"/>
      <c r="DQ616" s="2147"/>
      <c r="DR616" s="2145">
        <f t="shared" si="15"/>
        <v>0</v>
      </c>
      <c r="DS616" s="2146"/>
      <c r="DT616" s="2146"/>
      <c r="DU616" s="2146"/>
      <c r="DV616" s="2147"/>
    </row>
    <row r="617" spans="1:126" ht="13">
      <c r="B617" s="16" t="s">
        <v>914</v>
      </c>
      <c r="G617" s="1698"/>
      <c r="H617" s="1698"/>
      <c r="I617" s="1698"/>
      <c r="J617" s="1698"/>
      <c r="K617" s="1698"/>
      <c r="L617" s="1698"/>
      <c r="M617" s="1698"/>
      <c r="N617" s="1698"/>
      <c r="O617" s="1698"/>
      <c r="P617" s="1698"/>
      <c r="Q617" s="1698"/>
      <c r="R617" s="1698"/>
      <c r="U617" s="16" t="s">
        <v>914</v>
      </c>
      <c r="Z617" s="1696"/>
      <c r="AA617" s="1696"/>
      <c r="AB617" s="1696"/>
      <c r="AC617" s="1696"/>
      <c r="AD617" s="1696"/>
      <c r="AE617" s="1696"/>
      <c r="AF617" s="1696"/>
      <c r="AG617" s="1696"/>
      <c r="AH617" s="1696"/>
      <c r="AI617" s="1696"/>
      <c r="AJ617" s="1696"/>
      <c r="AK617" s="1696"/>
      <c r="AL617" s="488"/>
      <c r="BA617" s="72"/>
      <c r="BB617" s="72"/>
      <c r="BC617" s="72"/>
      <c r="BD617" s="72"/>
      <c r="BE617" s="1833">
        <f t="shared" si="8"/>
        <v>0</v>
      </c>
      <c r="BF617" s="1834"/>
      <c r="BG617" s="1829">
        <f t="shared" si="6"/>
        <v>0</v>
      </c>
      <c r="BH617" s="1832"/>
      <c r="BI617" s="1833">
        <f t="shared" si="9"/>
        <v>0</v>
      </c>
      <c r="BJ617" s="1834"/>
      <c r="BK617" s="1829">
        <f t="shared" si="7"/>
        <v>0</v>
      </c>
      <c r="BL617" s="1832"/>
      <c r="BN617" s="1829">
        <f t="shared" si="0"/>
        <v>0</v>
      </c>
      <c r="BO617" s="1830"/>
      <c r="BP617" s="1830"/>
      <c r="BQ617" s="1830"/>
      <c r="BR617" s="1831"/>
      <c r="BS617" s="1829">
        <f t="shared" si="1"/>
        <v>0</v>
      </c>
      <c r="BT617" s="1830"/>
      <c r="BU617" s="1830"/>
      <c r="BV617" s="1830"/>
      <c r="BW617" s="1832"/>
      <c r="BX617" s="1829">
        <f t="shared" si="2"/>
        <v>0</v>
      </c>
      <c r="BY617" s="1830"/>
      <c r="BZ617" s="1830"/>
      <c r="CA617" s="1830"/>
      <c r="CB617" s="1832"/>
      <c r="CC617" s="1829">
        <f t="shared" si="3"/>
        <v>0</v>
      </c>
      <c r="CD617" s="1830"/>
      <c r="CE617" s="1830"/>
      <c r="CF617" s="1830"/>
      <c r="CG617" s="1832"/>
      <c r="CH617" s="1829">
        <f t="shared" si="4"/>
        <v>0</v>
      </c>
      <c r="CI617" s="1830"/>
      <c r="CJ617" s="1830"/>
      <c r="CK617" s="1830"/>
      <c r="CL617" s="1832"/>
      <c r="CM617" s="1829">
        <f t="shared" si="5"/>
        <v>0</v>
      </c>
      <c r="CN617" s="1830"/>
      <c r="CO617" s="1830"/>
      <c r="CP617" s="1830"/>
      <c r="CQ617" s="1832"/>
      <c r="CS617" s="2145">
        <f t="shared" si="10"/>
        <v>0</v>
      </c>
      <c r="CT617" s="2146"/>
      <c r="CU617" s="2146"/>
      <c r="CV617" s="2146"/>
      <c r="CW617" s="2147"/>
      <c r="CX617" s="2145">
        <f t="shared" si="11"/>
        <v>0</v>
      </c>
      <c r="CY617" s="2146"/>
      <c r="CZ617" s="2146"/>
      <c r="DA617" s="2146"/>
      <c r="DB617" s="2147"/>
      <c r="DC617" s="2145">
        <f t="shared" si="12"/>
        <v>0</v>
      </c>
      <c r="DD617" s="2146"/>
      <c r="DE617" s="2146"/>
      <c r="DF617" s="2146"/>
      <c r="DG617" s="2147"/>
      <c r="DH617" s="2145">
        <f t="shared" si="13"/>
        <v>0</v>
      </c>
      <c r="DI617" s="2146"/>
      <c r="DJ617" s="2146"/>
      <c r="DK617" s="2146"/>
      <c r="DL617" s="2147"/>
      <c r="DM617" s="2145">
        <f t="shared" si="14"/>
        <v>0</v>
      </c>
      <c r="DN617" s="2146"/>
      <c r="DO617" s="2146"/>
      <c r="DP617" s="2146"/>
      <c r="DQ617" s="2147"/>
      <c r="DR617" s="2145">
        <f t="shared" si="15"/>
        <v>0</v>
      </c>
      <c r="DS617" s="2146"/>
      <c r="DT617" s="2146"/>
      <c r="DU617" s="2146"/>
      <c r="DV617" s="2147"/>
    </row>
    <row r="618" spans="1:126" ht="12.5">
      <c r="B618" s="16" t="s">
        <v>715</v>
      </c>
      <c r="G618" s="1688"/>
      <c r="H618" s="1688"/>
      <c r="I618" s="1688"/>
      <c r="J618" s="1688"/>
      <c r="K618" s="1688"/>
      <c r="L618" s="1688"/>
      <c r="O618" s="149" t="s">
        <v>899</v>
      </c>
      <c r="P618" s="1700"/>
      <c r="Q618" s="1700"/>
      <c r="R618" s="1700"/>
      <c r="U618" s="16" t="s">
        <v>715</v>
      </c>
      <c r="Z618" s="1688"/>
      <c r="AA618" s="1688"/>
      <c r="AB618" s="1688"/>
      <c r="AC618" s="1688"/>
      <c r="AD618" s="1688"/>
      <c r="AE618" s="1688"/>
      <c r="AH618" s="149" t="s">
        <v>899</v>
      </c>
      <c r="AI618" s="1700"/>
      <c r="AJ618" s="1700"/>
      <c r="AK618" s="1700"/>
      <c r="AL618" s="3"/>
      <c r="AZ618" s="72"/>
      <c r="BA618" s="72"/>
      <c r="BB618" s="72"/>
      <c r="BC618" s="72"/>
      <c r="BD618" s="72"/>
      <c r="BE618" s="1833">
        <f t="shared" si="8"/>
        <v>0</v>
      </c>
      <c r="BF618" s="1834"/>
      <c r="BG618" s="1829">
        <f t="shared" si="6"/>
        <v>0</v>
      </c>
      <c r="BH618" s="1832"/>
      <c r="BI618" s="1833">
        <f t="shared" si="9"/>
        <v>0</v>
      </c>
      <c r="BJ618" s="1834"/>
      <c r="BK618" s="1829">
        <f t="shared" si="7"/>
        <v>0</v>
      </c>
      <c r="BL618" s="1832"/>
      <c r="BN618" s="1829">
        <f t="shared" si="0"/>
        <v>0</v>
      </c>
      <c r="BO618" s="1830"/>
      <c r="BP618" s="1830"/>
      <c r="BQ618" s="1830"/>
      <c r="BR618" s="1831"/>
      <c r="BS618" s="1829">
        <f t="shared" si="1"/>
        <v>0</v>
      </c>
      <c r="BT618" s="1830"/>
      <c r="BU618" s="1830"/>
      <c r="BV618" s="1830"/>
      <c r="BW618" s="1832"/>
      <c r="BX618" s="1829">
        <f t="shared" si="2"/>
        <v>0</v>
      </c>
      <c r="BY618" s="1830"/>
      <c r="BZ618" s="1830"/>
      <c r="CA618" s="1830"/>
      <c r="CB618" s="1832"/>
      <c r="CC618" s="1829">
        <f t="shared" si="3"/>
        <v>0</v>
      </c>
      <c r="CD618" s="1830"/>
      <c r="CE618" s="1830"/>
      <c r="CF618" s="1830"/>
      <c r="CG618" s="1832"/>
      <c r="CH618" s="1829">
        <f t="shared" si="4"/>
        <v>0</v>
      </c>
      <c r="CI618" s="1830"/>
      <c r="CJ618" s="1830"/>
      <c r="CK618" s="1830"/>
      <c r="CL618" s="1832"/>
      <c r="CM618" s="1829">
        <f t="shared" si="5"/>
        <v>0</v>
      </c>
      <c r="CN618" s="1830"/>
      <c r="CO618" s="1830"/>
      <c r="CP618" s="1830"/>
      <c r="CQ618" s="1832"/>
      <c r="CS618" s="2145">
        <f t="shared" si="10"/>
        <v>0</v>
      </c>
      <c r="CT618" s="2146"/>
      <c r="CU618" s="2146"/>
      <c r="CV618" s="2146"/>
      <c r="CW618" s="2147"/>
      <c r="CX618" s="2145">
        <f t="shared" si="11"/>
        <v>0</v>
      </c>
      <c r="CY618" s="2146"/>
      <c r="CZ618" s="2146"/>
      <c r="DA618" s="2146"/>
      <c r="DB618" s="2147"/>
      <c r="DC618" s="2145">
        <f t="shared" si="12"/>
        <v>0</v>
      </c>
      <c r="DD618" s="2146"/>
      <c r="DE618" s="2146"/>
      <c r="DF618" s="2146"/>
      <c r="DG618" s="2147"/>
      <c r="DH618" s="2145">
        <f t="shared" si="13"/>
        <v>0</v>
      </c>
      <c r="DI618" s="2146"/>
      <c r="DJ618" s="2146"/>
      <c r="DK618" s="2146"/>
      <c r="DL618" s="2147"/>
      <c r="DM618" s="2145">
        <f t="shared" si="14"/>
        <v>0</v>
      </c>
      <c r="DN618" s="2146"/>
      <c r="DO618" s="2146"/>
      <c r="DP618" s="2146"/>
      <c r="DQ618" s="2147"/>
      <c r="DR618" s="2145">
        <f t="shared" si="15"/>
        <v>0</v>
      </c>
      <c r="DS618" s="2146"/>
      <c r="DT618" s="2146"/>
      <c r="DU618" s="2146"/>
      <c r="DV618" s="2147"/>
    </row>
    <row r="619" spans="1:126" ht="12.5">
      <c r="B619" s="16" t="s">
        <v>915</v>
      </c>
      <c r="H619" s="1698"/>
      <c r="I619" s="1698"/>
      <c r="J619" s="1698"/>
      <c r="K619" s="1698"/>
      <c r="L619" s="1698"/>
      <c r="M619" s="1698"/>
      <c r="N619" s="1698"/>
      <c r="O619" s="1698"/>
      <c r="P619" s="1698"/>
      <c r="Q619" s="1698"/>
      <c r="R619" s="1698"/>
      <c r="U619" s="16" t="s">
        <v>915</v>
      </c>
      <c r="AA619" s="1698"/>
      <c r="AB619" s="1698"/>
      <c r="AC619" s="1698"/>
      <c r="AD619" s="1698"/>
      <c r="AE619" s="1698"/>
      <c r="AF619" s="1698"/>
      <c r="AG619" s="1698"/>
      <c r="AH619" s="1698"/>
      <c r="AI619" s="1698"/>
      <c r="AJ619" s="1698"/>
      <c r="AK619" s="1698"/>
      <c r="AL619" s="3"/>
      <c r="AZ619" s="72"/>
      <c r="BA619" s="72"/>
      <c r="BB619" s="72"/>
      <c r="BC619" s="72"/>
      <c r="BD619" s="72"/>
      <c r="BE619" s="1833">
        <f t="shared" si="8"/>
        <v>0</v>
      </c>
      <c r="BF619" s="1834"/>
      <c r="BG619" s="1829">
        <f t="shared" si="6"/>
        <v>0</v>
      </c>
      <c r="BH619" s="1832"/>
      <c r="BI619" s="1833">
        <f t="shared" si="9"/>
        <v>0</v>
      </c>
      <c r="BJ619" s="1834"/>
      <c r="BK619" s="1829">
        <f t="shared" si="7"/>
        <v>0</v>
      </c>
      <c r="BL619" s="1832"/>
      <c r="BN619" s="1829">
        <f t="shared" si="0"/>
        <v>0</v>
      </c>
      <c r="BO619" s="1830"/>
      <c r="BP619" s="1830"/>
      <c r="BQ619" s="1830"/>
      <c r="BR619" s="1831"/>
      <c r="BS619" s="1829">
        <f t="shared" si="1"/>
        <v>0</v>
      </c>
      <c r="BT619" s="1830"/>
      <c r="BU619" s="1830"/>
      <c r="BV619" s="1830"/>
      <c r="BW619" s="1832"/>
      <c r="BX619" s="1829">
        <f t="shared" si="2"/>
        <v>0</v>
      </c>
      <c r="BY619" s="1830"/>
      <c r="BZ619" s="1830"/>
      <c r="CA619" s="1830"/>
      <c r="CB619" s="1832"/>
      <c r="CC619" s="1829">
        <f t="shared" si="3"/>
        <v>0</v>
      </c>
      <c r="CD619" s="1830"/>
      <c r="CE619" s="1830"/>
      <c r="CF619" s="1830"/>
      <c r="CG619" s="1832"/>
      <c r="CH619" s="1829">
        <f t="shared" si="4"/>
        <v>0</v>
      </c>
      <c r="CI619" s="1830"/>
      <c r="CJ619" s="1830"/>
      <c r="CK619" s="1830"/>
      <c r="CL619" s="1832"/>
      <c r="CM619" s="1829">
        <f t="shared" si="5"/>
        <v>0</v>
      </c>
      <c r="CN619" s="1830"/>
      <c r="CO619" s="1830"/>
      <c r="CP619" s="1830"/>
      <c r="CQ619" s="1832"/>
      <c r="CS619" s="2145">
        <f t="shared" si="10"/>
        <v>0</v>
      </c>
      <c r="CT619" s="2146"/>
      <c r="CU619" s="2146"/>
      <c r="CV619" s="2146"/>
      <c r="CW619" s="2147"/>
      <c r="CX619" s="2145">
        <f t="shared" si="11"/>
        <v>0</v>
      </c>
      <c r="CY619" s="2146"/>
      <c r="CZ619" s="2146"/>
      <c r="DA619" s="2146"/>
      <c r="DB619" s="2147"/>
      <c r="DC619" s="2145">
        <f t="shared" si="12"/>
        <v>0</v>
      </c>
      <c r="DD619" s="2146"/>
      <c r="DE619" s="2146"/>
      <c r="DF619" s="2146"/>
      <c r="DG619" s="2147"/>
      <c r="DH619" s="2145">
        <f t="shared" si="13"/>
        <v>0</v>
      </c>
      <c r="DI619" s="2146"/>
      <c r="DJ619" s="2146"/>
      <c r="DK619" s="2146"/>
      <c r="DL619" s="2147"/>
      <c r="DM619" s="2145">
        <f t="shared" si="14"/>
        <v>0</v>
      </c>
      <c r="DN619" s="2146"/>
      <c r="DO619" s="2146"/>
      <c r="DP619" s="2146"/>
      <c r="DQ619" s="2147"/>
      <c r="DR619" s="2145">
        <f t="shared" si="15"/>
        <v>0</v>
      </c>
      <c r="DS619" s="2146"/>
      <c r="DT619" s="2146"/>
      <c r="DU619" s="2146"/>
      <c r="DV619" s="2147"/>
    </row>
    <row r="620" spans="1:126" ht="12.75" customHeight="1">
      <c r="B620" s="16" t="s">
        <v>917</v>
      </c>
      <c r="N620" s="1699" t="s">
        <v>531</v>
      </c>
      <c r="O620" s="1699"/>
      <c r="U620" s="16" t="s">
        <v>917</v>
      </c>
      <c r="AG620" s="1699" t="s">
        <v>531</v>
      </c>
      <c r="AH620" s="1699"/>
      <c r="AL620" s="3"/>
      <c r="AZ620" s="72"/>
      <c r="BA620" s="72"/>
      <c r="BB620" s="72"/>
      <c r="BC620" s="72"/>
      <c r="BD620" s="72"/>
      <c r="BE620" s="1833">
        <f t="shared" si="8"/>
        <v>0</v>
      </c>
      <c r="BF620" s="1834"/>
      <c r="BG620" s="1829">
        <f t="shared" si="6"/>
        <v>0</v>
      </c>
      <c r="BH620" s="1832"/>
      <c r="BI620" s="1833">
        <f t="shared" si="9"/>
        <v>0</v>
      </c>
      <c r="BJ620" s="1834"/>
      <c r="BK620" s="1829">
        <f t="shared" si="7"/>
        <v>0</v>
      </c>
      <c r="BL620" s="1832"/>
      <c r="BN620" s="1829">
        <f t="shared" si="0"/>
        <v>0</v>
      </c>
      <c r="BO620" s="1830"/>
      <c r="BP620" s="1830"/>
      <c r="BQ620" s="1830"/>
      <c r="BR620" s="1831"/>
      <c r="BS620" s="1829">
        <f t="shared" si="1"/>
        <v>0</v>
      </c>
      <c r="BT620" s="1830"/>
      <c r="BU620" s="1830"/>
      <c r="BV620" s="1830"/>
      <c r="BW620" s="1832"/>
      <c r="BX620" s="1829">
        <f t="shared" si="2"/>
        <v>0</v>
      </c>
      <c r="BY620" s="1830"/>
      <c r="BZ620" s="1830"/>
      <c r="CA620" s="1830"/>
      <c r="CB620" s="1832"/>
      <c r="CC620" s="1829">
        <f t="shared" si="3"/>
        <v>0</v>
      </c>
      <c r="CD620" s="1830"/>
      <c r="CE620" s="1830"/>
      <c r="CF620" s="1830"/>
      <c r="CG620" s="1832"/>
      <c r="CH620" s="1829">
        <f t="shared" si="4"/>
        <v>0</v>
      </c>
      <c r="CI620" s="1830"/>
      <c r="CJ620" s="1830"/>
      <c r="CK620" s="1830"/>
      <c r="CL620" s="1832"/>
      <c r="CM620" s="1829">
        <f t="shared" si="5"/>
        <v>0</v>
      </c>
      <c r="CN620" s="1830"/>
      <c r="CO620" s="1830"/>
      <c r="CP620" s="1830"/>
      <c r="CQ620" s="1832"/>
      <c r="CS620" s="2145">
        <f t="shared" si="10"/>
        <v>0</v>
      </c>
      <c r="CT620" s="2146"/>
      <c r="CU620" s="2146"/>
      <c r="CV620" s="2146"/>
      <c r="CW620" s="2147"/>
      <c r="CX620" s="2145">
        <f t="shared" si="11"/>
        <v>0</v>
      </c>
      <c r="CY620" s="2146"/>
      <c r="CZ620" s="2146"/>
      <c r="DA620" s="2146"/>
      <c r="DB620" s="2147"/>
      <c r="DC620" s="2145">
        <f t="shared" si="12"/>
        <v>0</v>
      </c>
      <c r="DD620" s="2146"/>
      <c r="DE620" s="2146"/>
      <c r="DF620" s="2146"/>
      <c r="DG620" s="2147"/>
      <c r="DH620" s="2145">
        <f t="shared" si="13"/>
        <v>0</v>
      </c>
      <c r="DI620" s="2146"/>
      <c r="DJ620" s="2146"/>
      <c r="DK620" s="2146"/>
      <c r="DL620" s="2147"/>
      <c r="DM620" s="2145">
        <f t="shared" si="14"/>
        <v>0</v>
      </c>
      <c r="DN620" s="2146"/>
      <c r="DO620" s="2146"/>
      <c r="DP620" s="2146"/>
      <c r="DQ620" s="2147"/>
      <c r="DR620" s="2145">
        <f t="shared" si="15"/>
        <v>0</v>
      </c>
      <c r="DS620" s="2146"/>
      <c r="DT620" s="2146"/>
      <c r="DU620" s="2146"/>
      <c r="DV620" s="2147"/>
    </row>
    <row r="621" spans="1:126" ht="12.5">
      <c r="AZ621" s="72"/>
      <c r="BA621" s="72"/>
      <c r="BB621" s="72"/>
      <c r="BC621" s="72"/>
      <c r="BD621" s="72"/>
      <c r="BE621" s="1833">
        <f t="shared" si="8"/>
        <v>0</v>
      </c>
      <c r="BF621" s="1834"/>
      <c r="BG621" s="1829">
        <f t="shared" si="6"/>
        <v>0</v>
      </c>
      <c r="BH621" s="1832"/>
      <c r="BI621" s="1833">
        <f t="shared" si="9"/>
        <v>0</v>
      </c>
      <c r="BJ621" s="1834"/>
      <c r="BK621" s="1829">
        <f t="shared" si="7"/>
        <v>0</v>
      </c>
      <c r="BL621" s="1832"/>
      <c r="BN621" s="1829">
        <f t="shared" si="0"/>
        <v>0</v>
      </c>
      <c r="BO621" s="1830"/>
      <c r="BP621" s="1830"/>
      <c r="BQ621" s="1830"/>
      <c r="BR621" s="1831"/>
      <c r="BS621" s="1829">
        <f t="shared" si="1"/>
        <v>0</v>
      </c>
      <c r="BT621" s="1830"/>
      <c r="BU621" s="1830"/>
      <c r="BV621" s="1830"/>
      <c r="BW621" s="1832"/>
      <c r="BX621" s="1829">
        <f t="shared" si="2"/>
        <v>0</v>
      </c>
      <c r="BY621" s="1830"/>
      <c r="BZ621" s="1830"/>
      <c r="CA621" s="1830"/>
      <c r="CB621" s="1832"/>
      <c r="CC621" s="1829">
        <f t="shared" si="3"/>
        <v>0</v>
      </c>
      <c r="CD621" s="1830"/>
      <c r="CE621" s="1830"/>
      <c r="CF621" s="1830"/>
      <c r="CG621" s="1832"/>
      <c r="CH621" s="1829">
        <f t="shared" si="4"/>
        <v>0</v>
      </c>
      <c r="CI621" s="1830"/>
      <c r="CJ621" s="1830"/>
      <c r="CK621" s="1830"/>
      <c r="CL621" s="1832"/>
      <c r="CM621" s="1829">
        <f t="shared" si="5"/>
        <v>0</v>
      </c>
      <c r="CN621" s="1830"/>
      <c r="CO621" s="1830"/>
      <c r="CP621" s="1830"/>
      <c r="CQ621" s="1832"/>
      <c r="CS621" s="2145">
        <f t="shared" si="10"/>
        <v>0</v>
      </c>
      <c r="CT621" s="2146"/>
      <c r="CU621" s="2146"/>
      <c r="CV621" s="2146"/>
      <c r="CW621" s="2147"/>
      <c r="CX621" s="2145">
        <f t="shared" si="11"/>
        <v>0</v>
      </c>
      <c r="CY621" s="2146"/>
      <c r="CZ621" s="2146"/>
      <c r="DA621" s="2146"/>
      <c r="DB621" s="2147"/>
      <c r="DC621" s="2145">
        <f t="shared" si="12"/>
        <v>0</v>
      </c>
      <c r="DD621" s="2146"/>
      <c r="DE621" s="2146"/>
      <c r="DF621" s="2146"/>
      <c r="DG621" s="2147"/>
      <c r="DH621" s="2145">
        <f t="shared" si="13"/>
        <v>0</v>
      </c>
      <c r="DI621" s="2146"/>
      <c r="DJ621" s="2146"/>
      <c r="DK621" s="2146"/>
      <c r="DL621" s="2147"/>
      <c r="DM621" s="2145">
        <f t="shared" si="14"/>
        <v>0</v>
      </c>
      <c r="DN621" s="2146"/>
      <c r="DO621" s="2146"/>
      <c r="DP621" s="2146"/>
      <c r="DQ621" s="2147"/>
      <c r="DR621" s="2145">
        <f t="shared" si="15"/>
        <v>0</v>
      </c>
      <c r="DS621" s="2146"/>
      <c r="DT621" s="2146"/>
      <c r="DU621" s="2146"/>
      <c r="DV621" s="2147"/>
    </row>
    <row r="622" spans="1:126" ht="12.75" customHeight="1">
      <c r="A622" s="1555" t="s">
        <v>138</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833">
        <f t="shared" si="8"/>
        <v>0</v>
      </c>
      <c r="BF622" s="1834"/>
      <c r="BG622" s="1829">
        <f t="shared" si="6"/>
        <v>0</v>
      </c>
      <c r="BH622" s="1832"/>
      <c r="BI622" s="1833">
        <f t="shared" si="9"/>
        <v>0</v>
      </c>
      <c r="BJ622" s="1834"/>
      <c r="BK622" s="1829">
        <f t="shared" si="7"/>
        <v>0</v>
      </c>
      <c r="BL622" s="1832"/>
      <c r="BN622" s="1829">
        <f t="shared" si="0"/>
        <v>0</v>
      </c>
      <c r="BO622" s="1830"/>
      <c r="BP622" s="1830"/>
      <c r="BQ622" s="1830"/>
      <c r="BR622" s="1831"/>
      <c r="BS622" s="1829">
        <f t="shared" si="1"/>
        <v>0</v>
      </c>
      <c r="BT622" s="1830"/>
      <c r="BU622" s="1830"/>
      <c r="BV622" s="1830"/>
      <c r="BW622" s="1832"/>
      <c r="BX622" s="1829">
        <f t="shared" si="2"/>
        <v>0</v>
      </c>
      <c r="BY622" s="1830"/>
      <c r="BZ622" s="1830"/>
      <c r="CA622" s="1830"/>
      <c r="CB622" s="1832"/>
      <c r="CC622" s="1829">
        <f t="shared" si="3"/>
        <v>0</v>
      </c>
      <c r="CD622" s="1830"/>
      <c r="CE622" s="1830"/>
      <c r="CF622" s="1830"/>
      <c r="CG622" s="1832"/>
      <c r="CH622" s="1829">
        <f t="shared" si="4"/>
        <v>0</v>
      </c>
      <c r="CI622" s="1830"/>
      <c r="CJ622" s="1830"/>
      <c r="CK622" s="1830"/>
      <c r="CL622" s="1832"/>
      <c r="CM622" s="1829">
        <f t="shared" si="5"/>
        <v>0</v>
      </c>
      <c r="CN622" s="1830"/>
      <c r="CO622" s="1830"/>
      <c r="CP622" s="1830"/>
      <c r="CQ622" s="1832"/>
      <c r="CS622" s="2145">
        <f t="shared" si="10"/>
        <v>0</v>
      </c>
      <c r="CT622" s="2146"/>
      <c r="CU622" s="2146"/>
      <c r="CV622" s="2146"/>
      <c r="CW622" s="2147"/>
      <c r="CX622" s="2145">
        <f t="shared" si="11"/>
        <v>0</v>
      </c>
      <c r="CY622" s="2146"/>
      <c r="CZ622" s="2146"/>
      <c r="DA622" s="2146"/>
      <c r="DB622" s="2147"/>
      <c r="DC622" s="2145">
        <f t="shared" si="12"/>
        <v>0</v>
      </c>
      <c r="DD622" s="2146"/>
      <c r="DE622" s="2146"/>
      <c r="DF622" s="2146"/>
      <c r="DG622" s="2147"/>
      <c r="DH622" s="2145">
        <f t="shared" si="13"/>
        <v>0</v>
      </c>
      <c r="DI622" s="2146"/>
      <c r="DJ622" s="2146"/>
      <c r="DK622" s="2146"/>
      <c r="DL622" s="2147"/>
      <c r="DM622" s="2145">
        <f t="shared" si="14"/>
        <v>0</v>
      </c>
      <c r="DN622" s="2146"/>
      <c r="DO622" s="2146"/>
      <c r="DP622" s="2146"/>
      <c r="DQ622" s="2147"/>
      <c r="DR622" s="2145">
        <f t="shared" si="15"/>
        <v>0</v>
      </c>
      <c r="DS622" s="2146"/>
      <c r="DT622" s="2146"/>
      <c r="DU622" s="2146"/>
      <c r="DV622" s="2147"/>
    </row>
    <row r="623" spans="1:126" ht="12.5">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833">
        <f t="shared" si="8"/>
        <v>0</v>
      </c>
      <c r="BF623" s="1834"/>
      <c r="BG623" s="1829">
        <f t="shared" si="6"/>
        <v>0</v>
      </c>
      <c r="BH623" s="1832"/>
      <c r="BI623" s="1833">
        <f t="shared" si="9"/>
        <v>0</v>
      </c>
      <c r="BJ623" s="1834"/>
      <c r="BK623" s="1829">
        <f t="shared" si="7"/>
        <v>0</v>
      </c>
      <c r="BL623" s="1832"/>
      <c r="BN623" s="1829">
        <f t="shared" si="0"/>
        <v>0</v>
      </c>
      <c r="BO623" s="1830"/>
      <c r="BP623" s="1830"/>
      <c r="BQ623" s="1830"/>
      <c r="BR623" s="1831"/>
      <c r="BS623" s="1829">
        <f t="shared" si="1"/>
        <v>0</v>
      </c>
      <c r="BT623" s="1830"/>
      <c r="BU623" s="1830"/>
      <c r="BV623" s="1830"/>
      <c r="BW623" s="1832"/>
      <c r="BX623" s="1829">
        <f t="shared" si="2"/>
        <v>0</v>
      </c>
      <c r="BY623" s="1830"/>
      <c r="BZ623" s="1830"/>
      <c r="CA623" s="1830"/>
      <c r="CB623" s="1832"/>
      <c r="CC623" s="1829">
        <f t="shared" si="3"/>
        <v>0</v>
      </c>
      <c r="CD623" s="1830"/>
      <c r="CE623" s="1830"/>
      <c r="CF623" s="1830"/>
      <c r="CG623" s="1832"/>
      <c r="CH623" s="1829">
        <f t="shared" si="4"/>
        <v>0</v>
      </c>
      <c r="CI623" s="1830"/>
      <c r="CJ623" s="1830"/>
      <c r="CK623" s="1830"/>
      <c r="CL623" s="1832"/>
      <c r="CM623" s="1829">
        <f t="shared" si="5"/>
        <v>0</v>
      </c>
      <c r="CN623" s="1830"/>
      <c r="CO623" s="1830"/>
      <c r="CP623" s="1830"/>
      <c r="CQ623" s="1832"/>
      <c r="CS623" s="2145">
        <f t="shared" si="10"/>
        <v>0</v>
      </c>
      <c r="CT623" s="2146"/>
      <c r="CU623" s="2146"/>
      <c r="CV623" s="2146"/>
      <c r="CW623" s="2147"/>
      <c r="CX623" s="2145">
        <f t="shared" si="11"/>
        <v>0</v>
      </c>
      <c r="CY623" s="2146"/>
      <c r="CZ623" s="2146"/>
      <c r="DA623" s="2146"/>
      <c r="DB623" s="2147"/>
      <c r="DC623" s="2145">
        <f t="shared" si="12"/>
        <v>0</v>
      </c>
      <c r="DD623" s="2146"/>
      <c r="DE623" s="2146"/>
      <c r="DF623" s="2146"/>
      <c r="DG623" s="2147"/>
      <c r="DH623" s="2145">
        <f t="shared" si="13"/>
        <v>0</v>
      </c>
      <c r="DI623" s="2146"/>
      <c r="DJ623" s="2146"/>
      <c r="DK623" s="2146"/>
      <c r="DL623" s="2147"/>
      <c r="DM623" s="2145">
        <f t="shared" si="14"/>
        <v>0</v>
      </c>
      <c r="DN623" s="2146"/>
      <c r="DO623" s="2146"/>
      <c r="DP623" s="2146"/>
      <c r="DQ623" s="2147"/>
      <c r="DR623" s="2145">
        <f t="shared" si="15"/>
        <v>0</v>
      </c>
      <c r="DS623" s="2146"/>
      <c r="DT623" s="2146"/>
      <c r="DU623" s="2146"/>
      <c r="DV623" s="2147"/>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33">
        <f t="shared" si="8"/>
        <v>0</v>
      </c>
      <c r="BF624" s="1834"/>
      <c r="BG624" s="1829">
        <f t="shared" si="6"/>
        <v>0</v>
      </c>
      <c r="BH624" s="1832"/>
      <c r="BI624" s="1833">
        <f t="shared" si="9"/>
        <v>0</v>
      </c>
      <c r="BJ624" s="1834"/>
      <c r="BK624" s="1829">
        <f t="shared" si="7"/>
        <v>0</v>
      </c>
      <c r="BL624" s="1832"/>
      <c r="BN624" s="1829">
        <f t="shared" si="0"/>
        <v>0</v>
      </c>
      <c r="BO624" s="1830"/>
      <c r="BP624" s="1830"/>
      <c r="BQ624" s="1830"/>
      <c r="BR624" s="1831"/>
      <c r="BS624" s="1829">
        <f t="shared" si="1"/>
        <v>0</v>
      </c>
      <c r="BT624" s="1830"/>
      <c r="BU624" s="1830"/>
      <c r="BV624" s="1830"/>
      <c r="BW624" s="1832"/>
      <c r="BX624" s="1829">
        <f t="shared" si="2"/>
        <v>0</v>
      </c>
      <c r="BY624" s="1830"/>
      <c r="BZ624" s="1830"/>
      <c r="CA624" s="1830"/>
      <c r="CB624" s="1832"/>
      <c r="CC624" s="1829">
        <f t="shared" si="3"/>
        <v>0</v>
      </c>
      <c r="CD624" s="1830"/>
      <c r="CE624" s="1830"/>
      <c r="CF624" s="1830"/>
      <c r="CG624" s="1832"/>
      <c r="CH624" s="1829">
        <f t="shared" si="4"/>
        <v>0</v>
      </c>
      <c r="CI624" s="1830"/>
      <c r="CJ624" s="1830"/>
      <c r="CK624" s="1830"/>
      <c r="CL624" s="1832"/>
      <c r="CM624" s="1829">
        <f t="shared" si="5"/>
        <v>0</v>
      </c>
      <c r="CN624" s="1830"/>
      <c r="CO624" s="1830"/>
      <c r="CP624" s="1830"/>
      <c r="CQ624" s="1832"/>
      <c r="CS624" s="2145">
        <f t="shared" si="10"/>
        <v>0</v>
      </c>
      <c r="CT624" s="2146"/>
      <c r="CU624" s="2146"/>
      <c r="CV624" s="2146"/>
      <c r="CW624" s="2147"/>
      <c r="CX624" s="2145">
        <f t="shared" si="11"/>
        <v>0</v>
      </c>
      <c r="CY624" s="2146"/>
      <c r="CZ624" s="2146"/>
      <c r="DA624" s="2146"/>
      <c r="DB624" s="2147"/>
      <c r="DC624" s="2145">
        <f t="shared" si="12"/>
        <v>0</v>
      </c>
      <c r="DD624" s="2146"/>
      <c r="DE624" s="2146"/>
      <c r="DF624" s="2146"/>
      <c r="DG624" s="2147"/>
      <c r="DH624" s="2145">
        <f t="shared" si="13"/>
        <v>0</v>
      </c>
      <c r="DI624" s="2146"/>
      <c r="DJ624" s="2146"/>
      <c r="DK624" s="2146"/>
      <c r="DL624" s="2147"/>
      <c r="DM624" s="2145">
        <f t="shared" si="14"/>
        <v>0</v>
      </c>
      <c r="DN624" s="2146"/>
      <c r="DO624" s="2146"/>
      <c r="DP624" s="2146"/>
      <c r="DQ624" s="2147"/>
      <c r="DR624" s="2145">
        <f t="shared" si="15"/>
        <v>0</v>
      </c>
      <c r="DS624" s="2146"/>
      <c r="DT624" s="2146"/>
      <c r="DU624" s="2146"/>
      <c r="DV624" s="2147"/>
    </row>
    <row r="625" spans="1:126" ht="13">
      <c r="A625" s="63" t="s">
        <v>718</v>
      </c>
      <c r="B625" s="63"/>
      <c r="C625" s="63" t="s">
        <v>918</v>
      </c>
      <c r="AM625" s="50"/>
      <c r="AN625" s="50"/>
      <c r="AO625" s="50"/>
      <c r="AP625" s="50"/>
      <c r="AQ625" s="50"/>
      <c r="AR625" s="50"/>
      <c r="AS625" s="50"/>
      <c r="AZ625" s="72"/>
      <c r="BA625" s="72"/>
      <c r="BB625" s="72"/>
      <c r="BC625" s="72"/>
      <c r="BD625" s="72"/>
      <c r="BE625" s="1833">
        <f t="shared" si="8"/>
        <v>0</v>
      </c>
      <c r="BF625" s="1834"/>
      <c r="BG625" s="1829">
        <f t="shared" si="6"/>
        <v>0</v>
      </c>
      <c r="BH625" s="1832"/>
      <c r="BI625" s="1833">
        <f t="shared" si="9"/>
        <v>0</v>
      </c>
      <c r="BJ625" s="1834"/>
      <c r="BK625" s="1829">
        <f t="shared" si="7"/>
        <v>0</v>
      </c>
      <c r="BL625" s="1832"/>
      <c r="BN625" s="1829">
        <f t="shared" si="0"/>
        <v>0</v>
      </c>
      <c r="BO625" s="1830"/>
      <c r="BP625" s="1830"/>
      <c r="BQ625" s="1830"/>
      <c r="BR625" s="1831"/>
      <c r="BS625" s="1829">
        <f t="shared" si="1"/>
        <v>0</v>
      </c>
      <c r="BT625" s="1830"/>
      <c r="BU625" s="1830"/>
      <c r="BV625" s="1830"/>
      <c r="BW625" s="1832"/>
      <c r="BX625" s="1829">
        <f t="shared" si="2"/>
        <v>0</v>
      </c>
      <c r="BY625" s="1830"/>
      <c r="BZ625" s="1830"/>
      <c r="CA625" s="1830"/>
      <c r="CB625" s="1832"/>
      <c r="CC625" s="1829">
        <f t="shared" si="3"/>
        <v>0</v>
      </c>
      <c r="CD625" s="1830"/>
      <c r="CE625" s="1830"/>
      <c r="CF625" s="1830"/>
      <c r="CG625" s="1832"/>
      <c r="CH625" s="1829">
        <f t="shared" si="4"/>
        <v>0</v>
      </c>
      <c r="CI625" s="1830"/>
      <c r="CJ625" s="1830"/>
      <c r="CK625" s="1830"/>
      <c r="CL625" s="1832"/>
      <c r="CM625" s="1829">
        <f t="shared" si="5"/>
        <v>0</v>
      </c>
      <c r="CN625" s="1830"/>
      <c r="CO625" s="1830"/>
      <c r="CP625" s="1830"/>
      <c r="CQ625" s="1832"/>
      <c r="CS625" s="2145">
        <f t="shared" si="10"/>
        <v>0</v>
      </c>
      <c r="CT625" s="2146"/>
      <c r="CU625" s="2146"/>
      <c r="CV625" s="2146"/>
      <c r="CW625" s="2147"/>
      <c r="CX625" s="2145">
        <f t="shared" si="11"/>
        <v>0</v>
      </c>
      <c r="CY625" s="2146"/>
      <c r="CZ625" s="2146"/>
      <c r="DA625" s="2146"/>
      <c r="DB625" s="2147"/>
      <c r="DC625" s="2145">
        <f t="shared" si="12"/>
        <v>0</v>
      </c>
      <c r="DD625" s="2146"/>
      <c r="DE625" s="2146"/>
      <c r="DF625" s="2146"/>
      <c r="DG625" s="2147"/>
      <c r="DH625" s="2145">
        <f t="shared" si="13"/>
        <v>0</v>
      </c>
      <c r="DI625" s="2146"/>
      <c r="DJ625" s="2146"/>
      <c r="DK625" s="2146"/>
      <c r="DL625" s="2147"/>
      <c r="DM625" s="2145">
        <f t="shared" si="14"/>
        <v>0</v>
      </c>
      <c r="DN625" s="2146"/>
      <c r="DO625" s="2146"/>
      <c r="DP625" s="2146"/>
      <c r="DQ625" s="2147"/>
      <c r="DR625" s="2145">
        <f t="shared" si="15"/>
        <v>0</v>
      </c>
      <c r="DS625" s="2146"/>
      <c r="DT625" s="2146"/>
      <c r="DU625" s="2146"/>
      <c r="DV625" s="2147"/>
    </row>
    <row r="626" spans="1:126" ht="13">
      <c r="A626" s="63"/>
      <c r="B626" s="63"/>
      <c r="C626" s="63"/>
      <c r="AM626" s="50"/>
      <c r="AN626" s="50"/>
      <c r="AO626" s="50"/>
      <c r="AP626" s="50"/>
      <c r="AQ626" s="50"/>
      <c r="AR626" s="50"/>
      <c r="AS626" s="50"/>
      <c r="AZ626" s="72"/>
      <c r="BA626" s="72"/>
      <c r="BB626" s="72"/>
      <c r="BC626" s="72"/>
      <c r="BD626" s="72"/>
      <c r="BE626" s="1833">
        <f t="shared" si="8"/>
        <v>0</v>
      </c>
      <c r="BF626" s="1834"/>
      <c r="BG626" s="1829">
        <f t="shared" si="6"/>
        <v>0</v>
      </c>
      <c r="BH626" s="1832"/>
      <c r="BI626" s="1833">
        <f t="shared" si="9"/>
        <v>0</v>
      </c>
      <c r="BJ626" s="1834"/>
      <c r="BK626" s="1829">
        <f t="shared" si="7"/>
        <v>0</v>
      </c>
      <c r="BL626" s="1832"/>
      <c r="BN626" s="1829">
        <f t="shared" si="0"/>
        <v>0</v>
      </c>
      <c r="BO626" s="1830"/>
      <c r="BP626" s="1830"/>
      <c r="BQ626" s="1830"/>
      <c r="BR626" s="1831"/>
      <c r="BS626" s="1829">
        <f t="shared" si="1"/>
        <v>0</v>
      </c>
      <c r="BT626" s="1830"/>
      <c r="BU626" s="1830"/>
      <c r="BV626" s="1830"/>
      <c r="BW626" s="1832"/>
      <c r="BX626" s="1829">
        <f t="shared" si="2"/>
        <v>0</v>
      </c>
      <c r="BY626" s="1830"/>
      <c r="BZ626" s="1830"/>
      <c r="CA626" s="1830"/>
      <c r="CB626" s="1832"/>
      <c r="CC626" s="1829">
        <f t="shared" si="3"/>
        <v>0</v>
      </c>
      <c r="CD626" s="1830"/>
      <c r="CE626" s="1830"/>
      <c r="CF626" s="1830"/>
      <c r="CG626" s="1832"/>
      <c r="CH626" s="1829">
        <f t="shared" si="4"/>
        <v>0</v>
      </c>
      <c r="CI626" s="1830"/>
      <c r="CJ626" s="1830"/>
      <c r="CK626" s="1830"/>
      <c r="CL626" s="1832"/>
      <c r="CM626" s="1829">
        <f t="shared" si="5"/>
        <v>0</v>
      </c>
      <c r="CN626" s="1830"/>
      <c r="CO626" s="1830"/>
      <c r="CP626" s="1830"/>
      <c r="CQ626" s="1832"/>
      <c r="CS626" s="2145">
        <f t="shared" si="10"/>
        <v>0</v>
      </c>
      <c r="CT626" s="2146"/>
      <c r="CU626" s="2146"/>
      <c r="CV626" s="2146"/>
      <c r="CW626" s="2147"/>
      <c r="CX626" s="2145">
        <f t="shared" si="11"/>
        <v>0</v>
      </c>
      <c r="CY626" s="2146"/>
      <c r="CZ626" s="2146"/>
      <c r="DA626" s="2146"/>
      <c r="DB626" s="2147"/>
      <c r="DC626" s="2145">
        <f t="shared" si="12"/>
        <v>0</v>
      </c>
      <c r="DD626" s="2146"/>
      <c r="DE626" s="2146"/>
      <c r="DF626" s="2146"/>
      <c r="DG626" s="2147"/>
      <c r="DH626" s="2145">
        <f t="shared" si="13"/>
        <v>0</v>
      </c>
      <c r="DI626" s="2146"/>
      <c r="DJ626" s="2146"/>
      <c r="DK626" s="2146"/>
      <c r="DL626" s="2147"/>
      <c r="DM626" s="2145">
        <f t="shared" si="14"/>
        <v>0</v>
      </c>
      <c r="DN626" s="2146"/>
      <c r="DO626" s="2146"/>
      <c r="DP626" s="2146"/>
      <c r="DQ626" s="2147"/>
      <c r="DR626" s="2145">
        <f t="shared" si="15"/>
        <v>0</v>
      </c>
      <c r="DS626" s="2146"/>
      <c r="DT626" s="2146"/>
      <c r="DU626" s="2146"/>
      <c r="DV626" s="2147"/>
    </row>
    <row r="627" spans="1:126" ht="13">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33">
        <f t="shared" si="8"/>
        <v>0</v>
      </c>
      <c r="BF627" s="1834"/>
      <c r="BG627" s="1829">
        <f t="shared" si="6"/>
        <v>0</v>
      </c>
      <c r="BH627" s="1832"/>
      <c r="BI627" s="1833">
        <f t="shared" si="9"/>
        <v>0</v>
      </c>
      <c r="BJ627" s="1834"/>
      <c r="BK627" s="1829">
        <f t="shared" si="7"/>
        <v>0</v>
      </c>
      <c r="BL627" s="1832"/>
      <c r="BN627" s="1833">
        <f>SUM(BN602:BR626)</f>
        <v>0</v>
      </c>
      <c r="BO627" s="2150"/>
      <c r="BP627" s="2150"/>
      <c r="BQ627" s="2150"/>
      <c r="BR627" s="1834"/>
      <c r="BS627" s="1833">
        <f>SUM(BS602:BW626)</f>
        <v>44</v>
      </c>
      <c r="BT627" s="2150"/>
      <c r="BU627" s="2150"/>
      <c r="BV627" s="2150"/>
      <c r="BW627" s="1834"/>
      <c r="BX627" s="1833">
        <f>SUM(BX602:CB626)</f>
        <v>5</v>
      </c>
      <c r="BY627" s="2150"/>
      <c r="BZ627" s="2150"/>
      <c r="CA627" s="2150"/>
      <c r="CB627" s="1834"/>
      <c r="CC627" s="1833">
        <f>SUM(CC602:CG626)</f>
        <v>0</v>
      </c>
      <c r="CD627" s="2150"/>
      <c r="CE627" s="2150"/>
      <c r="CF627" s="2150"/>
      <c r="CG627" s="1834"/>
      <c r="CH627" s="1833">
        <f>SUM(CH602:CL626)</f>
        <v>0</v>
      </c>
      <c r="CI627" s="2150"/>
      <c r="CJ627" s="2150"/>
      <c r="CK627" s="2150"/>
      <c r="CL627" s="1834"/>
      <c r="CM627" s="1833">
        <f>SUM(CM602:CQ626)</f>
        <v>0</v>
      </c>
      <c r="CN627" s="2150"/>
      <c r="CO627" s="2150"/>
      <c r="CP627" s="2150"/>
      <c r="CQ627" s="1834"/>
      <c r="CS627" s="2145">
        <f t="shared" si="10"/>
        <v>0</v>
      </c>
      <c r="CT627" s="2146"/>
      <c r="CU627" s="2146"/>
      <c r="CV627" s="2146"/>
      <c r="CW627" s="2147"/>
      <c r="CX627" s="2145">
        <f t="shared" si="11"/>
        <v>0</v>
      </c>
      <c r="CY627" s="2146"/>
      <c r="CZ627" s="2146"/>
      <c r="DA627" s="2146"/>
      <c r="DB627" s="2147"/>
      <c r="DC627" s="2145">
        <f t="shared" si="12"/>
        <v>0</v>
      </c>
      <c r="DD627" s="2146"/>
      <c r="DE627" s="2146"/>
      <c r="DF627" s="2146"/>
      <c r="DG627" s="2147"/>
      <c r="DH627" s="2145">
        <f t="shared" si="13"/>
        <v>0</v>
      </c>
      <c r="DI627" s="2146"/>
      <c r="DJ627" s="2146"/>
      <c r="DK627" s="2146"/>
      <c r="DL627" s="2147"/>
      <c r="DM627" s="2145">
        <f t="shared" si="14"/>
        <v>0</v>
      </c>
      <c r="DN627" s="2146"/>
      <c r="DO627" s="2146"/>
      <c r="DP627" s="2146"/>
      <c r="DQ627" s="2147"/>
      <c r="DR627" s="2145">
        <f t="shared" si="15"/>
        <v>0</v>
      </c>
      <c r="DS627" s="2146"/>
      <c r="DT627" s="2146"/>
      <c r="DU627" s="2146"/>
      <c r="DV627" s="2147"/>
    </row>
    <row r="628" spans="1:126" ht="13.5" thickBot="1">
      <c r="B628" s="1437"/>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33">
        <f>SUM(BG603:BH627)</f>
        <v>25</v>
      </c>
      <c r="BH628" s="1834"/>
      <c r="BI628" s="72"/>
      <c r="BJ628" s="72"/>
      <c r="BK628" s="1833">
        <f>SUM(BK603:BL627)</f>
        <v>10</v>
      </c>
      <c r="BL628" s="1834"/>
      <c r="BN628" s="72" t="s">
        <v>1940</v>
      </c>
      <c r="BO628" s="72"/>
      <c r="BP628" s="72"/>
      <c r="BQ628" s="72"/>
      <c r="BR628" s="737">
        <f>BN627*1</f>
        <v>0</v>
      </c>
      <c r="BS628" s="72"/>
      <c r="BT628" s="72"/>
      <c r="BU628" s="72"/>
      <c r="BV628" s="72"/>
      <c r="BW628" s="737">
        <f>BS627*1</f>
        <v>44</v>
      </c>
      <c r="BX628" s="72"/>
      <c r="BY628" s="72"/>
      <c r="BZ628" s="72"/>
      <c r="CA628" s="72"/>
      <c r="CB628" s="737">
        <f>BX627*2</f>
        <v>10</v>
      </c>
      <c r="CC628" s="72"/>
      <c r="CD628" s="72"/>
      <c r="CE628" s="72"/>
      <c r="CF628" s="72"/>
      <c r="CG628" s="737">
        <f>CC627*3</f>
        <v>0</v>
      </c>
      <c r="CH628" s="72"/>
      <c r="CI628" s="72"/>
      <c r="CJ628" s="72"/>
      <c r="CK628" s="72"/>
      <c r="CL628" s="737">
        <f>CH627*4</f>
        <v>0</v>
      </c>
      <c r="CM628" s="72"/>
      <c r="CN628" s="72"/>
      <c r="CO628" s="72"/>
      <c r="CP628" s="72"/>
      <c r="CQ628" s="736">
        <f>CM627*5</f>
        <v>0</v>
      </c>
      <c r="CS628" s="1833">
        <f>SUM(CS603:CW627)</f>
        <v>0</v>
      </c>
      <c r="CT628" s="2150"/>
      <c r="CU628" s="2150"/>
      <c r="CV628" s="2150"/>
      <c r="CW628" s="1834"/>
      <c r="CX628" s="1833">
        <f>SUM(CX603:DB627)</f>
        <v>9</v>
      </c>
      <c r="CY628" s="2150"/>
      <c r="CZ628" s="2150"/>
      <c r="DA628" s="2150"/>
      <c r="DB628" s="1834"/>
      <c r="DC628" s="1833">
        <f>SUM(DC603:DG627)</f>
        <v>1</v>
      </c>
      <c r="DD628" s="2150"/>
      <c r="DE628" s="2150"/>
      <c r="DF628" s="2150"/>
      <c r="DG628" s="1834"/>
      <c r="DH628" s="1833">
        <f>SUM(DH603:DL627)</f>
        <v>0</v>
      </c>
      <c r="DI628" s="2150"/>
      <c r="DJ628" s="2150"/>
      <c r="DK628" s="2150"/>
      <c r="DL628" s="1834"/>
      <c r="DM628" s="1833">
        <f>SUM(DM603:DQ627)</f>
        <v>0</v>
      </c>
      <c r="DN628" s="2150"/>
      <c r="DO628" s="2150"/>
      <c r="DP628" s="2150"/>
      <c r="DQ628" s="1834"/>
      <c r="DR628" s="1833">
        <f>SUM(DR603:DV627)</f>
        <v>0</v>
      </c>
      <c r="DS628" s="2150"/>
      <c r="DT628" s="2150"/>
      <c r="DU628" s="2150"/>
      <c r="DV628" s="1834"/>
    </row>
    <row r="629" spans="1:126" ht="13.5" customHeight="1" thickBot="1">
      <c r="A629" s="1393"/>
      <c r="B629" s="2079" t="s">
        <v>806</v>
      </c>
      <c r="C629" s="2080"/>
      <c r="D629" s="2080"/>
      <c r="E629" s="2080"/>
      <c r="F629" s="2080"/>
      <c r="G629" s="2080"/>
      <c r="H629" s="2080"/>
      <c r="I629" s="2080"/>
      <c r="J629" s="2080"/>
      <c r="K629" s="2080"/>
      <c r="L629" s="2080"/>
      <c r="M629" s="2080"/>
      <c r="N629" s="2081"/>
      <c r="O629" s="1727" t="s">
        <v>489</v>
      </c>
      <c r="P629" s="1728"/>
      <c r="Q629" s="1729"/>
      <c r="R629" s="1727" t="s">
        <v>2280</v>
      </c>
      <c r="S629" s="1728"/>
      <c r="T629" s="1729"/>
      <c r="U629" s="2052" t="s">
        <v>807</v>
      </c>
      <c r="V629" s="2052"/>
      <c r="W629" s="2053"/>
      <c r="X629" s="1727" t="s">
        <v>2281</v>
      </c>
      <c r="Y629" s="1728"/>
      <c r="Z629" s="1728"/>
      <c r="AA629" s="1728"/>
      <c r="AB629" s="1729"/>
      <c r="AC629" s="2058" t="s">
        <v>2282</v>
      </c>
      <c r="AD629" s="2059"/>
      <c r="AE629" s="2060"/>
      <c r="AF629" s="1727" t="s">
        <v>2283</v>
      </c>
      <c r="AG629" s="1728"/>
      <c r="AH629" s="1728"/>
      <c r="AI629" s="1728"/>
      <c r="AJ629" s="1729"/>
      <c r="AK629" s="2067" t="s">
        <v>2284</v>
      </c>
      <c r="AL629" s="2068"/>
      <c r="AM629" s="2068"/>
      <c r="AN629" s="2069"/>
      <c r="AO629" s="2051" t="s">
        <v>808</v>
      </c>
      <c r="AP629" s="2051"/>
      <c r="AQ629" s="2051"/>
      <c r="AR629" s="2051"/>
      <c r="AS629" s="2051"/>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1" t="s">
        <v>1941</v>
      </c>
      <c r="CQ629" s="738">
        <f>BR628+BW628+CB628+CG628+CL628+CQ628</f>
        <v>54</v>
      </c>
      <c r="CR629" s="72"/>
      <c r="CS629" s="72"/>
    </row>
    <row r="630" spans="1:126" ht="12.5">
      <c r="A630" s="1393"/>
      <c r="B630" s="2082"/>
      <c r="C630" s="2083"/>
      <c r="D630" s="2083"/>
      <c r="E630" s="2083"/>
      <c r="F630" s="2083"/>
      <c r="G630" s="2083"/>
      <c r="H630" s="2083"/>
      <c r="I630" s="2083"/>
      <c r="J630" s="2083"/>
      <c r="K630" s="2083"/>
      <c r="L630" s="2083"/>
      <c r="M630" s="2083"/>
      <c r="N630" s="2084"/>
      <c r="O630" s="1730"/>
      <c r="P630" s="1731"/>
      <c r="Q630" s="1732"/>
      <c r="R630" s="1730"/>
      <c r="S630" s="1731"/>
      <c r="T630" s="1732"/>
      <c r="U630" s="2054"/>
      <c r="V630" s="2054"/>
      <c r="W630" s="2055"/>
      <c r="X630" s="1730"/>
      <c r="Y630" s="1731"/>
      <c r="Z630" s="1731"/>
      <c r="AA630" s="1731"/>
      <c r="AB630" s="1732"/>
      <c r="AC630" s="2061"/>
      <c r="AD630" s="2062"/>
      <c r="AE630" s="2063"/>
      <c r="AF630" s="1730"/>
      <c r="AG630" s="1731"/>
      <c r="AH630" s="1731"/>
      <c r="AI630" s="1731"/>
      <c r="AJ630" s="1732"/>
      <c r="AK630" s="2070"/>
      <c r="AL630" s="2071"/>
      <c r="AM630" s="2071"/>
      <c r="AN630" s="2072"/>
      <c r="AO630" s="2051"/>
      <c r="AP630" s="2051"/>
      <c r="AQ630" s="2051"/>
      <c r="AR630" s="2051"/>
      <c r="AS630" s="2051"/>
      <c r="AT630" s="72"/>
      <c r="AU630" s="72"/>
      <c r="AV630" s="72"/>
      <c r="AW630" s="72"/>
      <c r="AX630" s="72"/>
      <c r="AY630" s="72"/>
      <c r="AZ630" s="72"/>
      <c r="BN630" s="1829">
        <f>IF(J752="SRO/Studio",O752,0)</f>
        <v>0</v>
      </c>
      <c r="BO630" s="1830"/>
      <c r="BP630" s="1830"/>
      <c r="BQ630" s="1830"/>
      <c r="BR630" s="1832"/>
      <c r="BS630" s="1829">
        <f>IF(J752="1 Bedroom",O752,0)</f>
        <v>0</v>
      </c>
      <c r="BT630" s="1830"/>
      <c r="BU630" s="1830"/>
      <c r="BV630" s="1830"/>
      <c r="BW630" s="1832"/>
      <c r="BX630" s="1829">
        <f>IF(J752="2 Bedrooms",O752,0)</f>
        <v>1</v>
      </c>
      <c r="BY630" s="1830"/>
      <c r="BZ630" s="1830"/>
      <c r="CA630" s="1830"/>
      <c r="CB630" s="1832"/>
      <c r="CC630" s="1829">
        <f>IF(J752="3 Bedrooms",O752,0)</f>
        <v>0</v>
      </c>
      <c r="CD630" s="1830"/>
      <c r="CE630" s="1830"/>
      <c r="CF630" s="1830"/>
      <c r="CG630" s="1832"/>
      <c r="CH630" s="1829">
        <f>IF(J752="4 Bedrooms",O752,0)</f>
        <v>0</v>
      </c>
      <c r="CI630" s="1830"/>
      <c r="CJ630" s="1830"/>
      <c r="CK630" s="1830"/>
      <c r="CL630" s="1832"/>
      <c r="CM630" s="2148">
        <f>IF(J752="5 Bedrooms",O752,0)</f>
        <v>0</v>
      </c>
      <c r="CN630" s="2149"/>
      <c r="CO630" s="2149"/>
      <c r="CP630" s="2149"/>
      <c r="CQ630" s="1831"/>
      <c r="CR630" s="72"/>
      <c r="CS630" s="72"/>
    </row>
    <row r="631" spans="1:126" ht="12.75" customHeight="1">
      <c r="A631" s="1393"/>
      <c r="B631" s="2085"/>
      <c r="C631" s="2083"/>
      <c r="D631" s="2083"/>
      <c r="E631" s="2083"/>
      <c r="F631" s="2083"/>
      <c r="G631" s="2083"/>
      <c r="H631" s="2083"/>
      <c r="I631" s="2083"/>
      <c r="J631" s="2083"/>
      <c r="K631" s="2083"/>
      <c r="L631" s="2083"/>
      <c r="M631" s="2083"/>
      <c r="N631" s="2084"/>
      <c r="O631" s="1733"/>
      <c r="P631" s="1734"/>
      <c r="Q631" s="1735"/>
      <c r="R631" s="1733"/>
      <c r="S631" s="1734"/>
      <c r="T631" s="1735"/>
      <c r="U631" s="2056"/>
      <c r="V631" s="2056"/>
      <c r="W631" s="2057"/>
      <c r="X631" s="1733"/>
      <c r="Y631" s="1734"/>
      <c r="Z631" s="1734"/>
      <c r="AA631" s="1734"/>
      <c r="AB631" s="1735"/>
      <c r="AC631" s="2064"/>
      <c r="AD631" s="2065"/>
      <c r="AE631" s="2066"/>
      <c r="AF631" s="1733"/>
      <c r="AG631" s="1734"/>
      <c r="AH631" s="1734"/>
      <c r="AI631" s="1734"/>
      <c r="AJ631" s="1735"/>
      <c r="AK631" s="2073"/>
      <c r="AL631" s="2074"/>
      <c r="AM631" s="2074"/>
      <c r="AN631" s="2075"/>
      <c r="AO631" s="2051"/>
      <c r="AP631" s="2051"/>
      <c r="AQ631" s="2051"/>
      <c r="AR631" s="2051"/>
      <c r="AS631" s="2051"/>
      <c r="AT631" s="75"/>
      <c r="AU631" s="75"/>
      <c r="AV631" s="75"/>
      <c r="AW631" s="75"/>
      <c r="AX631" s="75"/>
      <c r="AY631" s="75"/>
      <c r="AZ631" s="75"/>
      <c r="BN631" s="1829">
        <f>IF(J753="SRO/Studio",O753,0)</f>
        <v>0</v>
      </c>
      <c r="BO631" s="1830"/>
      <c r="BP631" s="1830"/>
      <c r="BQ631" s="1830"/>
      <c r="BR631" s="1832"/>
      <c r="BS631" s="1829">
        <f>IF(J753="1 Bedroom",O753,0)</f>
        <v>0</v>
      </c>
      <c r="BT631" s="1830"/>
      <c r="BU631" s="1830"/>
      <c r="BV631" s="1830"/>
      <c r="BW631" s="1832"/>
      <c r="BX631" s="1829">
        <f>IF(J753="2 Bedrooms",O753,0)</f>
        <v>0</v>
      </c>
      <c r="BY631" s="1830"/>
      <c r="BZ631" s="1830"/>
      <c r="CA631" s="1830"/>
      <c r="CB631" s="1832"/>
      <c r="CC631" s="1829">
        <f>IF(J753="3 Bedrooms",O753,0)</f>
        <v>0</v>
      </c>
      <c r="CD631" s="1830"/>
      <c r="CE631" s="1830"/>
      <c r="CF631" s="1830"/>
      <c r="CG631" s="1832"/>
      <c r="CH631" s="1829">
        <f>IF(J753="4 Bedrooms",O753,0)</f>
        <v>0</v>
      </c>
      <c r="CI631" s="1830"/>
      <c r="CJ631" s="1830"/>
      <c r="CK631" s="1830"/>
      <c r="CL631" s="1832"/>
      <c r="CM631" s="2148">
        <f>IF(J753="5 Bedrooms",O753,0)</f>
        <v>0</v>
      </c>
      <c r="CN631" s="2149"/>
      <c r="CO631" s="2149"/>
      <c r="CP631" s="2149"/>
      <c r="CQ631" s="1831"/>
      <c r="CR631" s="72"/>
      <c r="CS631" s="72"/>
    </row>
    <row r="632" spans="1:126" ht="12.75" customHeight="1">
      <c r="B632" s="97" t="s">
        <v>1003</v>
      </c>
      <c r="C632" s="1695" t="s">
        <v>2481</v>
      </c>
      <c r="D632" s="1695"/>
      <c r="E632" s="1695"/>
      <c r="F632" s="1695"/>
      <c r="G632" s="1695"/>
      <c r="H632" s="1695"/>
      <c r="I632" s="1695"/>
      <c r="J632" s="1695"/>
      <c r="K632" s="1695"/>
      <c r="L632" s="1695"/>
      <c r="M632" s="1695"/>
      <c r="N632" s="2034"/>
      <c r="O632" s="2048">
        <f>35*12</f>
        <v>420</v>
      </c>
      <c r="P632" s="2049"/>
      <c r="Q632" s="2050"/>
      <c r="R632" s="1971"/>
      <c r="S632" s="1879"/>
      <c r="T632" s="1972"/>
      <c r="U632" s="1973">
        <v>4.2500000000000003E-2</v>
      </c>
      <c r="V632" s="1974"/>
      <c r="W632" s="1975"/>
      <c r="X632" s="1857" t="s">
        <v>2266</v>
      </c>
      <c r="Y632" s="1976"/>
      <c r="Z632" s="1976"/>
      <c r="AA632" s="1976"/>
      <c r="AB632" s="1977"/>
      <c r="AC632" s="1969">
        <v>1</v>
      </c>
      <c r="AD632" s="1725"/>
      <c r="AE632" s="1970"/>
      <c r="AF632" s="1864">
        <v>238554</v>
      </c>
      <c r="AG632" s="1865"/>
      <c r="AH632" s="1865"/>
      <c r="AI632" s="1865"/>
      <c r="AJ632" s="1866"/>
      <c r="AK632" s="2045"/>
      <c r="AL632" s="2046"/>
      <c r="AM632" s="2046"/>
      <c r="AN632" s="2047"/>
      <c r="AO632" s="1721">
        <v>4341500</v>
      </c>
      <c r="AP632" s="1721"/>
      <c r="AQ632" s="1721"/>
      <c r="AR632" s="1721"/>
      <c r="AS632" s="1721"/>
      <c r="AU632" s="75"/>
      <c r="AV632" s="75"/>
      <c r="AW632" s="75"/>
      <c r="AX632" s="75"/>
      <c r="AY632" s="75"/>
      <c r="BA632" s="72" t="s">
        <v>2266</v>
      </c>
      <c r="BC632" s="75"/>
      <c r="BD632" s="75"/>
      <c r="BN632" s="1829">
        <f>IF(J754="SRO/Studio",O754,0)</f>
        <v>0</v>
      </c>
      <c r="BO632" s="1830"/>
      <c r="BP632" s="1830"/>
      <c r="BQ632" s="1830"/>
      <c r="BR632" s="1832"/>
      <c r="BS632" s="1829">
        <f>IF(J754="1 Bedroom",O754,0)</f>
        <v>0</v>
      </c>
      <c r="BT632" s="1830"/>
      <c r="BU632" s="1830"/>
      <c r="BV632" s="1830"/>
      <c r="BW632" s="1832"/>
      <c r="BX632" s="1829">
        <f>IF(J754="2 Bedrooms",O754,0)</f>
        <v>0</v>
      </c>
      <c r="BY632" s="1830"/>
      <c r="BZ632" s="1830"/>
      <c r="CA632" s="1830"/>
      <c r="CB632" s="1832"/>
      <c r="CC632" s="1829">
        <f>IF(J754="3 Bedrooms",O754,0)</f>
        <v>0</v>
      </c>
      <c r="CD632" s="1830"/>
      <c r="CE632" s="1830"/>
      <c r="CF632" s="1830"/>
      <c r="CG632" s="1832"/>
      <c r="CH632" s="1829">
        <f>IF(J754="4 Bedrooms",O754,0)</f>
        <v>0</v>
      </c>
      <c r="CI632" s="1830"/>
      <c r="CJ632" s="1830"/>
      <c r="CK632" s="1830"/>
      <c r="CL632" s="1832"/>
      <c r="CM632" s="2148">
        <f>IF(J754="5 Bedrooms",O754,0)</f>
        <v>0</v>
      </c>
      <c r="CN632" s="2149"/>
      <c r="CO632" s="2149"/>
      <c r="CP632" s="2149"/>
      <c r="CQ632" s="1831"/>
      <c r="CR632" s="72"/>
      <c r="CS632" s="72"/>
    </row>
    <row r="633" spans="1:126" ht="12.5">
      <c r="B633" s="98" t="s">
        <v>1004</v>
      </c>
      <c r="C633" s="1695" t="str">
        <f>C561</f>
        <v>HACSB - Seller Note</v>
      </c>
      <c r="D633" s="1695"/>
      <c r="E633" s="1695"/>
      <c r="F633" s="1695"/>
      <c r="G633" s="1695"/>
      <c r="H633" s="1695"/>
      <c r="I633" s="1695"/>
      <c r="J633" s="1695"/>
      <c r="K633" s="1695"/>
      <c r="L633" s="1695"/>
      <c r="M633" s="1695"/>
      <c r="N633" s="2034"/>
      <c r="O633" s="2048">
        <f>55*12</f>
        <v>660</v>
      </c>
      <c r="P633" s="2049"/>
      <c r="Q633" s="2050"/>
      <c r="R633" s="1971"/>
      <c r="S633" s="1879"/>
      <c r="T633" s="1972"/>
      <c r="U633" s="1973">
        <v>2.07E-2</v>
      </c>
      <c r="V633" s="1974"/>
      <c r="W633" s="1975"/>
      <c r="X633" s="1857" t="s">
        <v>2266</v>
      </c>
      <c r="Y633" s="1976"/>
      <c r="Z633" s="1976"/>
      <c r="AA633" s="1976"/>
      <c r="AB633" s="1977"/>
      <c r="AC633" s="1969"/>
      <c r="AD633" s="1725"/>
      <c r="AE633" s="1970"/>
      <c r="AF633" s="1864"/>
      <c r="AG633" s="1865"/>
      <c r="AH633" s="1865"/>
      <c r="AI633" s="1865"/>
      <c r="AJ633" s="1866"/>
      <c r="AK633" s="2045"/>
      <c r="AL633" s="2046"/>
      <c r="AM633" s="2046"/>
      <c r="AN633" s="2047"/>
      <c r="AO633" s="1721">
        <f>AM561</f>
        <v>1614460</v>
      </c>
      <c r="AP633" s="1721"/>
      <c r="AQ633" s="1721"/>
      <c r="AR633" s="1721"/>
      <c r="AS633" s="1721"/>
      <c r="AU633" s="75"/>
      <c r="AV633" s="75"/>
      <c r="AW633" s="75"/>
      <c r="AX633" s="75"/>
      <c r="AY633" s="75"/>
      <c r="BA633" s="72" t="s">
        <v>864</v>
      </c>
      <c r="BC633" s="75"/>
      <c r="BD633" s="75"/>
      <c r="BN633" s="1829">
        <f>IF(J755="SRO/Studio",O755,0)</f>
        <v>0</v>
      </c>
      <c r="BO633" s="1830"/>
      <c r="BP633" s="1830"/>
      <c r="BQ633" s="1830"/>
      <c r="BR633" s="1832"/>
      <c r="BS633" s="1829">
        <f>IF(J755="1 Bedroom",O755,0)</f>
        <v>0</v>
      </c>
      <c r="BT633" s="1830"/>
      <c r="BU633" s="1830"/>
      <c r="BV633" s="1830"/>
      <c r="BW633" s="1832"/>
      <c r="BX633" s="1829">
        <f>IF(J755="2 Bedrooms",O755,0)</f>
        <v>0</v>
      </c>
      <c r="BY633" s="1830"/>
      <c r="BZ633" s="1830"/>
      <c r="CA633" s="1830"/>
      <c r="CB633" s="1832"/>
      <c r="CC633" s="1829">
        <f>IF(J755="3 Bedrooms",O755,0)</f>
        <v>0</v>
      </c>
      <c r="CD633" s="1830"/>
      <c r="CE633" s="1830"/>
      <c r="CF633" s="1830"/>
      <c r="CG633" s="1832"/>
      <c r="CH633" s="1829">
        <f>IF(J755="4 Bedrooms",O755,0)</f>
        <v>0</v>
      </c>
      <c r="CI633" s="1830"/>
      <c r="CJ633" s="1830"/>
      <c r="CK633" s="1830"/>
      <c r="CL633" s="1832"/>
      <c r="CM633" s="2148">
        <f>IF(J755="5 Bedrooms",O755,0)</f>
        <v>0</v>
      </c>
      <c r="CN633" s="2149"/>
      <c r="CO633" s="2149"/>
      <c r="CP633" s="2149"/>
      <c r="CQ633" s="1831"/>
      <c r="CR633" s="72"/>
      <c r="CS633" s="72"/>
    </row>
    <row r="634" spans="1:126" ht="13">
      <c r="B634" s="98" t="s">
        <v>1010</v>
      </c>
      <c r="C634" s="1695" t="str">
        <f>C562</f>
        <v>HACSB - Development Loan</v>
      </c>
      <c r="D634" s="1695"/>
      <c r="E634" s="1695"/>
      <c r="F634" s="1695"/>
      <c r="G634" s="1695"/>
      <c r="H634" s="1695"/>
      <c r="I634" s="1695"/>
      <c r="J634" s="1695"/>
      <c r="K634" s="1695"/>
      <c r="L634" s="1695"/>
      <c r="M634" s="1695"/>
      <c r="N634" s="2034"/>
      <c r="O634" s="2048">
        <f>O633</f>
        <v>660</v>
      </c>
      <c r="P634" s="2049"/>
      <c r="Q634" s="2050"/>
      <c r="R634" s="1971"/>
      <c r="S634" s="1879"/>
      <c r="T634" s="1972"/>
      <c r="U634" s="1973">
        <f>W562</f>
        <v>2.07E-2</v>
      </c>
      <c r="V634" s="1974"/>
      <c r="W634" s="1975"/>
      <c r="X634" s="1857" t="s">
        <v>2266</v>
      </c>
      <c r="Y634" s="1976"/>
      <c r="Z634" s="1976"/>
      <c r="AA634" s="1976"/>
      <c r="AB634" s="1977"/>
      <c r="AC634" s="1969"/>
      <c r="AD634" s="1725"/>
      <c r="AE634" s="1970"/>
      <c r="AF634" s="1864"/>
      <c r="AG634" s="1865"/>
      <c r="AH634" s="1865"/>
      <c r="AI634" s="1865"/>
      <c r="AJ634" s="1866"/>
      <c r="AK634" s="2045"/>
      <c r="AL634" s="2046"/>
      <c r="AM634" s="2046"/>
      <c r="AN634" s="2047"/>
      <c r="AO634" s="1721">
        <f>AM562</f>
        <v>2000000</v>
      </c>
      <c r="AP634" s="1721"/>
      <c r="AQ634" s="1721"/>
      <c r="AR634" s="1721"/>
      <c r="AS634" s="1721"/>
      <c r="AU634" s="75"/>
      <c r="AV634" s="75"/>
      <c r="AW634" s="75"/>
      <c r="AX634" s="75"/>
      <c r="AY634" s="75"/>
      <c r="AZ634" s="75"/>
      <c r="BA634" s="72" t="s">
        <v>863</v>
      </c>
      <c r="BB634" s="75"/>
      <c r="BC634" s="75"/>
      <c r="BD634" s="75"/>
      <c r="BN634" s="2151">
        <f>SUM(BN630:BR633)</f>
        <v>0</v>
      </c>
      <c r="BO634" s="2152"/>
      <c r="BP634" s="2152"/>
      <c r="BQ634" s="2152"/>
      <c r="BR634" s="2153"/>
      <c r="BS634" s="2151">
        <f>SUM(BS630:BW633)</f>
        <v>0</v>
      </c>
      <c r="BT634" s="2152"/>
      <c r="BU634" s="2152"/>
      <c r="BV634" s="2152"/>
      <c r="BW634" s="2153"/>
      <c r="BX634" s="2151">
        <f>SUM(BX630:CB633)</f>
        <v>1</v>
      </c>
      <c r="BY634" s="2152"/>
      <c r="BZ634" s="2152"/>
      <c r="CA634" s="2152"/>
      <c r="CB634" s="2153"/>
      <c r="CC634" s="2151">
        <f>SUM(CC630:CG633)</f>
        <v>0</v>
      </c>
      <c r="CD634" s="2152"/>
      <c r="CE634" s="2152"/>
      <c r="CF634" s="2152"/>
      <c r="CG634" s="2153"/>
      <c r="CH634" s="2151">
        <f>SUM(CH630:CL633)</f>
        <v>0</v>
      </c>
      <c r="CI634" s="2152"/>
      <c r="CJ634" s="2152"/>
      <c r="CK634" s="2152"/>
      <c r="CL634" s="2153"/>
      <c r="CM634" s="2151">
        <f>SUM(CM630:CQ633)</f>
        <v>0</v>
      </c>
      <c r="CN634" s="2152"/>
      <c r="CO634" s="2152"/>
      <c r="CP634" s="2152"/>
      <c r="CQ634" s="2153"/>
      <c r="CS634" s="737">
        <f>BN634+BS634+BX634+CC634+CH634+CM634</f>
        <v>1</v>
      </c>
      <c r="CT634" s="142" t="s">
        <v>2270</v>
      </c>
      <c r="CU634" s="72"/>
    </row>
    <row r="635" spans="1:126" ht="12.5">
      <c r="B635" s="98" t="s">
        <v>480</v>
      </c>
      <c r="C635" s="1695" t="str">
        <f>C563</f>
        <v>County of Ventura HOME</v>
      </c>
      <c r="D635" s="1695"/>
      <c r="E635" s="1695"/>
      <c r="F635" s="1695"/>
      <c r="G635" s="1695"/>
      <c r="H635" s="1695"/>
      <c r="I635" s="1695"/>
      <c r="J635" s="1695"/>
      <c r="K635" s="1695"/>
      <c r="L635" s="1695"/>
      <c r="M635" s="1695"/>
      <c r="N635" s="2034"/>
      <c r="O635" s="2048">
        <f>O633</f>
        <v>660</v>
      </c>
      <c r="P635" s="2049"/>
      <c r="Q635" s="2050"/>
      <c r="R635" s="1971"/>
      <c r="S635" s="1879"/>
      <c r="T635" s="1972"/>
      <c r="U635" s="1973">
        <v>0.03</v>
      </c>
      <c r="V635" s="1974"/>
      <c r="W635" s="1975"/>
      <c r="X635" s="1857" t="s">
        <v>2266</v>
      </c>
      <c r="Y635" s="1976"/>
      <c r="Z635" s="1976"/>
      <c r="AA635" s="1976"/>
      <c r="AB635" s="1977"/>
      <c r="AC635" s="1969"/>
      <c r="AD635" s="1725"/>
      <c r="AE635" s="1970"/>
      <c r="AF635" s="1864"/>
      <c r="AG635" s="1865"/>
      <c r="AH635" s="1865"/>
      <c r="AI635" s="1865"/>
      <c r="AJ635" s="1866"/>
      <c r="AK635" s="2045"/>
      <c r="AL635" s="2046"/>
      <c r="AM635" s="2046"/>
      <c r="AN635" s="2047"/>
      <c r="AO635" s="1721">
        <f>AM563</f>
        <v>660011</v>
      </c>
      <c r="AP635" s="1721"/>
      <c r="AQ635" s="1721"/>
      <c r="AR635" s="1721"/>
      <c r="AS635" s="1721"/>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188</v>
      </c>
      <c r="C636" s="1695" t="str">
        <f>C564</f>
        <v>County of Ventura CDBG-DR</v>
      </c>
      <c r="D636" s="1695"/>
      <c r="E636" s="1695"/>
      <c r="F636" s="1695"/>
      <c r="G636" s="1695"/>
      <c r="H636" s="1695"/>
      <c r="I636" s="1695"/>
      <c r="J636" s="1695"/>
      <c r="K636" s="1695"/>
      <c r="L636" s="1695"/>
      <c r="M636" s="1695"/>
      <c r="N636" s="2034"/>
      <c r="O636" s="2048">
        <f>20*12</f>
        <v>240</v>
      </c>
      <c r="P636" s="2049"/>
      <c r="Q636" s="2050"/>
      <c r="R636" s="1971"/>
      <c r="S636" s="1879"/>
      <c r="T636" s="1972"/>
      <c r="U636" s="1973">
        <v>0.03</v>
      </c>
      <c r="V636" s="1974"/>
      <c r="W636" s="1975"/>
      <c r="X636" s="1857" t="s">
        <v>2266</v>
      </c>
      <c r="Y636" s="1976"/>
      <c r="Z636" s="1976"/>
      <c r="AA636" s="1976"/>
      <c r="AB636" s="1977"/>
      <c r="AC636" s="1969"/>
      <c r="AD636" s="1725"/>
      <c r="AE636" s="1970"/>
      <c r="AF636" s="1864"/>
      <c r="AG636" s="1865"/>
      <c r="AH636" s="1865"/>
      <c r="AI636" s="1865"/>
      <c r="AJ636" s="1866"/>
      <c r="AK636" s="2045"/>
      <c r="AL636" s="2046"/>
      <c r="AM636" s="2046"/>
      <c r="AN636" s="2047"/>
      <c r="AO636" s="1721">
        <f>AM564</f>
        <v>805549</v>
      </c>
      <c r="AP636" s="1721"/>
      <c r="AQ636" s="1721"/>
      <c r="AR636" s="1721"/>
      <c r="AS636" s="1721"/>
      <c r="AT636" s="75"/>
      <c r="AU636" s="75"/>
      <c r="AV636" s="75"/>
      <c r="AW636" s="75"/>
      <c r="AX636" s="75"/>
      <c r="AY636" s="75"/>
      <c r="AZ636" s="75"/>
      <c r="BA636" s="72" t="s">
        <v>548</v>
      </c>
      <c r="BN636" s="1829">
        <f t="shared" ref="BN636:BN645" si="16">IF(J766="SRO/Studio",O766,0)</f>
        <v>0</v>
      </c>
      <c r="BO636" s="1830"/>
      <c r="BP636" s="1830"/>
      <c r="BQ636" s="1830"/>
      <c r="BR636" s="1832"/>
      <c r="BS636" s="1829">
        <f t="shared" ref="BS636:BS645" si="17">IF(J766="1 Bedroom",O766,0)</f>
        <v>0</v>
      </c>
      <c r="BT636" s="1830"/>
      <c r="BU636" s="1830"/>
      <c r="BV636" s="1830"/>
      <c r="BW636" s="1832"/>
      <c r="BX636" s="1829">
        <f t="shared" ref="BX636:BX645" si="18">IF(J766="2 Bedrooms",O766,0)</f>
        <v>0</v>
      </c>
      <c r="BY636" s="1830"/>
      <c r="BZ636" s="1830"/>
      <c r="CA636" s="1830"/>
      <c r="CB636" s="1832"/>
      <c r="CC636" s="1829">
        <f t="shared" ref="CC636:CC645" si="19">IF(J766="3 Bedrooms",O766,0)</f>
        <v>0</v>
      </c>
      <c r="CD636" s="1830"/>
      <c r="CE636" s="1830"/>
      <c r="CF636" s="1830"/>
      <c r="CG636" s="1832"/>
      <c r="CH636" s="1829">
        <f t="shared" ref="CH636:CH645" si="20">IF(J766="4 Bedrooms",O766,0)</f>
        <v>0</v>
      </c>
      <c r="CI636" s="1830"/>
      <c r="CJ636" s="1830"/>
      <c r="CK636" s="1830"/>
      <c r="CL636" s="1832"/>
      <c r="CM636" s="1829">
        <f t="shared" ref="CM636:CM645" si="21">IF(J766="5 Bedrooms",O766,0)</f>
        <v>0</v>
      </c>
      <c r="CN636" s="1830"/>
      <c r="CO636" s="1830"/>
      <c r="CP636" s="1830"/>
      <c r="CQ636" s="1832"/>
      <c r="CR636" s="72"/>
      <c r="CS636" s="72"/>
    </row>
    <row r="637" spans="1:126" ht="12.5">
      <c r="B637" s="98" t="s">
        <v>483</v>
      </c>
      <c r="C637" s="1695" t="str">
        <f>C565</f>
        <v>HCD Infill Infrastructure Grant Program</v>
      </c>
      <c r="D637" s="1695"/>
      <c r="E637" s="1695"/>
      <c r="F637" s="1695"/>
      <c r="G637" s="1695"/>
      <c r="H637" s="1695"/>
      <c r="I637" s="1695"/>
      <c r="J637" s="1695"/>
      <c r="K637" s="1695"/>
      <c r="L637" s="1695"/>
      <c r="M637" s="1695"/>
      <c r="N637" s="2034"/>
      <c r="O637" s="2048">
        <f>57*12</f>
        <v>684</v>
      </c>
      <c r="P637" s="2049"/>
      <c r="Q637" s="2050"/>
      <c r="R637" s="1971"/>
      <c r="S637" s="1879"/>
      <c r="T637" s="1972"/>
      <c r="U637" s="1973">
        <v>0</v>
      </c>
      <c r="V637" s="1974"/>
      <c r="W637" s="1975"/>
      <c r="X637" s="1857" t="s">
        <v>2266</v>
      </c>
      <c r="Y637" s="1976"/>
      <c r="Z637" s="1976"/>
      <c r="AA637" s="1976"/>
      <c r="AB637" s="1977"/>
      <c r="AC637" s="1969"/>
      <c r="AD637" s="1725"/>
      <c r="AE637" s="1970"/>
      <c r="AF637" s="1864"/>
      <c r="AG637" s="1865"/>
      <c r="AH637" s="1865"/>
      <c r="AI637" s="1865"/>
      <c r="AJ637" s="1866"/>
      <c r="AK637" s="2045"/>
      <c r="AL637" s="2046"/>
      <c r="AM637" s="2046"/>
      <c r="AN637" s="2047"/>
      <c r="AO637" s="1721">
        <f>AM565</f>
        <v>2492956</v>
      </c>
      <c r="AP637" s="1721"/>
      <c r="AQ637" s="1721"/>
      <c r="AR637" s="1721"/>
      <c r="AS637" s="1721"/>
      <c r="AT637" s="75"/>
      <c r="AU637" s="75"/>
      <c r="AV637" s="75"/>
      <c r="AW637" s="75"/>
      <c r="AX637" s="75"/>
      <c r="AY637" s="75"/>
      <c r="AZ637" s="75"/>
      <c r="BN637" s="1829">
        <f t="shared" si="16"/>
        <v>0</v>
      </c>
      <c r="BO637" s="1830"/>
      <c r="BP637" s="1830"/>
      <c r="BQ637" s="1830"/>
      <c r="BR637" s="1832"/>
      <c r="BS637" s="1829">
        <f t="shared" si="17"/>
        <v>0</v>
      </c>
      <c r="BT637" s="1830"/>
      <c r="BU637" s="1830"/>
      <c r="BV637" s="1830"/>
      <c r="BW637" s="1832"/>
      <c r="BX637" s="1829">
        <f t="shared" si="18"/>
        <v>0</v>
      </c>
      <c r="BY637" s="1830"/>
      <c r="BZ637" s="1830"/>
      <c r="CA637" s="1830"/>
      <c r="CB637" s="1832"/>
      <c r="CC637" s="1829">
        <f t="shared" si="19"/>
        <v>0</v>
      </c>
      <c r="CD637" s="1830"/>
      <c r="CE637" s="1830"/>
      <c r="CF637" s="1830"/>
      <c r="CG637" s="1832"/>
      <c r="CH637" s="1829">
        <f t="shared" si="20"/>
        <v>0</v>
      </c>
      <c r="CI637" s="1830"/>
      <c r="CJ637" s="1830"/>
      <c r="CK637" s="1830"/>
      <c r="CL637" s="1832"/>
      <c r="CM637" s="1829">
        <f t="shared" si="21"/>
        <v>0</v>
      </c>
      <c r="CN637" s="1830"/>
      <c r="CO637" s="1830"/>
      <c r="CP637" s="1830"/>
      <c r="CQ637" s="1832"/>
      <c r="CR637" s="72"/>
      <c r="CS637" s="72"/>
    </row>
    <row r="638" spans="1:126" ht="12.5">
      <c r="B638" s="98" t="s">
        <v>809</v>
      </c>
      <c r="C638" s="1695" t="s">
        <v>2483</v>
      </c>
      <c r="D638" s="1695"/>
      <c r="E638" s="1695"/>
      <c r="F638" s="1695"/>
      <c r="G638" s="1695"/>
      <c r="H638" s="1695"/>
      <c r="I638" s="1695"/>
      <c r="J638" s="1695"/>
      <c r="K638" s="1695"/>
      <c r="L638" s="1695"/>
      <c r="M638" s="1695"/>
      <c r="N638" s="2034"/>
      <c r="O638" s="2048">
        <f>O633</f>
        <v>660</v>
      </c>
      <c r="P638" s="2049"/>
      <c r="Q638" s="2050"/>
      <c r="R638" s="1971"/>
      <c r="S638" s="1879"/>
      <c r="T638" s="1972"/>
      <c r="U638" s="1973">
        <v>0</v>
      </c>
      <c r="V638" s="1974"/>
      <c r="W638" s="1975"/>
      <c r="X638" s="1857" t="s">
        <v>2266</v>
      </c>
      <c r="Y638" s="1976"/>
      <c r="Z638" s="1976"/>
      <c r="AA638" s="1976"/>
      <c r="AB638" s="1977"/>
      <c r="AC638" s="1969"/>
      <c r="AD638" s="1725"/>
      <c r="AE638" s="1970"/>
      <c r="AF638" s="1864"/>
      <c r="AG638" s="1865"/>
      <c r="AH638" s="1865"/>
      <c r="AI638" s="1865"/>
      <c r="AJ638" s="1866"/>
      <c r="AK638" s="2045"/>
      <c r="AL638" s="2046"/>
      <c r="AM638" s="2046"/>
      <c r="AN638" s="2047"/>
      <c r="AO638" s="1721">
        <v>4529506</v>
      </c>
      <c r="AP638" s="1721"/>
      <c r="AQ638" s="1721"/>
      <c r="AR638" s="1721"/>
      <c r="AS638" s="1721"/>
      <c r="AT638" s="75"/>
      <c r="AU638" s="75"/>
      <c r="AV638" s="75"/>
      <c r="AW638" s="75"/>
      <c r="AX638" s="75"/>
      <c r="AY638" s="75"/>
      <c r="AZ638" s="75"/>
      <c r="BN638" s="1829">
        <f t="shared" si="16"/>
        <v>0</v>
      </c>
      <c r="BO638" s="1830"/>
      <c r="BP638" s="1830"/>
      <c r="BQ638" s="1830"/>
      <c r="BR638" s="1832"/>
      <c r="BS638" s="1829">
        <f t="shared" si="17"/>
        <v>0</v>
      </c>
      <c r="BT638" s="1830"/>
      <c r="BU638" s="1830"/>
      <c r="BV638" s="1830"/>
      <c r="BW638" s="1832"/>
      <c r="BX638" s="1829">
        <f t="shared" si="18"/>
        <v>0</v>
      </c>
      <c r="BY638" s="1830"/>
      <c r="BZ638" s="1830"/>
      <c r="CA638" s="1830"/>
      <c r="CB638" s="1832"/>
      <c r="CC638" s="1829">
        <f t="shared" si="19"/>
        <v>0</v>
      </c>
      <c r="CD638" s="1830"/>
      <c r="CE638" s="1830"/>
      <c r="CF638" s="1830"/>
      <c r="CG638" s="1832"/>
      <c r="CH638" s="1829">
        <f t="shared" si="20"/>
        <v>0</v>
      </c>
      <c r="CI638" s="1830"/>
      <c r="CJ638" s="1830"/>
      <c r="CK638" s="1830"/>
      <c r="CL638" s="1832"/>
      <c r="CM638" s="1829">
        <f t="shared" si="21"/>
        <v>0</v>
      </c>
      <c r="CN638" s="1830"/>
      <c r="CO638" s="1830"/>
      <c r="CP638" s="1830"/>
      <c r="CQ638" s="1832"/>
      <c r="CR638" s="72"/>
      <c r="CS638" s="72"/>
    </row>
    <row r="639" spans="1:126" ht="12.5">
      <c r="B639" s="98" t="s">
        <v>810</v>
      </c>
      <c r="C639" s="1695" t="s">
        <v>2533</v>
      </c>
      <c r="D639" s="1695"/>
      <c r="E639" s="1695"/>
      <c r="F639" s="1695"/>
      <c r="G639" s="1695"/>
      <c r="H639" s="1695"/>
      <c r="I639" s="1695"/>
      <c r="J639" s="1695"/>
      <c r="K639" s="1695"/>
      <c r="L639" s="1695"/>
      <c r="M639" s="1695"/>
      <c r="N639" s="2034"/>
      <c r="O639" s="2048"/>
      <c r="P639" s="2049"/>
      <c r="Q639" s="2050"/>
      <c r="R639" s="1971"/>
      <c r="S639" s="1879"/>
      <c r="T639" s="1972"/>
      <c r="U639" s="1973">
        <v>0</v>
      </c>
      <c r="V639" s="1974"/>
      <c r="W639" s="1975"/>
      <c r="X639" s="1857" t="s">
        <v>2266</v>
      </c>
      <c r="Y639" s="1976"/>
      <c r="Z639" s="1976"/>
      <c r="AA639" s="1976"/>
      <c r="AB639" s="1977"/>
      <c r="AC639" s="1969"/>
      <c r="AD639" s="1725"/>
      <c r="AE639" s="1970"/>
      <c r="AF639" s="1864"/>
      <c r="AG639" s="1865"/>
      <c r="AH639" s="1865"/>
      <c r="AI639" s="1865"/>
      <c r="AJ639" s="1866"/>
      <c r="AK639" s="2045"/>
      <c r="AL639" s="2046"/>
      <c r="AM639" s="2046"/>
      <c r="AN639" s="2047"/>
      <c r="AO639" s="1721">
        <f>AM568</f>
        <v>157578</v>
      </c>
      <c r="AP639" s="1721"/>
      <c r="AQ639" s="1721"/>
      <c r="AR639" s="1721"/>
      <c r="AS639" s="1721"/>
      <c r="AT639" s="75"/>
      <c r="AU639" s="75"/>
      <c r="AV639" s="75"/>
      <c r="AW639" s="75"/>
      <c r="AX639" s="75"/>
      <c r="AY639" s="75"/>
      <c r="AZ639" s="75"/>
      <c r="BN639" s="1829">
        <f t="shared" si="16"/>
        <v>0</v>
      </c>
      <c r="BO639" s="1830"/>
      <c r="BP639" s="1830"/>
      <c r="BQ639" s="1830"/>
      <c r="BR639" s="1832"/>
      <c r="BS639" s="1829">
        <f t="shared" si="17"/>
        <v>0</v>
      </c>
      <c r="BT639" s="1830"/>
      <c r="BU639" s="1830"/>
      <c r="BV639" s="1830"/>
      <c r="BW639" s="1832"/>
      <c r="BX639" s="1829">
        <f t="shared" si="18"/>
        <v>0</v>
      </c>
      <c r="BY639" s="1830"/>
      <c r="BZ639" s="1830"/>
      <c r="CA639" s="1830"/>
      <c r="CB639" s="1832"/>
      <c r="CC639" s="1829">
        <f t="shared" si="19"/>
        <v>0</v>
      </c>
      <c r="CD639" s="1830"/>
      <c r="CE639" s="1830"/>
      <c r="CF639" s="1830"/>
      <c r="CG639" s="1832"/>
      <c r="CH639" s="1829">
        <f t="shared" si="20"/>
        <v>0</v>
      </c>
      <c r="CI639" s="1830"/>
      <c r="CJ639" s="1830"/>
      <c r="CK639" s="1830"/>
      <c r="CL639" s="1832"/>
      <c r="CM639" s="1829">
        <f t="shared" si="21"/>
        <v>0</v>
      </c>
      <c r="CN639" s="1830"/>
      <c r="CO639" s="1830"/>
      <c r="CP639" s="1830"/>
      <c r="CQ639" s="1832"/>
      <c r="CR639" s="72"/>
      <c r="CS639" s="72"/>
    </row>
    <row r="640" spans="1:126" ht="12.5">
      <c r="B640" s="98" t="s">
        <v>605</v>
      </c>
      <c r="C640" s="1695"/>
      <c r="D640" s="1695"/>
      <c r="E640" s="1695"/>
      <c r="F640" s="1695"/>
      <c r="G640" s="1695"/>
      <c r="H640" s="1695"/>
      <c r="I640" s="1695"/>
      <c r="J640" s="1695"/>
      <c r="K640" s="1695"/>
      <c r="L640" s="1695"/>
      <c r="M640" s="1695"/>
      <c r="N640" s="2034"/>
      <c r="O640" s="2048"/>
      <c r="P640" s="2049"/>
      <c r="Q640" s="2050"/>
      <c r="R640" s="1971"/>
      <c r="S640" s="1879"/>
      <c r="T640" s="1972"/>
      <c r="U640" s="1973"/>
      <c r="V640" s="1974"/>
      <c r="W640" s="1975"/>
      <c r="X640" s="1857" t="s">
        <v>2266</v>
      </c>
      <c r="Y640" s="1976"/>
      <c r="Z640" s="1976"/>
      <c r="AA640" s="1976"/>
      <c r="AB640" s="1977"/>
      <c r="AC640" s="1969"/>
      <c r="AD640" s="1725"/>
      <c r="AE640" s="1970"/>
      <c r="AF640" s="1864"/>
      <c r="AG640" s="1865"/>
      <c r="AH640" s="1865"/>
      <c r="AI640" s="1865"/>
      <c r="AJ640" s="1866"/>
      <c r="AK640" s="2045"/>
      <c r="AL640" s="2046"/>
      <c r="AM640" s="2046"/>
      <c r="AN640" s="2047"/>
      <c r="AO640" s="1721"/>
      <c r="AP640" s="1721"/>
      <c r="AQ640" s="1721"/>
      <c r="AR640" s="1721"/>
      <c r="AS640" s="1721"/>
      <c r="AT640" s="72"/>
      <c r="AU640" s="72"/>
      <c r="AV640" s="72"/>
      <c r="AW640" s="72"/>
      <c r="AX640" s="72"/>
      <c r="AY640" s="72"/>
      <c r="AZ640" s="72"/>
      <c r="BN640" s="1829">
        <f t="shared" si="16"/>
        <v>0</v>
      </c>
      <c r="BO640" s="1830"/>
      <c r="BP640" s="1830"/>
      <c r="BQ640" s="1830"/>
      <c r="BR640" s="1832"/>
      <c r="BS640" s="1829">
        <f t="shared" si="17"/>
        <v>0</v>
      </c>
      <c r="BT640" s="1830"/>
      <c r="BU640" s="1830"/>
      <c r="BV640" s="1830"/>
      <c r="BW640" s="1832"/>
      <c r="BX640" s="1829">
        <f t="shared" si="18"/>
        <v>0</v>
      </c>
      <c r="BY640" s="1830"/>
      <c r="BZ640" s="1830"/>
      <c r="CA640" s="1830"/>
      <c r="CB640" s="1832"/>
      <c r="CC640" s="1829">
        <f t="shared" si="19"/>
        <v>0</v>
      </c>
      <c r="CD640" s="1830"/>
      <c r="CE640" s="1830"/>
      <c r="CF640" s="1830"/>
      <c r="CG640" s="1832"/>
      <c r="CH640" s="1829">
        <f t="shared" si="20"/>
        <v>0</v>
      </c>
      <c r="CI640" s="1830"/>
      <c r="CJ640" s="1830"/>
      <c r="CK640" s="1830"/>
      <c r="CL640" s="1832"/>
      <c r="CM640" s="1829">
        <f t="shared" si="21"/>
        <v>0</v>
      </c>
      <c r="CN640" s="1830"/>
      <c r="CO640" s="1830"/>
      <c r="CP640" s="1830"/>
      <c r="CQ640" s="1832"/>
      <c r="CR640" s="72"/>
      <c r="CS640" s="72"/>
    </row>
    <row r="641" spans="1:97" ht="12.5">
      <c r="B641" s="98" t="s">
        <v>191</v>
      </c>
      <c r="C641" s="1695"/>
      <c r="D641" s="1695"/>
      <c r="E641" s="1695"/>
      <c r="F641" s="1695"/>
      <c r="G641" s="1695"/>
      <c r="H641" s="1695"/>
      <c r="I641" s="1695"/>
      <c r="J641" s="1695"/>
      <c r="K641" s="1695"/>
      <c r="L641" s="1695"/>
      <c r="M641" s="1695"/>
      <c r="N641" s="2034"/>
      <c r="O641" s="2048"/>
      <c r="P641" s="2049"/>
      <c r="Q641" s="2050"/>
      <c r="R641" s="1971"/>
      <c r="S641" s="1879"/>
      <c r="T641" s="1972"/>
      <c r="U641" s="1973"/>
      <c r="V641" s="1974"/>
      <c r="W641" s="1975"/>
      <c r="X641" s="1857" t="s">
        <v>2266</v>
      </c>
      <c r="Y641" s="1976"/>
      <c r="Z641" s="1976"/>
      <c r="AA641" s="1976"/>
      <c r="AB641" s="1977"/>
      <c r="AC641" s="1969"/>
      <c r="AD641" s="1725"/>
      <c r="AE641" s="1970"/>
      <c r="AF641" s="1864"/>
      <c r="AG641" s="1865"/>
      <c r="AH641" s="1865"/>
      <c r="AI641" s="1865"/>
      <c r="AJ641" s="1866"/>
      <c r="AK641" s="2045"/>
      <c r="AL641" s="2046"/>
      <c r="AM641" s="2046"/>
      <c r="AN641" s="2047"/>
      <c r="AO641" s="1721"/>
      <c r="AP641" s="1721"/>
      <c r="AQ641" s="1721"/>
      <c r="AR641" s="1721"/>
      <c r="AS641" s="1721"/>
      <c r="AT641" s="72"/>
      <c r="AU641" s="72"/>
      <c r="AV641" s="72"/>
      <c r="AW641" s="72"/>
      <c r="AX641" s="72"/>
      <c r="AY641" s="72"/>
      <c r="AZ641" s="72"/>
      <c r="BN641" s="1829">
        <f t="shared" si="16"/>
        <v>0</v>
      </c>
      <c r="BO641" s="1830"/>
      <c r="BP641" s="1830"/>
      <c r="BQ641" s="1830"/>
      <c r="BR641" s="1832"/>
      <c r="BS641" s="1829">
        <f t="shared" si="17"/>
        <v>0</v>
      </c>
      <c r="BT641" s="1830"/>
      <c r="BU641" s="1830"/>
      <c r="BV641" s="1830"/>
      <c r="BW641" s="1832"/>
      <c r="BX641" s="1829">
        <f t="shared" si="18"/>
        <v>0</v>
      </c>
      <c r="BY641" s="1830"/>
      <c r="BZ641" s="1830"/>
      <c r="CA641" s="1830"/>
      <c r="CB641" s="1832"/>
      <c r="CC641" s="1829">
        <f t="shared" si="19"/>
        <v>0</v>
      </c>
      <c r="CD641" s="1830"/>
      <c r="CE641" s="1830"/>
      <c r="CF641" s="1830"/>
      <c r="CG641" s="1832"/>
      <c r="CH641" s="1829">
        <f t="shared" si="20"/>
        <v>0</v>
      </c>
      <c r="CI641" s="1830"/>
      <c r="CJ641" s="1830"/>
      <c r="CK641" s="1830"/>
      <c r="CL641" s="1832"/>
      <c r="CM641" s="1829">
        <f t="shared" si="21"/>
        <v>0</v>
      </c>
      <c r="CN641" s="1830"/>
      <c r="CO641" s="1830"/>
      <c r="CP641" s="1830"/>
      <c r="CQ641" s="1832"/>
      <c r="CR641" s="72"/>
      <c r="CS641" s="72"/>
    </row>
    <row r="642" spans="1:97" ht="12.5">
      <c r="B642" s="98" t="s">
        <v>37</v>
      </c>
      <c r="C642" s="1695"/>
      <c r="D642" s="1695"/>
      <c r="E642" s="1695"/>
      <c r="F642" s="1695"/>
      <c r="G642" s="1695"/>
      <c r="H642" s="1695"/>
      <c r="I642" s="1695"/>
      <c r="J642" s="1695"/>
      <c r="K642" s="1695"/>
      <c r="L642" s="1695"/>
      <c r="M642" s="1695"/>
      <c r="N642" s="2034"/>
      <c r="O642" s="2048"/>
      <c r="P642" s="2049"/>
      <c r="Q642" s="2050"/>
      <c r="R642" s="1971"/>
      <c r="S642" s="1879"/>
      <c r="T642" s="1972"/>
      <c r="U642" s="1973"/>
      <c r="V642" s="1974"/>
      <c r="W642" s="1975"/>
      <c r="X642" s="1857" t="s">
        <v>2266</v>
      </c>
      <c r="Y642" s="1976"/>
      <c r="Z642" s="1976"/>
      <c r="AA642" s="1976"/>
      <c r="AB642" s="1977"/>
      <c r="AC642" s="1969"/>
      <c r="AD642" s="1725"/>
      <c r="AE642" s="1970"/>
      <c r="AF642" s="1864"/>
      <c r="AG642" s="1865"/>
      <c r="AH642" s="1865"/>
      <c r="AI642" s="1865"/>
      <c r="AJ642" s="1866"/>
      <c r="AK642" s="2045"/>
      <c r="AL642" s="2046"/>
      <c r="AM642" s="2046"/>
      <c r="AN642" s="2047"/>
      <c r="AO642" s="1721"/>
      <c r="AP642" s="1721"/>
      <c r="AQ642" s="1721"/>
      <c r="AR642" s="1721"/>
      <c r="AS642" s="1721"/>
      <c r="AT642" s="72"/>
      <c r="AU642" s="72"/>
      <c r="AV642" s="72"/>
      <c r="AW642" s="72"/>
      <c r="AX642" s="72"/>
      <c r="AY642" s="72"/>
      <c r="AZ642" s="72"/>
      <c r="BN642" s="1829">
        <f t="shared" si="16"/>
        <v>0</v>
      </c>
      <c r="BO642" s="1830"/>
      <c r="BP642" s="1830"/>
      <c r="BQ642" s="1830"/>
      <c r="BR642" s="1832"/>
      <c r="BS642" s="1829">
        <f t="shared" si="17"/>
        <v>0</v>
      </c>
      <c r="BT642" s="1830"/>
      <c r="BU642" s="1830"/>
      <c r="BV642" s="1830"/>
      <c r="BW642" s="1832"/>
      <c r="BX642" s="1829">
        <f t="shared" si="18"/>
        <v>0</v>
      </c>
      <c r="BY642" s="1830"/>
      <c r="BZ642" s="1830"/>
      <c r="CA642" s="1830"/>
      <c r="CB642" s="1832"/>
      <c r="CC642" s="1829">
        <f t="shared" si="19"/>
        <v>0</v>
      </c>
      <c r="CD642" s="1830"/>
      <c r="CE642" s="1830"/>
      <c r="CF642" s="1830"/>
      <c r="CG642" s="1832"/>
      <c r="CH642" s="1829">
        <f t="shared" si="20"/>
        <v>0</v>
      </c>
      <c r="CI642" s="1830"/>
      <c r="CJ642" s="1830"/>
      <c r="CK642" s="1830"/>
      <c r="CL642" s="1832"/>
      <c r="CM642" s="1829">
        <f t="shared" si="21"/>
        <v>0</v>
      </c>
      <c r="CN642" s="1830"/>
      <c r="CO642" s="1830"/>
      <c r="CP642" s="1830"/>
      <c r="CQ642" s="1832"/>
      <c r="CR642" s="72"/>
      <c r="CS642" s="72"/>
    </row>
    <row r="643" spans="1:97" ht="12.75" customHeight="1">
      <c r="B643" s="98" t="s">
        <v>38</v>
      </c>
      <c r="C643" s="1695"/>
      <c r="D643" s="1695"/>
      <c r="E643" s="1695"/>
      <c r="F643" s="1695"/>
      <c r="G643" s="1695"/>
      <c r="H643" s="1695"/>
      <c r="I643" s="1695"/>
      <c r="J643" s="1695"/>
      <c r="K643" s="1695"/>
      <c r="L643" s="1695"/>
      <c r="M643" s="1695"/>
      <c r="N643" s="2034"/>
      <c r="O643" s="2048"/>
      <c r="P643" s="2049"/>
      <c r="Q643" s="2050"/>
      <c r="R643" s="1971"/>
      <c r="S643" s="1879"/>
      <c r="T643" s="1972"/>
      <c r="U643" s="1973"/>
      <c r="V643" s="1974"/>
      <c r="W643" s="1975"/>
      <c r="X643" s="1857" t="s">
        <v>2266</v>
      </c>
      <c r="Y643" s="1976"/>
      <c r="Z643" s="1976"/>
      <c r="AA643" s="1976"/>
      <c r="AB643" s="1977"/>
      <c r="AC643" s="1969"/>
      <c r="AD643" s="1725"/>
      <c r="AE643" s="1970"/>
      <c r="AF643" s="1864"/>
      <c r="AG643" s="1865"/>
      <c r="AH643" s="1865"/>
      <c r="AI643" s="1865"/>
      <c r="AJ643" s="1866"/>
      <c r="AK643" s="2045"/>
      <c r="AL643" s="2046"/>
      <c r="AM643" s="2046"/>
      <c r="AN643" s="2047"/>
      <c r="AO643" s="1721"/>
      <c r="AP643" s="1721"/>
      <c r="AQ643" s="1721"/>
      <c r="AR643" s="1721"/>
      <c r="AS643" s="1721"/>
      <c r="AT643" s="75"/>
      <c r="AU643" s="75"/>
      <c r="AV643" s="75"/>
      <c r="AW643" s="75"/>
      <c r="AX643" s="75"/>
      <c r="AY643" s="75"/>
      <c r="AZ643" s="75"/>
      <c r="BN643" s="1829">
        <f t="shared" si="16"/>
        <v>0</v>
      </c>
      <c r="BO643" s="1830"/>
      <c r="BP643" s="1830"/>
      <c r="BQ643" s="1830"/>
      <c r="BR643" s="1832"/>
      <c r="BS643" s="1829">
        <f t="shared" si="17"/>
        <v>0</v>
      </c>
      <c r="BT643" s="1830"/>
      <c r="BU643" s="1830"/>
      <c r="BV643" s="1830"/>
      <c r="BW643" s="1832"/>
      <c r="BX643" s="1829">
        <f t="shared" si="18"/>
        <v>0</v>
      </c>
      <c r="BY643" s="1830"/>
      <c r="BZ643" s="1830"/>
      <c r="CA643" s="1830"/>
      <c r="CB643" s="1832"/>
      <c r="CC643" s="1829">
        <f t="shared" si="19"/>
        <v>0</v>
      </c>
      <c r="CD643" s="1830"/>
      <c r="CE643" s="1830"/>
      <c r="CF643" s="1830"/>
      <c r="CG643" s="1832"/>
      <c r="CH643" s="1829">
        <f t="shared" si="20"/>
        <v>0</v>
      </c>
      <c r="CI643" s="1830"/>
      <c r="CJ643" s="1830"/>
      <c r="CK643" s="1830"/>
      <c r="CL643" s="1832"/>
      <c r="CM643" s="1829">
        <f t="shared" si="21"/>
        <v>0</v>
      </c>
      <c r="CN643" s="1830"/>
      <c r="CO643" s="1830"/>
      <c r="CP643" s="1830"/>
      <c r="CQ643" s="1832"/>
      <c r="CR643" s="72"/>
      <c r="CS643" s="72"/>
    </row>
    <row r="644" spans="1:97" ht="12.75" customHeight="1">
      <c r="B644" s="1910" t="s">
        <v>402</v>
      </c>
      <c r="C644" s="1911"/>
      <c r="D644" s="1911"/>
      <c r="E644" s="1911"/>
      <c r="F644" s="1911"/>
      <c r="G644" s="1911"/>
      <c r="H644" s="1911"/>
      <c r="I644" s="1911"/>
      <c r="J644" s="1911"/>
      <c r="K644" s="1911"/>
      <c r="L644" s="1911"/>
      <c r="M644" s="1911"/>
      <c r="N644" s="1911"/>
      <c r="O644" s="1911"/>
      <c r="P644" s="1911"/>
      <c r="Q644" s="1911"/>
      <c r="R644" s="1911"/>
      <c r="S644" s="1911"/>
      <c r="T644" s="1911"/>
      <c r="U644" s="1911"/>
      <c r="V644" s="1911"/>
      <c r="W644" s="1911"/>
      <c r="X644" s="1911"/>
      <c r="Y644" s="1911"/>
      <c r="Z644" s="1911"/>
      <c r="AA644" s="1911"/>
      <c r="AB644" s="1911"/>
      <c r="AC644" s="1911"/>
      <c r="AD644" s="1911"/>
      <c r="AE644" s="1911"/>
      <c r="AF644" s="1911"/>
      <c r="AG644" s="1911"/>
      <c r="AH644" s="1911"/>
      <c r="AI644" s="1911"/>
      <c r="AJ644" s="1911"/>
      <c r="AK644" s="1911"/>
      <c r="AL644" s="1911"/>
      <c r="AM644" s="1911"/>
      <c r="AN644" s="1912"/>
      <c r="AO644" s="1755">
        <f>SUM(AO632:AS643)</f>
        <v>16601560</v>
      </c>
      <c r="AP644" s="1756"/>
      <c r="AQ644" s="1756"/>
      <c r="AR644" s="1756"/>
      <c r="AS644" s="1757"/>
      <c r="AT644" s="75"/>
      <c r="AU644" s="75"/>
      <c r="AV644" s="75"/>
      <c r="AW644" s="75"/>
      <c r="AX644" s="75"/>
      <c r="AY644" s="75"/>
      <c r="AZ644" s="75"/>
      <c r="BN644" s="1829">
        <f t="shared" si="16"/>
        <v>0</v>
      </c>
      <c r="BO644" s="1830"/>
      <c r="BP644" s="1830"/>
      <c r="BQ644" s="1830"/>
      <c r="BR644" s="1832"/>
      <c r="BS644" s="1829">
        <f t="shared" si="17"/>
        <v>0</v>
      </c>
      <c r="BT644" s="1830"/>
      <c r="BU644" s="1830"/>
      <c r="BV644" s="1830"/>
      <c r="BW644" s="1832"/>
      <c r="BX644" s="1829">
        <f t="shared" si="18"/>
        <v>0</v>
      </c>
      <c r="BY644" s="1830"/>
      <c r="BZ644" s="1830"/>
      <c r="CA644" s="1830"/>
      <c r="CB644" s="1832"/>
      <c r="CC644" s="1829">
        <f t="shared" si="19"/>
        <v>0</v>
      </c>
      <c r="CD644" s="1830"/>
      <c r="CE644" s="1830"/>
      <c r="CF644" s="1830"/>
      <c r="CG644" s="1832"/>
      <c r="CH644" s="1829">
        <f t="shared" si="20"/>
        <v>0</v>
      </c>
      <c r="CI644" s="1830"/>
      <c r="CJ644" s="1830"/>
      <c r="CK644" s="1830"/>
      <c r="CL644" s="1832"/>
      <c r="CM644" s="1829">
        <f t="shared" si="21"/>
        <v>0</v>
      </c>
      <c r="CN644" s="1830"/>
      <c r="CO644" s="1830"/>
      <c r="CP644" s="1830"/>
      <c r="CQ644" s="1832"/>
      <c r="CR644" s="72"/>
      <c r="CS644" s="72"/>
    </row>
    <row r="645" spans="1:97" ht="13">
      <c r="B645" s="1910" t="s">
        <v>403</v>
      </c>
      <c r="C645" s="1911"/>
      <c r="D645" s="1911"/>
      <c r="E645" s="1911"/>
      <c r="F645" s="1911"/>
      <c r="G645" s="1911"/>
      <c r="H645" s="1911"/>
      <c r="I645" s="1911"/>
      <c r="J645" s="1911"/>
      <c r="K645" s="1911"/>
      <c r="L645" s="1911"/>
      <c r="M645" s="1911"/>
      <c r="N645" s="1911"/>
      <c r="O645" s="1911"/>
      <c r="P645" s="1911"/>
      <c r="Q645" s="1911"/>
      <c r="R645" s="1911"/>
      <c r="S645" s="1911"/>
      <c r="T645" s="1911"/>
      <c r="U645" s="1911"/>
      <c r="V645" s="1911"/>
      <c r="W645" s="1911"/>
      <c r="X645" s="1911"/>
      <c r="Y645" s="1911"/>
      <c r="Z645" s="1911"/>
      <c r="AA645" s="1911"/>
      <c r="AB645" s="1911"/>
      <c r="AC645" s="1911"/>
      <c r="AD645" s="1911"/>
      <c r="AE645" s="1911"/>
      <c r="AF645" s="1911"/>
      <c r="AG645" s="1911"/>
      <c r="AH645" s="1911"/>
      <c r="AI645" s="1911"/>
      <c r="AJ645" s="1911"/>
      <c r="AK645" s="1911"/>
      <c r="AL645" s="1911"/>
      <c r="AM645" s="1911"/>
      <c r="AN645" s="1912"/>
      <c r="AO645" s="1714">
        <f>18609558-90000</f>
        <v>18519558</v>
      </c>
      <c r="AP645" s="1715"/>
      <c r="AQ645" s="1715"/>
      <c r="AR645" s="1715"/>
      <c r="AS645" s="1716"/>
      <c r="AT645" s="75"/>
      <c r="AU645" s="75"/>
      <c r="AV645" s="75"/>
      <c r="AW645" s="75"/>
      <c r="AX645" s="75"/>
      <c r="AY645" s="75"/>
      <c r="AZ645" s="75"/>
      <c r="BN645" s="1829">
        <f t="shared" si="16"/>
        <v>0</v>
      </c>
      <c r="BO645" s="1830"/>
      <c r="BP645" s="1830"/>
      <c r="BQ645" s="1830"/>
      <c r="BR645" s="1832"/>
      <c r="BS645" s="1829">
        <f t="shared" si="17"/>
        <v>0</v>
      </c>
      <c r="BT645" s="1830"/>
      <c r="BU645" s="1830"/>
      <c r="BV645" s="1830"/>
      <c r="BW645" s="1832"/>
      <c r="BX645" s="1829">
        <f t="shared" si="18"/>
        <v>0</v>
      </c>
      <c r="BY645" s="1830"/>
      <c r="BZ645" s="1830"/>
      <c r="CA645" s="1830"/>
      <c r="CB645" s="1832"/>
      <c r="CC645" s="1829">
        <f t="shared" si="19"/>
        <v>0</v>
      </c>
      <c r="CD645" s="1830"/>
      <c r="CE645" s="1830"/>
      <c r="CF645" s="1830"/>
      <c r="CG645" s="1832"/>
      <c r="CH645" s="1829">
        <f t="shared" si="20"/>
        <v>0</v>
      </c>
      <c r="CI645" s="1830"/>
      <c r="CJ645" s="1830"/>
      <c r="CK645" s="1830"/>
      <c r="CL645" s="1832"/>
      <c r="CM645" s="1829">
        <f t="shared" si="21"/>
        <v>0</v>
      </c>
      <c r="CN645" s="1830"/>
      <c r="CO645" s="1830"/>
      <c r="CP645" s="1830"/>
      <c r="CQ645" s="1832"/>
      <c r="CR645" s="72"/>
      <c r="CS645" s="72"/>
    </row>
    <row r="646" spans="1:97" ht="13">
      <c r="B646" s="2076" t="s">
        <v>1043</v>
      </c>
      <c r="C646" s="2077"/>
      <c r="D646" s="2077"/>
      <c r="E646" s="2077"/>
      <c r="F646" s="2077"/>
      <c r="G646" s="2077"/>
      <c r="H646" s="2077"/>
      <c r="I646" s="2077"/>
      <c r="J646" s="2077"/>
      <c r="K646" s="2077"/>
      <c r="L646" s="2077"/>
      <c r="M646" s="2077"/>
      <c r="N646" s="2077"/>
      <c r="O646" s="2077"/>
      <c r="P646" s="2077"/>
      <c r="Q646" s="2077"/>
      <c r="R646" s="2077"/>
      <c r="S646" s="2077"/>
      <c r="T646" s="2077"/>
      <c r="U646" s="2077"/>
      <c r="V646" s="2077"/>
      <c r="W646" s="2077"/>
      <c r="X646" s="2077"/>
      <c r="Y646" s="2077"/>
      <c r="Z646" s="2077"/>
      <c r="AA646" s="2077"/>
      <c r="AB646" s="2077"/>
      <c r="AC646" s="2077"/>
      <c r="AD646" s="2077"/>
      <c r="AE646" s="2077"/>
      <c r="AF646" s="2077"/>
      <c r="AG646" s="2077"/>
      <c r="AH646" s="2077"/>
      <c r="AI646" s="2077"/>
      <c r="AJ646" s="2077"/>
      <c r="AK646" s="2077"/>
      <c r="AL646" s="2077"/>
      <c r="AM646" s="2077"/>
      <c r="AN646" s="2078"/>
      <c r="AO646" s="1755">
        <f>AO644+AO645</f>
        <v>35121118</v>
      </c>
      <c r="AP646" s="1756"/>
      <c r="AQ646" s="1756"/>
      <c r="AR646" s="1756"/>
      <c r="AS646" s="1757"/>
      <c r="AT646" s="75"/>
      <c r="AU646" s="75"/>
      <c r="AV646" s="75"/>
      <c r="AW646" s="75"/>
      <c r="AX646" s="75"/>
      <c r="AY646" s="75"/>
      <c r="AZ646" s="75"/>
      <c r="BN646" s="2151">
        <f>SUM(BN636:BR645)</f>
        <v>0</v>
      </c>
      <c r="BO646" s="2152"/>
      <c r="BP646" s="2152"/>
      <c r="BQ646" s="2152"/>
      <c r="BR646" s="2153"/>
      <c r="BS646" s="2151">
        <f>SUM(BS636:BW645)</f>
        <v>0</v>
      </c>
      <c r="BT646" s="2152"/>
      <c r="BU646" s="2152"/>
      <c r="BV646" s="2152"/>
      <c r="BW646" s="2153"/>
      <c r="BX646" s="2151">
        <f>SUM(BX636:CB645)</f>
        <v>0</v>
      </c>
      <c r="BY646" s="2152"/>
      <c r="BZ646" s="2152"/>
      <c r="CA646" s="2152"/>
      <c r="CB646" s="2153"/>
      <c r="CC646" s="2151">
        <f>SUM(CC636:CG645)</f>
        <v>0</v>
      </c>
      <c r="CD646" s="2152"/>
      <c r="CE646" s="2152"/>
      <c r="CF646" s="2152"/>
      <c r="CG646" s="2153"/>
      <c r="CH646" s="2151">
        <f>SUM(CH636:CL645)</f>
        <v>0</v>
      </c>
      <c r="CI646" s="2152"/>
      <c r="CJ646" s="2152"/>
      <c r="CK646" s="2152"/>
      <c r="CL646" s="2153"/>
      <c r="CM646" s="2151">
        <f>SUM(CM636:CQ645)</f>
        <v>0</v>
      </c>
      <c r="CN646" s="2152"/>
      <c r="CO646" s="2152"/>
      <c r="CP646" s="2152"/>
      <c r="CQ646" s="215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75" t="str">
        <f>C632</f>
        <v>Permanent Loan</v>
      </c>
      <c r="H648" s="1875"/>
      <c r="I648" s="1875"/>
      <c r="J648" s="1875"/>
      <c r="K648" s="1875"/>
      <c r="L648" s="1875"/>
      <c r="M648" s="1875"/>
      <c r="N648" s="1875"/>
      <c r="O648" s="1875"/>
      <c r="P648" s="1875"/>
      <c r="Q648" s="1875"/>
      <c r="R648" s="1875"/>
      <c r="S648" s="18"/>
      <c r="T648" s="101" t="s">
        <v>1004</v>
      </c>
      <c r="U648" s="16" t="s">
        <v>93</v>
      </c>
      <c r="Z648" s="1875" t="str">
        <f>C633</f>
        <v>HACSB - Seller Note</v>
      </c>
      <c r="AA648" s="1875"/>
      <c r="AB648" s="1875"/>
      <c r="AC648" s="1875"/>
      <c r="AD648" s="1875"/>
      <c r="AE648" s="1875"/>
      <c r="AF648" s="1875"/>
      <c r="AG648" s="1875"/>
      <c r="AH648" s="1875"/>
      <c r="AI648" s="1875"/>
      <c r="AJ648" s="1875"/>
      <c r="AK648" s="1875"/>
      <c r="AM648" s="75"/>
      <c r="AN648" s="75"/>
      <c r="AO648" s="75"/>
      <c r="AP648" s="75"/>
      <c r="AQ648" s="75"/>
      <c r="AR648" s="75"/>
      <c r="AS648" s="75"/>
      <c r="AT648" s="75"/>
      <c r="AU648" s="75"/>
      <c r="AV648" s="75"/>
      <c r="AW648" s="75"/>
      <c r="AX648" s="75"/>
      <c r="AY648" s="75"/>
      <c r="AZ648" s="75"/>
      <c r="CP648" s="1401" t="s">
        <v>1942</v>
      </c>
      <c r="CQ648" s="738">
        <f>BN646+BS646+BX646+CC646+CH646+CM646</f>
        <v>0</v>
      </c>
      <c r="CR648" s="72"/>
      <c r="CS648" s="72"/>
    </row>
    <row r="649" spans="1:97" ht="13" thickBot="1">
      <c r="A649" s="46"/>
      <c r="B649" s="16" t="s">
        <v>416</v>
      </c>
      <c r="G649" s="1698" t="s">
        <v>2484</v>
      </c>
      <c r="H649" s="1698"/>
      <c r="I649" s="1698"/>
      <c r="J649" s="1698"/>
      <c r="K649" s="1698"/>
      <c r="L649" s="1698"/>
      <c r="M649" s="1698"/>
      <c r="N649" s="1698"/>
      <c r="O649" s="1698"/>
      <c r="P649" s="1698"/>
      <c r="Q649" s="1698"/>
      <c r="R649" s="1698"/>
      <c r="S649" s="18"/>
      <c r="T649" s="46"/>
      <c r="U649" s="16" t="s">
        <v>416</v>
      </c>
      <c r="Z649" s="1698" t="s">
        <v>2383</v>
      </c>
      <c r="AA649" s="1698"/>
      <c r="AB649" s="1698"/>
      <c r="AC649" s="1698"/>
      <c r="AD649" s="1698"/>
      <c r="AE649" s="1698"/>
      <c r="AF649" s="1698"/>
      <c r="AG649" s="1698"/>
      <c r="AH649" s="1698"/>
      <c r="AI649" s="1698"/>
      <c r="AJ649" s="1698"/>
      <c r="AK649" s="1698"/>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8" t="s">
        <v>2485</v>
      </c>
      <c r="H650" s="1698"/>
      <c r="I650" s="1698"/>
      <c r="J650" s="1698"/>
      <c r="K650" s="1698"/>
      <c r="L650" s="1698"/>
      <c r="M650" s="1698"/>
      <c r="N650" s="1698"/>
      <c r="O650" s="1698"/>
      <c r="P650" s="1698"/>
      <c r="Q650" s="1698"/>
      <c r="R650" s="1698"/>
      <c r="S650" s="102"/>
      <c r="T650" s="46"/>
      <c r="U650" s="16" t="s">
        <v>479</v>
      </c>
      <c r="Z650" s="1696" t="s">
        <v>896</v>
      </c>
      <c r="AA650" s="1696"/>
      <c r="AB650" s="1696"/>
      <c r="AC650" s="1696"/>
      <c r="AD650" s="1696"/>
      <c r="AE650" s="1696"/>
      <c r="AF650" s="1696"/>
      <c r="AG650" s="1696"/>
      <c r="AH650" s="1696"/>
      <c r="AI650" s="1696"/>
      <c r="AJ650" s="1696"/>
      <c r="AK650" s="1696"/>
      <c r="AM650" s="75"/>
      <c r="AN650" s="75"/>
      <c r="AO650" s="75"/>
      <c r="AP650" s="75"/>
      <c r="AQ650" s="75"/>
      <c r="AR650" s="75"/>
      <c r="AS650" s="75"/>
      <c r="AT650" s="75"/>
      <c r="AU650" s="75"/>
      <c r="AV650" s="75"/>
      <c r="AW650" s="75"/>
      <c r="AX650" s="75"/>
      <c r="AY650" s="75"/>
      <c r="AZ650" s="75"/>
      <c r="CP650" s="1401" t="s">
        <v>1944</v>
      </c>
      <c r="CQ650" s="738">
        <f>CQ648+CQ629</f>
        <v>54</v>
      </c>
      <c r="CR650" s="72"/>
      <c r="CS650" s="72"/>
    </row>
    <row r="651" spans="1:97" ht="12.5">
      <c r="A651" s="46"/>
      <c r="B651" s="16" t="s">
        <v>914</v>
      </c>
      <c r="G651" s="1698" t="s">
        <v>2486</v>
      </c>
      <c r="H651" s="1698"/>
      <c r="I651" s="1698"/>
      <c r="J651" s="1698"/>
      <c r="K651" s="1698"/>
      <c r="L651" s="1698"/>
      <c r="M651" s="1698"/>
      <c r="N651" s="1698"/>
      <c r="O651" s="1698"/>
      <c r="P651" s="1698"/>
      <c r="Q651" s="1698"/>
      <c r="R651" s="1698"/>
      <c r="S651" s="18"/>
      <c r="T651" s="46"/>
      <c r="U651" s="16" t="s">
        <v>914</v>
      </c>
      <c r="Z651" s="1696" t="s">
        <v>2372</v>
      </c>
      <c r="AA651" s="1696"/>
      <c r="AB651" s="1696"/>
      <c r="AC651" s="1696"/>
      <c r="AD651" s="1696"/>
      <c r="AE651" s="1696"/>
      <c r="AF651" s="1696"/>
      <c r="AG651" s="1696"/>
      <c r="AH651" s="1696"/>
      <c r="AI651" s="1696"/>
      <c r="AJ651" s="1696"/>
      <c r="AK651" s="1696"/>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715</v>
      </c>
      <c r="G652" s="1694" t="s">
        <v>2487</v>
      </c>
      <c r="H652" s="1688"/>
      <c r="I652" s="1688"/>
      <c r="J652" s="1688"/>
      <c r="K652" s="1688"/>
      <c r="L652" s="1688"/>
      <c r="O652" s="149" t="s">
        <v>899</v>
      </c>
      <c r="P652" s="1700"/>
      <c r="Q652" s="1700"/>
      <c r="R652" s="1700"/>
      <c r="S652" s="20"/>
      <c r="T652" s="46"/>
      <c r="U652" s="16" t="s">
        <v>715</v>
      </c>
      <c r="Z652" s="1694" t="s">
        <v>2385</v>
      </c>
      <c r="AA652" s="1688"/>
      <c r="AB652" s="1688"/>
      <c r="AC652" s="1688"/>
      <c r="AD652" s="1688"/>
      <c r="AE652" s="1688"/>
      <c r="AH652" s="149" t="s">
        <v>899</v>
      </c>
      <c r="AI652" s="1700"/>
      <c r="AJ652" s="1700"/>
      <c r="AK652" s="1700"/>
      <c r="AM652" s="75"/>
      <c r="AN652" s="75"/>
      <c r="AO652" s="75"/>
      <c r="AP652" s="75"/>
      <c r="AQ652" s="75"/>
      <c r="AR652" s="75"/>
      <c r="AS652" s="75"/>
      <c r="AT652" s="75"/>
      <c r="AU652" s="75"/>
      <c r="AV652" s="75"/>
      <c r="AW652" s="75"/>
      <c r="AX652" s="75"/>
      <c r="AY652" s="75"/>
      <c r="AZ652" s="75"/>
      <c r="BN652" s="2151">
        <f>BN627+BN634+BN646</f>
        <v>0</v>
      </c>
      <c r="BO652" s="2152"/>
      <c r="BP652" s="2152"/>
      <c r="BQ652" s="2152"/>
      <c r="BR652" s="2153"/>
      <c r="BS652" s="2151">
        <f>BS627+BS634+BS646</f>
        <v>44</v>
      </c>
      <c r="BT652" s="2152"/>
      <c r="BU652" s="2152"/>
      <c r="BV652" s="2152"/>
      <c r="BW652" s="2153"/>
      <c r="BX652" s="2151">
        <f>BX627+BX634+BX646</f>
        <v>6</v>
      </c>
      <c r="BY652" s="2152"/>
      <c r="BZ652" s="2152"/>
      <c r="CA652" s="2152"/>
      <c r="CB652" s="2153"/>
      <c r="CC652" s="2151">
        <f>CC627+CC634+CC646</f>
        <v>0</v>
      </c>
      <c r="CD652" s="2152"/>
      <c r="CE652" s="2152"/>
      <c r="CF652" s="2152"/>
      <c r="CG652" s="2153"/>
      <c r="CH652" s="2151">
        <f>CH627+CH634+CH646</f>
        <v>0</v>
      </c>
      <c r="CI652" s="2152"/>
      <c r="CJ652" s="2152"/>
      <c r="CK652" s="2152"/>
      <c r="CL652" s="2153"/>
      <c r="CM652" s="1833">
        <f>CM646+CM634+CM627</f>
        <v>0</v>
      </c>
      <c r="CN652" s="2150"/>
      <c r="CO652" s="2150"/>
      <c r="CP652" s="2150"/>
      <c r="CQ652" s="1834"/>
      <c r="CR652" s="72"/>
      <c r="CS652" s="72"/>
    </row>
    <row r="653" spans="1:97" ht="12.5">
      <c r="A653" s="46"/>
      <c r="B653" s="16" t="s">
        <v>915</v>
      </c>
      <c r="H653" s="1698" t="s">
        <v>2481</v>
      </c>
      <c r="I653" s="1698"/>
      <c r="J653" s="1698"/>
      <c r="K653" s="1698"/>
      <c r="L653" s="1698"/>
      <c r="M653" s="1698"/>
      <c r="N653" s="1698"/>
      <c r="O653" s="1698"/>
      <c r="P653" s="1698"/>
      <c r="Q653" s="1698"/>
      <c r="R653" s="1698"/>
      <c r="S653" s="18"/>
      <c r="T653" s="46"/>
      <c r="U653" s="16" t="s">
        <v>915</v>
      </c>
      <c r="AA653" s="1698" t="s">
        <v>2471</v>
      </c>
      <c r="AB653" s="1698"/>
      <c r="AC653" s="1698"/>
      <c r="AD653" s="1698"/>
      <c r="AE653" s="1698"/>
      <c r="AF653" s="1698"/>
      <c r="AG653" s="1698"/>
      <c r="AH653" s="1698"/>
      <c r="AI653" s="1698"/>
      <c r="AJ653" s="1698"/>
      <c r="AK653" s="169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917</v>
      </c>
      <c r="N654" s="1699" t="s">
        <v>119</v>
      </c>
      <c r="O654" s="1699"/>
      <c r="T654" s="46"/>
      <c r="U654" s="16" t="s">
        <v>917</v>
      </c>
      <c r="AG654" s="1699" t="s">
        <v>119</v>
      </c>
      <c r="AH654" s="169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1010</v>
      </c>
      <c r="B656" s="16" t="s">
        <v>93</v>
      </c>
      <c r="G656" s="1875" t="str">
        <f>C634</f>
        <v>HACSB - Development Loan</v>
      </c>
      <c r="H656" s="1875"/>
      <c r="I656" s="1875"/>
      <c r="J656" s="1875"/>
      <c r="K656" s="1875"/>
      <c r="L656" s="1875"/>
      <c r="M656" s="1875"/>
      <c r="N656" s="1875"/>
      <c r="O656" s="1875"/>
      <c r="P656" s="1875"/>
      <c r="Q656" s="1875"/>
      <c r="R656" s="1875"/>
      <c r="T656" s="101" t="s">
        <v>480</v>
      </c>
      <c r="U656" s="16" t="s">
        <v>93</v>
      </c>
      <c r="Z656" s="1875" t="str">
        <f>C635</f>
        <v>County of Ventura HOME</v>
      </c>
      <c r="AA656" s="1875"/>
      <c r="AB656" s="1875"/>
      <c r="AC656" s="1875"/>
      <c r="AD656" s="1875"/>
      <c r="AE656" s="1875"/>
      <c r="AF656" s="1875"/>
      <c r="AG656" s="1875"/>
      <c r="AH656" s="1875"/>
      <c r="AI656" s="1875"/>
      <c r="AJ656" s="1875"/>
      <c r="AK656" s="187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416</v>
      </c>
      <c r="G657" s="1698" t="str">
        <f>Z649</f>
        <v>995 Riverside Street</v>
      </c>
      <c r="H657" s="1698"/>
      <c r="I657" s="1698"/>
      <c r="J657" s="1698"/>
      <c r="K657" s="1698"/>
      <c r="L657" s="1698"/>
      <c r="M657" s="1698"/>
      <c r="N657" s="1698"/>
      <c r="O657" s="1698"/>
      <c r="P657" s="1698"/>
      <c r="Q657" s="1698"/>
      <c r="R657" s="1698"/>
      <c r="T657" s="46"/>
      <c r="U657" s="16" t="s">
        <v>416</v>
      </c>
      <c r="Z657" s="1698" t="str">
        <f>Z583</f>
        <v>800 S. Victoria Avenue</v>
      </c>
      <c r="AA657" s="1698"/>
      <c r="AB657" s="1698"/>
      <c r="AC657" s="1698"/>
      <c r="AD657" s="1698"/>
      <c r="AE657" s="1698"/>
      <c r="AF657" s="1698"/>
      <c r="AG657" s="1698"/>
      <c r="AH657" s="1698"/>
      <c r="AI657" s="1698"/>
      <c r="AJ657" s="1698"/>
      <c r="AK657" s="169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479</v>
      </c>
      <c r="G658" s="1696" t="str">
        <f>Z650</f>
        <v>Ventura</v>
      </c>
      <c r="H658" s="1696"/>
      <c r="I658" s="1696"/>
      <c r="J658" s="1696"/>
      <c r="K658" s="1696"/>
      <c r="L658" s="1696"/>
      <c r="M658" s="1696"/>
      <c r="N658" s="1696"/>
      <c r="O658" s="1696"/>
      <c r="P658" s="1696"/>
      <c r="Q658" s="1696"/>
      <c r="R658" s="1696"/>
      <c r="T658" s="46"/>
      <c r="U658" s="16" t="s">
        <v>479</v>
      </c>
      <c r="Z658" s="1696" t="str">
        <f>Z584</f>
        <v>Ventura</v>
      </c>
      <c r="AA658" s="1696"/>
      <c r="AB658" s="1696"/>
      <c r="AC658" s="1696"/>
      <c r="AD658" s="1696"/>
      <c r="AE658" s="1696"/>
      <c r="AF658" s="1696"/>
      <c r="AG658" s="1696"/>
      <c r="AH658" s="1696"/>
      <c r="AI658" s="1696"/>
      <c r="AJ658" s="1696"/>
      <c r="AK658" s="169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914</v>
      </c>
      <c r="G659" s="1696" t="str">
        <f>Z651</f>
        <v>Denise M. Wise</v>
      </c>
      <c r="H659" s="1696"/>
      <c r="I659" s="1696"/>
      <c r="J659" s="1696"/>
      <c r="K659" s="1696"/>
      <c r="L659" s="1696"/>
      <c r="M659" s="1696"/>
      <c r="N659" s="1696"/>
      <c r="O659" s="1696"/>
      <c r="P659" s="1696"/>
      <c r="Q659" s="1696"/>
      <c r="R659" s="1696"/>
      <c r="T659" s="46"/>
      <c r="U659" s="16" t="s">
        <v>914</v>
      </c>
      <c r="Z659" s="1696" t="str">
        <f>Z585</f>
        <v>Tracy McAulay</v>
      </c>
      <c r="AA659" s="1696"/>
      <c r="AB659" s="1696"/>
      <c r="AC659" s="1696"/>
      <c r="AD659" s="1696"/>
      <c r="AE659" s="1696"/>
      <c r="AF659" s="1696"/>
      <c r="AG659" s="1696"/>
      <c r="AH659" s="1696"/>
      <c r="AI659" s="1696"/>
      <c r="AJ659" s="1696"/>
      <c r="AK659" s="169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715</v>
      </c>
      <c r="G660" s="1688" t="str">
        <f>Z652</f>
        <v>805-648-5008</v>
      </c>
      <c r="H660" s="1688"/>
      <c r="I660" s="1688"/>
      <c r="J660" s="1688"/>
      <c r="K660" s="1688"/>
      <c r="L660" s="1688"/>
      <c r="O660" s="149" t="s">
        <v>899</v>
      </c>
      <c r="P660" s="1700"/>
      <c r="Q660" s="1700"/>
      <c r="R660" s="1700"/>
      <c r="T660" s="46"/>
      <c r="U660" s="16" t="s">
        <v>715</v>
      </c>
      <c r="Z660" s="1688" t="str">
        <f>Z586</f>
        <v>805-662-6792</v>
      </c>
      <c r="AA660" s="1688"/>
      <c r="AB660" s="1688"/>
      <c r="AC660" s="1688"/>
      <c r="AD660" s="1688"/>
      <c r="AE660" s="1688"/>
      <c r="AH660" s="149" t="s">
        <v>899</v>
      </c>
      <c r="AI660" s="1700"/>
      <c r="AJ660" s="1700"/>
      <c r="AK660" s="1700"/>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8" t="s">
        <v>2470</v>
      </c>
      <c r="I661" s="1698"/>
      <c r="J661" s="1698"/>
      <c r="K661" s="1698"/>
      <c r="L661" s="1698"/>
      <c r="M661" s="1698"/>
      <c r="N661" s="1698"/>
      <c r="O661" s="1698"/>
      <c r="P661" s="1698"/>
      <c r="Q661" s="1698"/>
      <c r="R661" s="1698"/>
      <c r="T661" s="46"/>
      <c r="U661" s="16" t="s">
        <v>915</v>
      </c>
      <c r="AA661" s="1698" t="s">
        <v>2470</v>
      </c>
      <c r="AB661" s="1698"/>
      <c r="AC661" s="1698"/>
      <c r="AD661" s="1698"/>
      <c r="AE661" s="1698"/>
      <c r="AF661" s="1698"/>
      <c r="AG661" s="1698"/>
      <c r="AH661" s="1698"/>
      <c r="AI661" s="1698"/>
      <c r="AJ661" s="1698"/>
      <c r="AK661" s="1698"/>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917</v>
      </c>
      <c r="N662" s="1699" t="s">
        <v>119</v>
      </c>
      <c r="O662" s="1699"/>
      <c r="T662" s="46"/>
      <c r="U662" s="16" t="s">
        <v>917</v>
      </c>
      <c r="AG662" s="1699" t="s">
        <v>119</v>
      </c>
      <c r="AH662" s="169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5" t="str">
        <f>C636</f>
        <v>County of Ventura CDBG-DR</v>
      </c>
      <c r="H664" s="1875"/>
      <c r="I664" s="1875"/>
      <c r="J664" s="1875"/>
      <c r="K664" s="1875"/>
      <c r="L664" s="1875"/>
      <c r="M664" s="1875"/>
      <c r="N664" s="1875"/>
      <c r="O664" s="1875"/>
      <c r="P664" s="1875"/>
      <c r="Q664" s="1875"/>
      <c r="R664" s="1875"/>
      <c r="T664" s="101" t="s">
        <v>483</v>
      </c>
      <c r="U664" s="16" t="s">
        <v>93</v>
      </c>
      <c r="Z664" s="1875" t="str">
        <f>C637</f>
        <v>HCD Infill Infrastructure Grant Program</v>
      </c>
      <c r="AA664" s="1875"/>
      <c r="AB664" s="1875"/>
      <c r="AC664" s="1875"/>
      <c r="AD664" s="1875"/>
      <c r="AE664" s="1875"/>
      <c r="AF664" s="1875"/>
      <c r="AG664" s="1875"/>
      <c r="AH664" s="1875"/>
      <c r="AI664" s="1875"/>
      <c r="AJ664" s="1875"/>
      <c r="AK664" s="187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416</v>
      </c>
      <c r="G665" s="1698" t="str">
        <f>Z657</f>
        <v>800 S. Victoria Avenue</v>
      </c>
      <c r="H665" s="1698"/>
      <c r="I665" s="1698"/>
      <c r="J665" s="1698"/>
      <c r="K665" s="1698"/>
      <c r="L665" s="1698"/>
      <c r="M665" s="1698"/>
      <c r="N665" s="1698"/>
      <c r="O665" s="1698"/>
      <c r="P665" s="1698"/>
      <c r="Q665" s="1698"/>
      <c r="R665" s="1698"/>
      <c r="T665" s="46"/>
      <c r="U665" s="16" t="s">
        <v>416</v>
      </c>
      <c r="Z665" s="1698" t="str">
        <f>Z591</f>
        <v>2020 W. El Camino Avenue</v>
      </c>
      <c r="AA665" s="1698"/>
      <c r="AB665" s="1698"/>
      <c r="AC665" s="1698"/>
      <c r="AD665" s="1698"/>
      <c r="AE665" s="1698"/>
      <c r="AF665" s="1698"/>
      <c r="AG665" s="1698"/>
      <c r="AH665" s="1698"/>
      <c r="AI665" s="1698"/>
      <c r="AJ665" s="1698"/>
      <c r="AK665" s="169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479</v>
      </c>
      <c r="G666" s="1698" t="str">
        <f>Z658</f>
        <v>Ventura</v>
      </c>
      <c r="H666" s="1698"/>
      <c r="I666" s="1698"/>
      <c r="J666" s="1698"/>
      <c r="K666" s="1698"/>
      <c r="L666" s="1698"/>
      <c r="M666" s="1698"/>
      <c r="N666" s="1698"/>
      <c r="O666" s="1698"/>
      <c r="P666" s="1698"/>
      <c r="Q666" s="1698"/>
      <c r="R666" s="1698"/>
      <c r="T666" s="46"/>
      <c r="U666" s="16" t="s">
        <v>479</v>
      </c>
      <c r="Z666" s="1696" t="str">
        <f>Z592</f>
        <v>Sacramento</v>
      </c>
      <c r="AA666" s="1696"/>
      <c r="AB666" s="1696"/>
      <c r="AC666" s="1696"/>
      <c r="AD666" s="1696"/>
      <c r="AE666" s="1696"/>
      <c r="AF666" s="1696"/>
      <c r="AG666" s="1696"/>
      <c r="AH666" s="1696"/>
      <c r="AI666" s="1696"/>
      <c r="AJ666" s="1696"/>
      <c r="AK666" s="169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914</v>
      </c>
      <c r="G667" s="1698" t="str">
        <f>Z659</f>
        <v>Tracy McAulay</v>
      </c>
      <c r="H667" s="1698"/>
      <c r="I667" s="1698"/>
      <c r="J667" s="1698"/>
      <c r="K667" s="1698"/>
      <c r="L667" s="1698"/>
      <c r="M667" s="1698"/>
      <c r="N667" s="1698"/>
      <c r="O667" s="1698"/>
      <c r="P667" s="1698"/>
      <c r="Q667" s="1698"/>
      <c r="R667" s="1698"/>
      <c r="T667" s="46"/>
      <c r="U667" s="16" t="s">
        <v>914</v>
      </c>
      <c r="Z667" s="1696" t="str">
        <f>Z593</f>
        <v>Gustavo Velasquez</v>
      </c>
      <c r="AA667" s="1696"/>
      <c r="AB667" s="1696"/>
      <c r="AC667" s="1696"/>
      <c r="AD667" s="1696"/>
      <c r="AE667" s="1696"/>
      <c r="AF667" s="1696"/>
      <c r="AG667" s="1696"/>
      <c r="AH667" s="1696"/>
      <c r="AI667" s="1696"/>
      <c r="AJ667" s="1696"/>
      <c r="AK667" s="169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715</v>
      </c>
      <c r="G668" s="1688" t="str">
        <f>Z660</f>
        <v>805-662-6792</v>
      </c>
      <c r="H668" s="1688"/>
      <c r="I668" s="1688"/>
      <c r="J668" s="1688"/>
      <c r="K668" s="1688"/>
      <c r="L668" s="1688"/>
      <c r="O668" s="149" t="s">
        <v>899</v>
      </c>
      <c r="P668" s="1700"/>
      <c r="Q668" s="1700"/>
      <c r="R668" s="1700"/>
      <c r="T668" s="46"/>
      <c r="U668" s="16" t="s">
        <v>715</v>
      </c>
      <c r="Z668" s="1688" t="str">
        <f>Z594</f>
        <v>916-263-7400</v>
      </c>
      <c r="AA668" s="1688"/>
      <c r="AB668" s="1688"/>
      <c r="AC668" s="1688"/>
      <c r="AD668" s="1688"/>
      <c r="AE668" s="1688"/>
      <c r="AH668" s="149" t="s">
        <v>899</v>
      </c>
      <c r="AI668" s="1700"/>
      <c r="AJ668" s="1700"/>
      <c r="AK668" s="170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915</v>
      </c>
      <c r="H669" s="1698" t="s">
        <v>2470</v>
      </c>
      <c r="I669" s="1698"/>
      <c r="J669" s="1698"/>
      <c r="K669" s="1698"/>
      <c r="L669" s="1698"/>
      <c r="M669" s="1698"/>
      <c r="N669" s="1698"/>
      <c r="O669" s="1698"/>
      <c r="P669" s="1698"/>
      <c r="Q669" s="1698"/>
      <c r="R669" s="1698"/>
      <c r="T669" s="46"/>
      <c r="U669" s="16" t="s">
        <v>915</v>
      </c>
      <c r="AA669" s="1698" t="s">
        <v>2478</v>
      </c>
      <c r="AB669" s="1698"/>
      <c r="AC669" s="1698"/>
      <c r="AD669" s="1698"/>
      <c r="AE669" s="1698"/>
      <c r="AF669" s="1698"/>
      <c r="AG669" s="1698"/>
      <c r="AH669" s="1698"/>
      <c r="AI669" s="1698"/>
      <c r="AJ669" s="1698"/>
      <c r="AK669" s="169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917</v>
      </c>
      <c r="N670" s="1699" t="s">
        <v>119</v>
      </c>
      <c r="O670" s="1699"/>
      <c r="T670" s="46"/>
      <c r="U670" s="16" t="s">
        <v>917</v>
      </c>
      <c r="AG670" s="1699" t="s">
        <v>119</v>
      </c>
      <c r="AH670" s="169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75" t="str">
        <f>C638</f>
        <v>City of Ventura CDBG-DR</v>
      </c>
      <c r="H672" s="1875"/>
      <c r="I672" s="1875"/>
      <c r="J672" s="1875"/>
      <c r="K672" s="1875"/>
      <c r="L672" s="1875"/>
      <c r="M672" s="1875"/>
      <c r="N672" s="1875"/>
      <c r="O672" s="1875"/>
      <c r="P672" s="1875"/>
      <c r="Q672" s="1875"/>
      <c r="R672" s="1875"/>
      <c r="T672" s="101" t="s">
        <v>810</v>
      </c>
      <c r="U672" s="16" t="s">
        <v>93</v>
      </c>
      <c r="Z672" s="1875" t="str">
        <f>C639</f>
        <v>Deferred Developer Fee</v>
      </c>
      <c r="AA672" s="1875"/>
      <c r="AB672" s="1875"/>
      <c r="AC672" s="1875"/>
      <c r="AD672" s="1875"/>
      <c r="AE672" s="1875"/>
      <c r="AF672" s="1875"/>
      <c r="AG672" s="1875"/>
      <c r="AH672" s="1875"/>
      <c r="AI672" s="1875"/>
      <c r="AJ672" s="1875"/>
      <c r="AK672" s="187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416</v>
      </c>
      <c r="G673" s="1698" t="s">
        <v>2377</v>
      </c>
      <c r="H673" s="1698"/>
      <c r="I673" s="1698"/>
      <c r="J673" s="1698"/>
      <c r="K673" s="1698"/>
      <c r="L673" s="1698"/>
      <c r="M673" s="1698"/>
      <c r="N673" s="1698"/>
      <c r="O673" s="1698"/>
      <c r="P673" s="1698"/>
      <c r="Q673" s="1698"/>
      <c r="R673" s="1698"/>
      <c r="T673" s="46"/>
      <c r="U673" s="16" t="s">
        <v>416</v>
      </c>
      <c r="Z673" s="1698"/>
      <c r="AA673" s="1698"/>
      <c r="AB673" s="1698"/>
      <c r="AC673" s="1698"/>
      <c r="AD673" s="1698"/>
      <c r="AE673" s="1698"/>
      <c r="AF673" s="1698"/>
      <c r="AG673" s="1698"/>
      <c r="AH673" s="1698"/>
      <c r="AI673" s="1698"/>
      <c r="AJ673" s="1698"/>
      <c r="AK673" s="169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479</v>
      </c>
      <c r="G674" s="1698" t="s">
        <v>896</v>
      </c>
      <c r="H674" s="1698"/>
      <c r="I674" s="1698"/>
      <c r="J674" s="1698"/>
      <c r="K674" s="1698"/>
      <c r="L674" s="1698"/>
      <c r="M674" s="1698"/>
      <c r="N674" s="1698"/>
      <c r="O674" s="1698"/>
      <c r="P674" s="1698"/>
      <c r="Q674" s="1698"/>
      <c r="R674" s="1698"/>
      <c r="T674" s="46"/>
      <c r="U674" s="16" t="s">
        <v>479</v>
      </c>
      <c r="Z674" s="1696"/>
      <c r="AA674" s="1696"/>
      <c r="AB674" s="1696"/>
      <c r="AC674" s="1696"/>
      <c r="AD674" s="1696"/>
      <c r="AE674" s="1696"/>
      <c r="AF674" s="1696"/>
      <c r="AG674" s="1696"/>
      <c r="AH674" s="1696"/>
      <c r="AI674" s="1696"/>
      <c r="AJ674" s="1696"/>
      <c r="AK674" s="169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914</v>
      </c>
      <c r="G675" s="1698" t="s">
        <v>2375</v>
      </c>
      <c r="H675" s="1698"/>
      <c r="I675" s="1698"/>
      <c r="J675" s="1698"/>
      <c r="K675" s="1698"/>
      <c r="L675" s="1698"/>
      <c r="M675" s="1698"/>
      <c r="N675" s="1698"/>
      <c r="O675" s="1698"/>
      <c r="P675" s="1698"/>
      <c r="Q675" s="1698"/>
      <c r="R675" s="1698"/>
      <c r="T675" s="46"/>
      <c r="U675" s="16" t="s">
        <v>914</v>
      </c>
      <c r="Z675" s="1696"/>
      <c r="AA675" s="1696"/>
      <c r="AB675" s="1696"/>
      <c r="AC675" s="1696"/>
      <c r="AD675" s="1696"/>
      <c r="AE675" s="1696"/>
      <c r="AF675" s="1696"/>
      <c r="AG675" s="1696"/>
      <c r="AH675" s="1696"/>
      <c r="AI675" s="1696"/>
      <c r="AJ675" s="1696"/>
      <c r="AK675" s="169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715</v>
      </c>
      <c r="G676" s="1688" t="str">
        <f>O162</f>
        <v>805-654-7732</v>
      </c>
      <c r="H676" s="1688"/>
      <c r="I676" s="1688"/>
      <c r="J676" s="1688"/>
      <c r="K676" s="1688"/>
      <c r="L676" s="1688"/>
      <c r="O676" s="149" t="s">
        <v>899</v>
      </c>
      <c r="P676" s="1700"/>
      <c r="Q676" s="1700"/>
      <c r="R676" s="1700"/>
      <c r="T676" s="46"/>
      <c r="U676" s="16" t="s">
        <v>715</v>
      </c>
      <c r="Z676" s="1688"/>
      <c r="AA676" s="1688"/>
      <c r="AB676" s="1688"/>
      <c r="AC676" s="1688"/>
      <c r="AD676" s="1688"/>
      <c r="AE676" s="1688"/>
      <c r="AH676" s="149" t="s">
        <v>899</v>
      </c>
      <c r="AI676" s="1700"/>
      <c r="AJ676" s="1700"/>
      <c r="AK676" s="170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915</v>
      </c>
      <c r="H677" s="1698" t="s">
        <v>2470</v>
      </c>
      <c r="I677" s="1698"/>
      <c r="J677" s="1698"/>
      <c r="K677" s="1698"/>
      <c r="L677" s="1698"/>
      <c r="M677" s="1698"/>
      <c r="N677" s="1698"/>
      <c r="O677" s="1698"/>
      <c r="P677" s="1698"/>
      <c r="Q677" s="1698"/>
      <c r="R677" s="1698"/>
      <c r="T677" s="46"/>
      <c r="U677" s="16" t="s">
        <v>915</v>
      </c>
      <c r="AA677" s="1698"/>
      <c r="AB677" s="1698"/>
      <c r="AC677" s="1698"/>
      <c r="AD677" s="1698"/>
      <c r="AE677" s="1698"/>
      <c r="AF677" s="1698"/>
      <c r="AG677" s="1698"/>
      <c r="AH677" s="1698"/>
      <c r="AI677" s="1698"/>
      <c r="AJ677" s="1698"/>
      <c r="AK677" s="169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917</v>
      </c>
      <c r="N678" s="1699" t="s">
        <v>119</v>
      </c>
      <c r="O678" s="1699"/>
      <c r="T678" s="46"/>
      <c r="U678" s="16" t="s">
        <v>917</v>
      </c>
      <c r="AG678" s="1699" t="s">
        <v>119</v>
      </c>
      <c r="AH678" s="169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75">
        <f>C640</f>
        <v>0</v>
      </c>
      <c r="H680" s="1875"/>
      <c r="I680" s="1875"/>
      <c r="J680" s="1875"/>
      <c r="K680" s="1875"/>
      <c r="L680" s="1875"/>
      <c r="M680" s="1875"/>
      <c r="N680" s="1875"/>
      <c r="O680" s="1875"/>
      <c r="P680" s="1875"/>
      <c r="Q680" s="1875"/>
      <c r="R680" s="1875"/>
      <c r="T680" s="101" t="s">
        <v>191</v>
      </c>
      <c r="U680" s="16" t="s">
        <v>93</v>
      </c>
      <c r="Z680" s="1875">
        <f>C641</f>
        <v>0</v>
      </c>
      <c r="AA680" s="1875"/>
      <c r="AB680" s="1875"/>
      <c r="AC680" s="1875"/>
      <c r="AD680" s="1875"/>
      <c r="AE680" s="1875"/>
      <c r="AF680" s="1875"/>
      <c r="AG680" s="1875"/>
      <c r="AH680" s="1875"/>
      <c r="AI680" s="1875"/>
      <c r="AJ680" s="1875"/>
      <c r="AK680" s="187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8"/>
      <c r="H681" s="1698"/>
      <c r="I681" s="1698"/>
      <c r="J681" s="1698"/>
      <c r="K681" s="1698"/>
      <c r="L681" s="1698"/>
      <c r="M681" s="1698"/>
      <c r="N681" s="1698"/>
      <c r="O681" s="1698"/>
      <c r="P681" s="1698"/>
      <c r="Q681" s="1698"/>
      <c r="R681" s="1698"/>
      <c r="T681" s="46"/>
      <c r="U681" s="16" t="s">
        <v>416</v>
      </c>
      <c r="Z681" s="1698"/>
      <c r="AA681" s="1698"/>
      <c r="AB681" s="1698"/>
      <c r="AC681" s="1698"/>
      <c r="AD681" s="1698"/>
      <c r="AE681" s="1698"/>
      <c r="AF681" s="1698"/>
      <c r="AG681" s="1698"/>
      <c r="AH681" s="1698"/>
      <c r="AI681" s="1698"/>
      <c r="AJ681" s="1698"/>
      <c r="AK681" s="169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8"/>
      <c r="H682" s="1698"/>
      <c r="I682" s="1698"/>
      <c r="J682" s="1698"/>
      <c r="K682" s="1698"/>
      <c r="L682" s="1698"/>
      <c r="M682" s="1698"/>
      <c r="N682" s="1698"/>
      <c r="O682" s="1698"/>
      <c r="P682" s="1698"/>
      <c r="Q682" s="1698"/>
      <c r="R682" s="1698"/>
      <c r="T682" s="46"/>
      <c r="U682" s="16" t="s">
        <v>479</v>
      </c>
      <c r="Z682" s="1696"/>
      <c r="AA682" s="1696"/>
      <c r="AB682" s="1696"/>
      <c r="AC682" s="1696"/>
      <c r="AD682" s="1696"/>
      <c r="AE682" s="1696"/>
      <c r="AF682" s="1696"/>
      <c r="AG682" s="1696"/>
      <c r="AH682" s="1696"/>
      <c r="AI682" s="1696"/>
      <c r="AJ682" s="1696"/>
      <c r="AK682" s="169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8"/>
      <c r="H683" s="1698"/>
      <c r="I683" s="1698"/>
      <c r="J683" s="1698"/>
      <c r="K683" s="1698"/>
      <c r="L683" s="1698"/>
      <c r="M683" s="1698"/>
      <c r="N683" s="1698"/>
      <c r="O683" s="1698"/>
      <c r="P683" s="1698"/>
      <c r="Q683" s="1698"/>
      <c r="R683" s="1698"/>
      <c r="T683" s="46"/>
      <c r="U683" s="16" t="s">
        <v>914</v>
      </c>
      <c r="Z683" s="1696"/>
      <c r="AA683" s="1696"/>
      <c r="AB683" s="1696"/>
      <c r="AC683" s="1696"/>
      <c r="AD683" s="1696"/>
      <c r="AE683" s="1696"/>
      <c r="AF683" s="1696"/>
      <c r="AG683" s="1696"/>
      <c r="AH683" s="1696"/>
      <c r="AI683" s="1696"/>
      <c r="AJ683" s="1696"/>
      <c r="AK683" s="169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8"/>
      <c r="H684" s="1688"/>
      <c r="I684" s="1688"/>
      <c r="J684" s="1688"/>
      <c r="K684" s="1688"/>
      <c r="L684" s="1688"/>
      <c r="O684" s="149" t="s">
        <v>899</v>
      </c>
      <c r="P684" s="1700"/>
      <c r="Q684" s="1700"/>
      <c r="R684" s="1700"/>
      <c r="T684" s="46"/>
      <c r="U684" s="16" t="s">
        <v>715</v>
      </c>
      <c r="Z684" s="1688"/>
      <c r="AA684" s="1688"/>
      <c r="AB684" s="1688"/>
      <c r="AC684" s="1688"/>
      <c r="AD684" s="1688"/>
      <c r="AE684" s="1688"/>
      <c r="AH684" s="149" t="s">
        <v>899</v>
      </c>
      <c r="AI684" s="1700"/>
      <c r="AJ684" s="1700"/>
      <c r="AK684" s="170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915</v>
      </c>
      <c r="H685" s="1698"/>
      <c r="I685" s="1698"/>
      <c r="J685" s="1698"/>
      <c r="K685" s="1698"/>
      <c r="L685" s="1698"/>
      <c r="M685" s="1698"/>
      <c r="N685" s="1698"/>
      <c r="O685" s="1698"/>
      <c r="P685" s="1698"/>
      <c r="Q685" s="1698"/>
      <c r="R685" s="1698"/>
      <c r="T685" s="46"/>
      <c r="U685" s="16" t="s">
        <v>915</v>
      </c>
      <c r="AA685" s="1698"/>
      <c r="AB685" s="1698"/>
      <c r="AC685" s="1698"/>
      <c r="AD685" s="1698"/>
      <c r="AE685" s="1698"/>
      <c r="AF685" s="1698"/>
      <c r="AG685" s="1698"/>
      <c r="AH685" s="1698"/>
      <c r="AI685" s="1698"/>
      <c r="AJ685" s="1698"/>
      <c r="AK685" s="1698"/>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99" t="s">
        <v>531</v>
      </c>
      <c r="O686" s="1699"/>
      <c r="T686" s="46"/>
      <c r="U686" s="16" t="s">
        <v>917</v>
      </c>
      <c r="AG686" s="1699" t="s">
        <v>531</v>
      </c>
      <c r="AH686" s="1699"/>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75">
        <f>C642</f>
        <v>0</v>
      </c>
      <c r="H688" s="1875"/>
      <c r="I688" s="1875"/>
      <c r="J688" s="1875"/>
      <c r="K688" s="1875"/>
      <c r="L688" s="1875"/>
      <c r="M688" s="1875"/>
      <c r="N688" s="1875"/>
      <c r="O688" s="1875"/>
      <c r="P688" s="1875"/>
      <c r="Q688" s="1875"/>
      <c r="R688" s="1875"/>
      <c r="T688" s="101" t="s">
        <v>38</v>
      </c>
      <c r="U688" s="16" t="s">
        <v>93</v>
      </c>
      <c r="Z688" s="1875">
        <f>C643</f>
        <v>0</v>
      </c>
      <c r="AA688" s="1875"/>
      <c r="AB688" s="1875"/>
      <c r="AC688" s="1875"/>
      <c r="AD688" s="1875"/>
      <c r="AE688" s="1875"/>
      <c r="AF688" s="1875"/>
      <c r="AG688" s="1875"/>
      <c r="AH688" s="1875"/>
      <c r="AI688" s="1875"/>
      <c r="AJ688" s="1875"/>
      <c r="AK688" s="1875"/>
      <c r="AM688" s="75"/>
      <c r="BA688" s="503" t="s">
        <v>335</v>
      </c>
      <c r="BB688" s="75"/>
      <c r="BC688" s="75"/>
      <c r="BD688" s="75"/>
      <c r="BE688" s="75"/>
      <c r="BF688" s="75"/>
      <c r="BG688" s="63" t="s">
        <v>1257</v>
      </c>
      <c r="BH688" s="75"/>
      <c r="BI688" s="75"/>
      <c r="BJ688" s="75"/>
      <c r="BK688" s="75"/>
      <c r="BL688" s="75"/>
      <c r="BM688" s="72"/>
      <c r="BN688" s="72"/>
      <c r="BO688" s="72"/>
      <c r="BP688" s="903" t="s">
        <v>334</v>
      </c>
      <c r="BQ688" s="904" t="s">
        <v>490</v>
      </c>
      <c r="BR688" s="904" t="s">
        <v>491</v>
      </c>
      <c r="BS688" s="904" t="s">
        <v>852</v>
      </c>
      <c r="BT688" s="904" t="s">
        <v>853</v>
      </c>
      <c r="BU688" s="904" t="s">
        <v>854</v>
      </c>
      <c r="BV688" s="904"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416</v>
      </c>
      <c r="G689" s="1698"/>
      <c r="H689" s="1698"/>
      <c r="I689" s="1698"/>
      <c r="J689" s="1698"/>
      <c r="K689" s="1698"/>
      <c r="L689" s="1698"/>
      <c r="M689" s="1698"/>
      <c r="N689" s="1698"/>
      <c r="O689" s="1698"/>
      <c r="P689" s="1698"/>
      <c r="Q689" s="1698"/>
      <c r="R689" s="1698"/>
      <c r="T689" s="46"/>
      <c r="U689" s="16" t="s">
        <v>416</v>
      </c>
      <c r="Z689" s="1698"/>
      <c r="AA689" s="1698"/>
      <c r="AB689" s="1698"/>
      <c r="AC689" s="1698"/>
      <c r="AD689" s="1698"/>
      <c r="AE689" s="1698"/>
      <c r="AF689" s="1698"/>
      <c r="AG689" s="1698"/>
      <c r="AH689" s="1698"/>
      <c r="AI689" s="1698"/>
      <c r="AJ689" s="1698"/>
      <c r="AK689" s="1698"/>
      <c r="AM689" s="75"/>
      <c r="BA689" s="75">
        <f>IF($G706=0,"N/A",VLOOKUP($T$189,TC_Rent,(MATCH($B706,bedrooms,FALSE))))</f>
        <v>2102</v>
      </c>
      <c r="BB689" s="75"/>
      <c r="BC689" s="75"/>
      <c r="BD689" s="75"/>
      <c r="BE689" s="75"/>
      <c r="BF689" s="75"/>
      <c r="BG689" s="713" t="s">
        <v>1258</v>
      </c>
      <c r="BH689" s="731" t="s">
        <v>1259</v>
      </c>
      <c r="BI689" s="730" t="s">
        <v>1260</v>
      </c>
      <c r="BJ689" s="715"/>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479</v>
      </c>
      <c r="G690" s="1698"/>
      <c r="H690" s="1698"/>
      <c r="I690" s="1698"/>
      <c r="J690" s="1698"/>
      <c r="K690" s="1698"/>
      <c r="L690" s="1698"/>
      <c r="M690" s="1698"/>
      <c r="N690" s="1698"/>
      <c r="O690" s="1698"/>
      <c r="P690" s="1698"/>
      <c r="Q690" s="1698"/>
      <c r="R690" s="1698"/>
      <c r="U690" s="16" t="s">
        <v>479</v>
      </c>
      <c r="Z690" s="1696"/>
      <c r="AA690" s="1696"/>
      <c r="AB690" s="1696"/>
      <c r="AC690" s="1696"/>
      <c r="AD690" s="1696"/>
      <c r="AE690" s="1696"/>
      <c r="AF690" s="1696"/>
      <c r="AG690" s="1696"/>
      <c r="AH690" s="1696"/>
      <c r="AI690" s="1696"/>
      <c r="AJ690" s="1696"/>
      <c r="AK690" s="1696"/>
      <c r="AM690" s="75"/>
      <c r="BA690" s="75">
        <f t="shared" ref="BA690:BA713" si="22">IF($G707=0,"N/A",VLOOKUP($T$189,TC_Rent,(MATCH($B707,bedrooms,FALSE))))</f>
        <v>2102</v>
      </c>
      <c r="BB690" s="75"/>
      <c r="BC690" s="75"/>
      <c r="BD690" s="75"/>
      <c r="BE690" s="75"/>
      <c r="BF690" s="75"/>
      <c r="BG690" s="703">
        <f>G706</f>
        <v>5</v>
      </c>
      <c r="BH690" s="716">
        <f>BG690/$BG$715</f>
        <v>0.10204081632653061</v>
      </c>
      <c r="BI690" s="718">
        <f>IF(BH690=0," ",BH690*AH706)</f>
        <v>3.0612244897959183E-2</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914</v>
      </c>
      <c r="G691" s="1698"/>
      <c r="H691" s="1698"/>
      <c r="I691" s="1698"/>
      <c r="J691" s="1698"/>
      <c r="K691" s="1698"/>
      <c r="L691" s="1698"/>
      <c r="M691" s="1698"/>
      <c r="N691" s="1698"/>
      <c r="O691" s="1698"/>
      <c r="P691" s="1698"/>
      <c r="Q691" s="1698"/>
      <c r="R691" s="1698"/>
      <c r="U691" s="16" t="s">
        <v>914</v>
      </c>
      <c r="Z691" s="1696"/>
      <c r="AA691" s="1696"/>
      <c r="AB691" s="1696"/>
      <c r="AC691" s="1696"/>
      <c r="AD691" s="1696"/>
      <c r="AE691" s="1696"/>
      <c r="AF691" s="1696"/>
      <c r="AG691" s="1696"/>
      <c r="AH691" s="1696"/>
      <c r="AI691" s="1696"/>
      <c r="AJ691" s="1696"/>
      <c r="AK691" s="1696"/>
      <c r="AM691" s="75"/>
      <c r="BA691" s="75">
        <f t="shared" si="22"/>
        <v>2102</v>
      </c>
      <c r="BB691" s="75"/>
      <c r="BC691" s="75"/>
      <c r="BD691" s="75"/>
      <c r="BE691" s="75"/>
      <c r="BF691" s="75"/>
      <c r="BG691" s="704">
        <f t="shared" ref="BG691:BG714" si="23">G707</f>
        <v>5</v>
      </c>
      <c r="BH691" s="716">
        <f t="shared" ref="BH691:BH714" si="24">BG691/$BG$715</f>
        <v>0.10204081632653061</v>
      </c>
      <c r="BI691" s="718">
        <f t="shared" ref="BI691:BI714" si="25">IF(BH691=0," ",BH691*AH707)</f>
        <v>4.5918367346938778E-2</v>
      </c>
      <c r="BJ691" s="75"/>
      <c r="BK691" s="75"/>
      <c r="BL691" s="75"/>
      <c r="BM691" s="72"/>
      <c r="BN691" s="72"/>
      <c r="BO691" s="72"/>
      <c r="BP691" s="907" t="s">
        <v>432</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8"/>
      <c r="H692" s="1688"/>
      <c r="I692" s="1688"/>
      <c r="J692" s="1688"/>
      <c r="K692" s="1688"/>
      <c r="L692" s="1688"/>
      <c r="O692" s="149" t="s">
        <v>899</v>
      </c>
      <c r="P692" s="1700"/>
      <c r="Q692" s="1700"/>
      <c r="R692" s="1700"/>
      <c r="U692" s="16" t="s">
        <v>715</v>
      </c>
      <c r="Z692" s="1688"/>
      <c r="AA692" s="1688"/>
      <c r="AB692" s="1688"/>
      <c r="AC692" s="1688"/>
      <c r="AD692" s="1688"/>
      <c r="AE692" s="1688"/>
      <c r="AH692" s="149" t="s">
        <v>899</v>
      </c>
      <c r="AI692" s="1700"/>
      <c r="AJ692" s="1700"/>
      <c r="AK692" s="1700"/>
      <c r="AM692" s="75"/>
      <c r="BA692" s="75">
        <f t="shared" si="22"/>
        <v>2102</v>
      </c>
      <c r="BB692" s="72"/>
      <c r="BC692" s="72"/>
      <c r="BD692" s="72"/>
      <c r="BE692" s="72"/>
      <c r="BF692" s="72"/>
      <c r="BG692" s="704">
        <f t="shared" si="23"/>
        <v>11</v>
      </c>
      <c r="BH692" s="716">
        <f t="shared" si="24"/>
        <v>0.22448979591836735</v>
      </c>
      <c r="BI692" s="718">
        <f t="shared" si="25"/>
        <v>0.11224489795918367</v>
      </c>
      <c r="BJ692" s="72"/>
      <c r="BK692" s="72"/>
      <c r="BL692" s="72"/>
      <c r="BM692" s="72"/>
      <c r="BN692" s="72"/>
      <c r="BO692" s="72"/>
      <c r="BP692" s="907" t="s">
        <v>433</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8"/>
      <c r="I693" s="1698"/>
      <c r="J693" s="1698"/>
      <c r="K693" s="1698"/>
      <c r="L693" s="1698"/>
      <c r="M693" s="1698"/>
      <c r="N693" s="1698"/>
      <c r="O693" s="1698"/>
      <c r="P693" s="1698"/>
      <c r="Q693" s="1698"/>
      <c r="R693" s="1698"/>
      <c r="U693" s="16" t="s">
        <v>915</v>
      </c>
      <c r="AA693" s="1698"/>
      <c r="AB693" s="1698"/>
      <c r="AC693" s="1698"/>
      <c r="AD693" s="1698"/>
      <c r="AE693" s="1698"/>
      <c r="AF693" s="1698"/>
      <c r="AG693" s="1698"/>
      <c r="AH693" s="1698"/>
      <c r="AI693" s="1698"/>
      <c r="AJ693" s="1698"/>
      <c r="AK693" s="1698"/>
      <c r="AM693" s="72"/>
      <c r="BA693" s="75">
        <f t="shared" si="22"/>
        <v>2102</v>
      </c>
      <c r="BB693" s="72"/>
      <c r="BC693" s="72"/>
      <c r="BD693" s="72"/>
      <c r="BE693" s="72"/>
      <c r="BF693" s="72"/>
      <c r="BG693" s="704">
        <f t="shared" si="23"/>
        <v>6</v>
      </c>
      <c r="BH693" s="716">
        <f t="shared" si="24"/>
        <v>0.12244897959183673</v>
      </c>
      <c r="BI693" s="718">
        <f t="shared" si="25"/>
        <v>7.3469387755102034E-2</v>
      </c>
      <c r="BJ693" s="72"/>
      <c r="BK693" s="72"/>
      <c r="BL693" s="72"/>
      <c r="BM693" s="72"/>
      <c r="BN693" s="72"/>
      <c r="BO693" s="72"/>
      <c r="BP693" s="907" t="s">
        <v>434</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917</v>
      </c>
      <c r="N694" s="1699" t="s">
        <v>531</v>
      </c>
      <c r="O694" s="1699"/>
      <c r="U694" s="16" t="s">
        <v>917</v>
      </c>
      <c r="AG694" s="1699" t="s">
        <v>531</v>
      </c>
      <c r="AH694" s="1699"/>
      <c r="AM694" s="72"/>
      <c r="BA694" s="75">
        <f t="shared" si="22"/>
        <v>2522</v>
      </c>
      <c r="BB694" s="72"/>
      <c r="BC694" s="72"/>
      <c r="BD694" s="72"/>
      <c r="BE694" s="72"/>
      <c r="BF694" s="72"/>
      <c r="BG694" s="704">
        <f t="shared" si="23"/>
        <v>4</v>
      </c>
      <c r="BH694" s="716">
        <f t="shared" si="24"/>
        <v>8.1632653061224483E-2</v>
      </c>
      <c r="BI694" s="718">
        <f t="shared" si="25"/>
        <v>2.4489795918367346E-2</v>
      </c>
      <c r="BJ694" s="72"/>
      <c r="BK694" s="72"/>
      <c r="BL694" s="72"/>
      <c r="BM694" s="72"/>
      <c r="BN694" s="72"/>
      <c r="BO694" s="72"/>
      <c r="BP694" s="907" t="s">
        <v>435</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2102</v>
      </c>
      <c r="BB695" s="72"/>
      <c r="BC695" s="72"/>
      <c r="BD695" s="72"/>
      <c r="BE695" s="72"/>
      <c r="BF695" s="72"/>
      <c r="BG695" s="704">
        <f t="shared" si="23"/>
        <v>1</v>
      </c>
      <c r="BH695" s="716">
        <f t="shared" si="24"/>
        <v>2.0408163265306121E-2</v>
      </c>
      <c r="BI695" s="718">
        <f t="shared" si="25"/>
        <v>6.1224489795918364E-3</v>
      </c>
      <c r="BJ695" s="72"/>
      <c r="BK695" s="72"/>
      <c r="BL695" s="72"/>
      <c r="BM695" s="72"/>
      <c r="BN695" s="72"/>
      <c r="BO695" s="72"/>
      <c r="BP695" s="907" t="s">
        <v>436</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f t="shared" si="22"/>
        <v>2102</v>
      </c>
      <c r="BB696" s="72"/>
      <c r="BC696" s="72"/>
      <c r="BD696" s="72"/>
      <c r="BE696" s="72"/>
      <c r="BF696" s="72"/>
      <c r="BG696" s="704">
        <f t="shared" si="23"/>
        <v>3</v>
      </c>
      <c r="BH696" s="716">
        <f t="shared" si="24"/>
        <v>6.1224489795918366E-2</v>
      </c>
      <c r="BI696" s="718">
        <f t="shared" si="25"/>
        <v>2.7551020408163266E-2</v>
      </c>
      <c r="BJ696" s="72"/>
      <c r="BK696" s="72"/>
      <c r="BL696" s="72"/>
      <c r="BM696" s="72"/>
      <c r="BN696" s="72"/>
      <c r="BO696" s="72"/>
      <c r="BP696" s="907" t="s">
        <v>437</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751" t="s">
        <v>139</v>
      </c>
      <c r="B697" s="1751"/>
      <c r="C697" s="1751"/>
      <c r="D697" s="1751"/>
      <c r="E697" s="1751"/>
      <c r="F697" s="1751"/>
      <c r="G697" s="1751"/>
      <c r="H697" s="1751"/>
      <c r="I697" s="1751"/>
      <c r="J697" s="1751"/>
      <c r="K697" s="1751"/>
      <c r="L697" s="1751"/>
      <c r="M697" s="1751"/>
      <c r="N697" s="1751"/>
      <c r="O697" s="1751"/>
      <c r="P697" s="1751"/>
      <c r="Q697" s="1751"/>
      <c r="R697" s="1751"/>
      <c r="S697" s="1751"/>
      <c r="T697" s="1751"/>
      <c r="U697" s="1751"/>
      <c r="V697" s="1751"/>
      <c r="W697" s="1751"/>
      <c r="X697" s="1751"/>
      <c r="Y697" s="1751"/>
      <c r="Z697" s="1751"/>
      <c r="AA697" s="1751"/>
      <c r="AB697" s="1751"/>
      <c r="AC697" s="1751"/>
      <c r="AD697" s="1751"/>
      <c r="AE697" s="1751"/>
      <c r="AF697" s="1751"/>
      <c r="AG697" s="1751"/>
      <c r="AH697" s="1751"/>
      <c r="AI697" s="1751"/>
      <c r="AJ697" s="1751"/>
      <c r="AK697" s="1751"/>
      <c r="AL697" s="1751"/>
      <c r="AM697" s="1751"/>
      <c r="AN697" s="1751"/>
      <c r="AO697" s="1751"/>
      <c r="BA697" s="75">
        <f t="shared" si="22"/>
        <v>2102</v>
      </c>
      <c r="BB697" s="72"/>
      <c r="BC697" s="72"/>
      <c r="BD697" s="72"/>
      <c r="BE697" s="72"/>
      <c r="BF697" s="72"/>
      <c r="BG697" s="704">
        <f t="shared" si="23"/>
        <v>6</v>
      </c>
      <c r="BH697" s="716">
        <f t="shared" si="24"/>
        <v>0.12244897959183673</v>
      </c>
      <c r="BI697" s="718">
        <f t="shared" si="25"/>
        <v>6.1224489795918366E-2</v>
      </c>
      <c r="BJ697" s="72"/>
      <c r="BK697" s="72"/>
      <c r="BL697" s="72"/>
      <c r="BM697" s="72"/>
      <c r="BN697" s="72"/>
      <c r="BO697" s="72"/>
      <c r="BP697" s="907" t="s">
        <v>438</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751"/>
      <c r="B698" s="1751"/>
      <c r="C698" s="1751"/>
      <c r="D698" s="1751"/>
      <c r="E698" s="1751"/>
      <c r="F698" s="1751"/>
      <c r="G698" s="1751"/>
      <c r="H698" s="1751"/>
      <c r="I698" s="1751"/>
      <c r="J698" s="1751"/>
      <c r="K698" s="1751"/>
      <c r="L698" s="1751"/>
      <c r="M698" s="1751"/>
      <c r="N698" s="1751"/>
      <c r="O698" s="1751"/>
      <c r="P698" s="1751"/>
      <c r="Q698" s="1751"/>
      <c r="R698" s="1751"/>
      <c r="S698" s="1751"/>
      <c r="T698" s="1751"/>
      <c r="U698" s="1751"/>
      <c r="V698" s="1751"/>
      <c r="W698" s="1751"/>
      <c r="X698" s="1751"/>
      <c r="Y698" s="1751"/>
      <c r="Z698" s="1751"/>
      <c r="AA698" s="1751"/>
      <c r="AB698" s="1751"/>
      <c r="AC698" s="1751"/>
      <c r="AD698" s="1751"/>
      <c r="AE698" s="1751"/>
      <c r="AF698" s="1751"/>
      <c r="AG698" s="1751"/>
      <c r="AH698" s="1751"/>
      <c r="AI698" s="1751"/>
      <c r="AJ698" s="1751"/>
      <c r="AK698" s="1751"/>
      <c r="AL698" s="1751"/>
      <c r="AM698" s="1751"/>
      <c r="AN698" s="1751"/>
      <c r="AO698" s="1751"/>
      <c r="BA698" s="75">
        <f t="shared" si="22"/>
        <v>2522</v>
      </c>
      <c r="BE698" s="72"/>
      <c r="BF698" s="72"/>
      <c r="BG698" s="704">
        <f t="shared" si="23"/>
        <v>4</v>
      </c>
      <c r="BH698" s="716">
        <f t="shared" si="24"/>
        <v>8.1632653061224483E-2</v>
      </c>
      <c r="BI698" s="718">
        <f t="shared" si="25"/>
        <v>4.8979591836734691E-2</v>
      </c>
      <c r="BJ698" s="72"/>
      <c r="BK698" s="72"/>
      <c r="BL698" s="72"/>
      <c r="BM698" s="72"/>
      <c r="BN698" s="72"/>
      <c r="BO698" s="72"/>
      <c r="BP698" s="907" t="s">
        <v>439</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751"/>
      <c r="B699" s="1751"/>
      <c r="C699" s="1751"/>
      <c r="D699" s="1751"/>
      <c r="E699" s="1751"/>
      <c r="F699" s="1751"/>
      <c r="G699" s="1751"/>
      <c r="H699" s="1751"/>
      <c r="I699" s="1751"/>
      <c r="J699" s="1751"/>
      <c r="K699" s="1751"/>
      <c r="L699" s="1751"/>
      <c r="M699" s="1751"/>
      <c r="N699" s="1751"/>
      <c r="O699" s="1751"/>
      <c r="P699" s="1751"/>
      <c r="Q699" s="1751"/>
      <c r="R699" s="1751"/>
      <c r="S699" s="1751"/>
      <c r="T699" s="1751"/>
      <c r="U699" s="1751"/>
      <c r="V699" s="1751"/>
      <c r="W699" s="1751"/>
      <c r="X699" s="1751"/>
      <c r="Y699" s="1751"/>
      <c r="Z699" s="1751"/>
      <c r="AA699" s="1751"/>
      <c r="AB699" s="1751"/>
      <c r="AC699" s="1751"/>
      <c r="AD699" s="1751"/>
      <c r="AE699" s="1751"/>
      <c r="AF699" s="1751"/>
      <c r="AG699" s="1751"/>
      <c r="AH699" s="1751"/>
      <c r="AI699" s="1751"/>
      <c r="AJ699" s="1751"/>
      <c r="AK699" s="1751"/>
      <c r="AL699" s="1751"/>
      <c r="AM699" s="1751"/>
      <c r="AN699" s="1751"/>
      <c r="AO699" s="1751"/>
      <c r="BA699" s="75" t="str">
        <f t="shared" si="22"/>
        <v>N/A</v>
      </c>
      <c r="BE699" s="72"/>
      <c r="BF699" s="72"/>
      <c r="BG699" s="704">
        <f t="shared" si="23"/>
        <v>4</v>
      </c>
      <c r="BH699" s="716">
        <f t="shared" si="24"/>
        <v>8.1632653061224483E-2</v>
      </c>
      <c r="BI699" s="718">
        <f t="shared" si="25"/>
        <v>4.8979591836734691E-2</v>
      </c>
      <c r="BJ699" s="72"/>
      <c r="BK699" s="72"/>
      <c r="BL699" s="72"/>
      <c r="BM699" s="72"/>
      <c r="BN699" s="72"/>
      <c r="BO699" s="72"/>
      <c r="BP699" s="907" t="s">
        <v>440</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718</v>
      </c>
      <c r="B700" s="116"/>
      <c r="C700" s="116" t="s">
        <v>916</v>
      </c>
      <c r="D700" s="1393"/>
      <c r="E700" s="1393"/>
      <c r="F700" s="1393"/>
      <c r="G700" s="1393"/>
      <c r="H700" s="1393"/>
      <c r="I700" s="1393"/>
      <c r="J700" s="1393"/>
      <c r="K700" s="1393"/>
      <c r="L700" s="1393"/>
      <c r="M700" s="1393"/>
      <c r="N700" s="1393"/>
      <c r="O700" s="1393"/>
      <c r="P700" s="1393"/>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7" t="s">
        <v>441</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46"/>
      <c r="C701" s="116"/>
      <c r="D701" s="1393"/>
      <c r="E701" s="1393"/>
      <c r="F701" s="1393"/>
      <c r="G701" s="1393"/>
      <c r="H701" s="1393"/>
      <c r="I701" s="1393"/>
      <c r="J701" s="1393"/>
      <c r="K701" s="1393"/>
      <c r="L701" s="1393"/>
      <c r="M701" s="1393"/>
      <c r="N701" s="1393"/>
      <c r="O701" s="1393"/>
      <c r="P701" s="1393"/>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7" t="s">
        <v>442</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3"/>
      <c r="B702" s="1839" t="s">
        <v>59</v>
      </c>
      <c r="C702" s="1840"/>
      <c r="D702" s="1840"/>
      <c r="E702" s="1840"/>
      <c r="F702" s="1841"/>
      <c r="G702" s="1839" t="s">
        <v>284</v>
      </c>
      <c r="H702" s="1840"/>
      <c r="I702" s="1840"/>
      <c r="J702" s="1841"/>
      <c r="K702" s="2154" t="s">
        <v>2287</v>
      </c>
      <c r="L702" s="2155"/>
      <c r="M702" s="2155"/>
      <c r="N702" s="2156"/>
      <c r="O702" s="1839" t="s">
        <v>654</v>
      </c>
      <c r="P702" s="1840"/>
      <c r="Q702" s="1840"/>
      <c r="R702" s="1840"/>
      <c r="S702" s="1841"/>
      <c r="T702" s="1839" t="s">
        <v>285</v>
      </c>
      <c r="U702" s="1840"/>
      <c r="V702" s="1840"/>
      <c r="W702" s="1840"/>
      <c r="X702" s="1841"/>
      <c r="Y702" s="1839" t="s">
        <v>286</v>
      </c>
      <c r="Z702" s="1840"/>
      <c r="AA702" s="1840"/>
      <c r="AB702" s="1841"/>
      <c r="AC702" s="1839" t="s">
        <v>287</v>
      </c>
      <c r="AD702" s="1840"/>
      <c r="AE702" s="1840"/>
      <c r="AF702" s="1840"/>
      <c r="AG702" s="1841"/>
      <c r="AH702" s="1839" t="s">
        <v>2288</v>
      </c>
      <c r="AI702" s="1840"/>
      <c r="AJ702" s="1840"/>
      <c r="AK702" s="1840"/>
      <c r="AL702" s="1841"/>
      <c r="AM702" s="1839" t="s">
        <v>2289</v>
      </c>
      <c r="AN702" s="1840"/>
      <c r="AO702" s="1841"/>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7" t="s">
        <v>443</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93"/>
      <c r="B703" s="1842"/>
      <c r="C703" s="1843"/>
      <c r="D703" s="1843"/>
      <c r="E703" s="1843"/>
      <c r="F703" s="1844"/>
      <c r="G703" s="1842"/>
      <c r="H703" s="1843"/>
      <c r="I703" s="1843"/>
      <c r="J703" s="1844"/>
      <c r="K703" s="2157"/>
      <c r="L703" s="2158"/>
      <c r="M703" s="2158"/>
      <c r="N703" s="2159"/>
      <c r="O703" s="1842"/>
      <c r="P703" s="1843"/>
      <c r="Q703" s="1843"/>
      <c r="R703" s="1843"/>
      <c r="S703" s="1844"/>
      <c r="T703" s="1842"/>
      <c r="U703" s="1843"/>
      <c r="V703" s="1843"/>
      <c r="W703" s="1843"/>
      <c r="X703" s="1844"/>
      <c r="Y703" s="1842"/>
      <c r="Z703" s="1843"/>
      <c r="AA703" s="1843"/>
      <c r="AB703" s="1844"/>
      <c r="AC703" s="1842"/>
      <c r="AD703" s="1843"/>
      <c r="AE703" s="1843"/>
      <c r="AF703" s="1843"/>
      <c r="AG703" s="1844"/>
      <c r="AH703" s="1842"/>
      <c r="AI703" s="1843"/>
      <c r="AJ703" s="1843"/>
      <c r="AK703" s="1843"/>
      <c r="AL703" s="1844"/>
      <c r="AM703" s="1842"/>
      <c r="AN703" s="1843"/>
      <c r="AO703" s="1844"/>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7" t="s">
        <v>444</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842"/>
      <c r="C704" s="1843"/>
      <c r="D704" s="1843"/>
      <c r="E704" s="1843"/>
      <c r="F704" s="1844"/>
      <c r="G704" s="1842"/>
      <c r="H704" s="1843"/>
      <c r="I704" s="1843"/>
      <c r="J704" s="1844"/>
      <c r="K704" s="2157"/>
      <c r="L704" s="2158"/>
      <c r="M704" s="2158"/>
      <c r="N704" s="2159"/>
      <c r="O704" s="1842"/>
      <c r="P704" s="1843"/>
      <c r="Q704" s="1843"/>
      <c r="R704" s="1843"/>
      <c r="S704" s="1844"/>
      <c r="T704" s="1842"/>
      <c r="U704" s="1843"/>
      <c r="V704" s="1843"/>
      <c r="W704" s="1843"/>
      <c r="X704" s="1844"/>
      <c r="Y704" s="1842"/>
      <c r="Z704" s="1843"/>
      <c r="AA704" s="1843"/>
      <c r="AB704" s="1844"/>
      <c r="AC704" s="1842"/>
      <c r="AD704" s="1843"/>
      <c r="AE704" s="1843"/>
      <c r="AF704" s="1843"/>
      <c r="AG704" s="1844"/>
      <c r="AH704" s="1842"/>
      <c r="AI704" s="1843"/>
      <c r="AJ704" s="1843"/>
      <c r="AK704" s="1843"/>
      <c r="AL704" s="1844"/>
      <c r="AM704" s="1842"/>
      <c r="AN704" s="1843"/>
      <c r="AO704" s="1844"/>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7" t="s">
        <v>445</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45"/>
      <c r="C705" s="1846"/>
      <c r="D705" s="1846"/>
      <c r="E705" s="1846"/>
      <c r="F705" s="1847"/>
      <c r="G705" s="1845"/>
      <c r="H705" s="1846"/>
      <c r="I705" s="1846"/>
      <c r="J705" s="1847"/>
      <c r="K705" s="2157"/>
      <c r="L705" s="2158"/>
      <c r="M705" s="2158"/>
      <c r="N705" s="2159"/>
      <c r="O705" s="1845"/>
      <c r="P705" s="1846"/>
      <c r="Q705" s="1846"/>
      <c r="R705" s="1846"/>
      <c r="S705" s="1847"/>
      <c r="T705" s="1845"/>
      <c r="U705" s="1846"/>
      <c r="V705" s="1846"/>
      <c r="W705" s="1846"/>
      <c r="X705" s="1847"/>
      <c r="Y705" s="1845"/>
      <c r="Z705" s="1846"/>
      <c r="AA705" s="1846"/>
      <c r="AB705" s="1847"/>
      <c r="AC705" s="1845"/>
      <c r="AD705" s="1846"/>
      <c r="AE705" s="1846"/>
      <c r="AF705" s="1846"/>
      <c r="AG705" s="1847"/>
      <c r="AH705" s="1845"/>
      <c r="AI705" s="1846"/>
      <c r="AJ705" s="1846"/>
      <c r="AK705" s="1846"/>
      <c r="AL705" s="1847"/>
      <c r="AM705" s="1845"/>
      <c r="AN705" s="1846"/>
      <c r="AO705" s="1847"/>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7" t="s">
        <v>446</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836" t="s">
        <v>491</v>
      </c>
      <c r="C706" s="1837"/>
      <c r="D706" s="1837"/>
      <c r="E706" s="1837"/>
      <c r="F706" s="1838"/>
      <c r="G706" s="1826">
        <v>5</v>
      </c>
      <c r="H706" s="1827"/>
      <c r="I706" s="1827"/>
      <c r="J706" s="1828"/>
      <c r="K706" s="1739">
        <v>775</v>
      </c>
      <c r="L706" s="1740"/>
      <c r="M706" s="1740"/>
      <c r="N706" s="1741"/>
      <c r="O706" s="1742">
        <f>631-36</f>
        <v>595</v>
      </c>
      <c r="P706" s="1743"/>
      <c r="Q706" s="1743"/>
      <c r="R706" s="1743"/>
      <c r="S706" s="1744"/>
      <c r="T706" s="1736">
        <f t="shared" ref="T706:T730" si="26">G706*O706</f>
        <v>2975</v>
      </c>
      <c r="U706" s="1737"/>
      <c r="V706" s="1737"/>
      <c r="W706" s="1737"/>
      <c r="X706" s="1738"/>
      <c r="Y706" s="1742">
        <v>36</v>
      </c>
      <c r="Z706" s="1743"/>
      <c r="AA706" s="1743"/>
      <c r="AB706" s="1744"/>
      <c r="AC706" s="1736">
        <f t="shared" ref="AC706:AC730" si="27">O706+Y706</f>
        <v>631</v>
      </c>
      <c r="AD706" s="1737"/>
      <c r="AE706" s="1737"/>
      <c r="AF706" s="1737"/>
      <c r="AG706" s="1738"/>
      <c r="AH706" s="1848">
        <v>0.3</v>
      </c>
      <c r="AI706" s="1849"/>
      <c r="AJ706" s="1849"/>
      <c r="AK706" s="1849"/>
      <c r="AL706" s="1850"/>
      <c r="AM706" s="2160">
        <f>IF($AH706&gt;0,($AC706/$BA689)," ")</f>
        <v>0.30019029495718363</v>
      </c>
      <c r="AN706" s="2161"/>
      <c r="AO706" s="216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7" t="s">
        <v>447</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836" t="s">
        <v>491</v>
      </c>
      <c r="C707" s="1837"/>
      <c r="D707" s="1837"/>
      <c r="E707" s="1837"/>
      <c r="F707" s="1838"/>
      <c r="G707" s="1826">
        <v>5</v>
      </c>
      <c r="H707" s="1827"/>
      <c r="I707" s="1827"/>
      <c r="J707" s="1828"/>
      <c r="K707" s="1739">
        <v>775</v>
      </c>
      <c r="L707" s="1740"/>
      <c r="M707" s="1740"/>
      <c r="N707" s="1741"/>
      <c r="O707" s="1742">
        <f>685-36</f>
        <v>649</v>
      </c>
      <c r="P707" s="1743"/>
      <c r="Q707" s="1743"/>
      <c r="R707" s="1743"/>
      <c r="S707" s="1744"/>
      <c r="T707" s="1736">
        <f t="shared" si="26"/>
        <v>3245</v>
      </c>
      <c r="U707" s="1737"/>
      <c r="V707" s="1737"/>
      <c r="W707" s="1737"/>
      <c r="X707" s="1738"/>
      <c r="Y707" s="1742">
        <v>36</v>
      </c>
      <c r="Z707" s="1743"/>
      <c r="AA707" s="1743"/>
      <c r="AB707" s="1744"/>
      <c r="AC707" s="1736">
        <f t="shared" si="27"/>
        <v>685</v>
      </c>
      <c r="AD707" s="1737"/>
      <c r="AE707" s="1737"/>
      <c r="AF707" s="1737"/>
      <c r="AG707" s="1738"/>
      <c r="AH707" s="1963">
        <v>0.45</v>
      </c>
      <c r="AI707" s="1964"/>
      <c r="AJ707" s="1964"/>
      <c r="AK707" s="1964"/>
      <c r="AL707" s="1965"/>
      <c r="AM707" s="2160">
        <f t="shared" ref="AM707:AM730" si="28">IF($AH707&gt;0,($AC707/$BA690), " ")</f>
        <v>0.32588011417697432</v>
      </c>
      <c r="AN707" s="2161"/>
      <c r="AO707" s="216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7" t="s">
        <v>448</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836" t="s">
        <v>491</v>
      </c>
      <c r="C708" s="1837"/>
      <c r="D708" s="1837"/>
      <c r="E708" s="1837"/>
      <c r="F708" s="1838"/>
      <c r="G708" s="1826">
        <v>11</v>
      </c>
      <c r="H708" s="1827"/>
      <c r="I708" s="1827"/>
      <c r="J708" s="1828"/>
      <c r="K708" s="1739">
        <v>775</v>
      </c>
      <c r="L708" s="1740"/>
      <c r="M708" s="1740"/>
      <c r="N708" s="1741"/>
      <c r="O708" s="1742">
        <f>685-36</f>
        <v>649</v>
      </c>
      <c r="P708" s="1743"/>
      <c r="Q708" s="1743"/>
      <c r="R708" s="1743"/>
      <c r="S708" s="1744"/>
      <c r="T708" s="1736">
        <f t="shared" si="26"/>
        <v>7139</v>
      </c>
      <c r="U708" s="1737"/>
      <c r="V708" s="1737"/>
      <c r="W708" s="1737"/>
      <c r="X708" s="1738"/>
      <c r="Y708" s="1742">
        <v>36</v>
      </c>
      <c r="Z708" s="1743"/>
      <c r="AA708" s="1743"/>
      <c r="AB708" s="1744"/>
      <c r="AC708" s="1736">
        <f t="shared" si="27"/>
        <v>685</v>
      </c>
      <c r="AD708" s="1737"/>
      <c r="AE708" s="1737"/>
      <c r="AF708" s="1737"/>
      <c r="AG708" s="1738"/>
      <c r="AH708" s="1963">
        <v>0.5</v>
      </c>
      <c r="AI708" s="1964"/>
      <c r="AJ708" s="1964"/>
      <c r="AK708" s="1964"/>
      <c r="AL708" s="1965"/>
      <c r="AM708" s="2160">
        <f t="shared" si="28"/>
        <v>0.32588011417697432</v>
      </c>
      <c r="AN708" s="2161"/>
      <c r="AO708" s="216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7" t="s">
        <v>449</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93"/>
      <c r="B709" s="1836" t="s">
        <v>491</v>
      </c>
      <c r="C709" s="1837"/>
      <c r="D709" s="1837"/>
      <c r="E709" s="1837"/>
      <c r="F709" s="1838"/>
      <c r="G709" s="1826">
        <v>6</v>
      </c>
      <c r="H709" s="1827"/>
      <c r="I709" s="1827"/>
      <c r="J709" s="1828"/>
      <c r="K709" s="1739">
        <v>775</v>
      </c>
      <c r="L709" s="1740"/>
      <c r="M709" s="1740"/>
      <c r="N709" s="1741"/>
      <c r="O709" s="1742">
        <f>685-36</f>
        <v>649</v>
      </c>
      <c r="P709" s="1743"/>
      <c r="Q709" s="1743"/>
      <c r="R709" s="1743"/>
      <c r="S709" s="1744"/>
      <c r="T709" s="1736">
        <f t="shared" si="26"/>
        <v>3894</v>
      </c>
      <c r="U709" s="1737"/>
      <c r="V709" s="1737"/>
      <c r="W709" s="1737"/>
      <c r="X709" s="1738"/>
      <c r="Y709" s="1742">
        <v>36</v>
      </c>
      <c r="Z709" s="1743"/>
      <c r="AA709" s="1743"/>
      <c r="AB709" s="1744"/>
      <c r="AC709" s="1736">
        <f t="shared" si="27"/>
        <v>685</v>
      </c>
      <c r="AD709" s="1737"/>
      <c r="AE709" s="1737"/>
      <c r="AF709" s="1737"/>
      <c r="AG709" s="1738"/>
      <c r="AH709" s="1963">
        <v>0.6</v>
      </c>
      <c r="AI709" s="1964"/>
      <c r="AJ709" s="1964"/>
      <c r="AK709" s="1964"/>
      <c r="AL709" s="1965"/>
      <c r="AM709" s="2160">
        <f t="shared" si="28"/>
        <v>0.32588011417697432</v>
      </c>
      <c r="AN709" s="2161"/>
      <c r="AO709" s="216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7" t="s">
        <v>450</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93"/>
      <c r="B710" s="1836" t="s">
        <v>491</v>
      </c>
      <c r="C710" s="1837"/>
      <c r="D710" s="1837"/>
      <c r="E710" s="1837"/>
      <c r="F710" s="1838"/>
      <c r="G710" s="1826">
        <v>4</v>
      </c>
      <c r="H710" s="1827"/>
      <c r="I710" s="1827"/>
      <c r="J710" s="1828"/>
      <c r="K710" s="1739">
        <v>775</v>
      </c>
      <c r="L710" s="1740"/>
      <c r="M710" s="1740"/>
      <c r="N710" s="1741"/>
      <c r="O710" s="1742">
        <f>630-36</f>
        <v>594</v>
      </c>
      <c r="P710" s="1743"/>
      <c r="Q710" s="1743"/>
      <c r="R710" s="1743"/>
      <c r="S710" s="1744"/>
      <c r="T710" s="1736">
        <f t="shared" si="26"/>
        <v>2376</v>
      </c>
      <c r="U710" s="1737"/>
      <c r="V710" s="1737"/>
      <c r="W710" s="1737"/>
      <c r="X710" s="1738"/>
      <c r="Y710" s="1742">
        <v>36</v>
      </c>
      <c r="Z710" s="1743"/>
      <c r="AA710" s="1743"/>
      <c r="AB710" s="1744"/>
      <c r="AC710" s="1736">
        <f t="shared" si="27"/>
        <v>630</v>
      </c>
      <c r="AD710" s="1737"/>
      <c r="AE710" s="1737"/>
      <c r="AF710" s="1737"/>
      <c r="AG710" s="1738"/>
      <c r="AH710" s="1963">
        <v>0.3</v>
      </c>
      <c r="AI710" s="1964"/>
      <c r="AJ710" s="1964"/>
      <c r="AK710" s="1964"/>
      <c r="AL710" s="1965"/>
      <c r="AM710" s="2160">
        <f t="shared" si="28"/>
        <v>0.29971455756422455</v>
      </c>
      <c r="AN710" s="2161"/>
      <c r="AO710" s="216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7" t="s">
        <v>451</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93"/>
      <c r="B711" s="1836" t="s">
        <v>852</v>
      </c>
      <c r="C711" s="1837"/>
      <c r="D711" s="1837"/>
      <c r="E711" s="1837"/>
      <c r="F711" s="1838"/>
      <c r="G711" s="1826">
        <v>1</v>
      </c>
      <c r="H711" s="1827"/>
      <c r="I711" s="1827"/>
      <c r="J711" s="1828"/>
      <c r="K711" s="1739">
        <v>900</v>
      </c>
      <c r="L711" s="1740"/>
      <c r="M711" s="1740"/>
      <c r="N711" s="1741"/>
      <c r="O711" s="1742">
        <f>756-45</f>
        <v>711</v>
      </c>
      <c r="P711" s="1743"/>
      <c r="Q711" s="1743"/>
      <c r="R711" s="1743"/>
      <c r="S711" s="1744"/>
      <c r="T711" s="1736">
        <f t="shared" si="26"/>
        <v>711</v>
      </c>
      <c r="U711" s="1737"/>
      <c r="V711" s="1737"/>
      <c r="W711" s="1737"/>
      <c r="X711" s="1738"/>
      <c r="Y711" s="1742">
        <v>45</v>
      </c>
      <c r="Z711" s="1743"/>
      <c r="AA711" s="1743"/>
      <c r="AB711" s="1744"/>
      <c r="AC711" s="1736">
        <f t="shared" si="27"/>
        <v>756</v>
      </c>
      <c r="AD711" s="1737"/>
      <c r="AE711" s="1737"/>
      <c r="AF711" s="1737"/>
      <c r="AG711" s="1738"/>
      <c r="AH711" s="1963">
        <v>0.3</v>
      </c>
      <c r="AI711" s="1964"/>
      <c r="AJ711" s="1964"/>
      <c r="AK711" s="1964"/>
      <c r="AL711" s="1965"/>
      <c r="AM711" s="2160">
        <f t="shared" si="28"/>
        <v>0.29976209357652656</v>
      </c>
      <c r="AN711" s="2161"/>
      <c r="AO711" s="216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7" t="s">
        <v>452</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93"/>
      <c r="B712" s="1836" t="s">
        <v>491</v>
      </c>
      <c r="C712" s="1837"/>
      <c r="D712" s="1837"/>
      <c r="E712" s="1837"/>
      <c r="F712" s="1838"/>
      <c r="G712" s="1826">
        <v>3</v>
      </c>
      <c r="H712" s="1827"/>
      <c r="I712" s="1827"/>
      <c r="J712" s="1828"/>
      <c r="K712" s="1739">
        <v>775</v>
      </c>
      <c r="L712" s="1740"/>
      <c r="M712" s="1740"/>
      <c r="N712" s="1741"/>
      <c r="O712" s="1742">
        <f>945-36</f>
        <v>909</v>
      </c>
      <c r="P712" s="1743"/>
      <c r="Q712" s="1743"/>
      <c r="R712" s="1743"/>
      <c r="S712" s="1744"/>
      <c r="T712" s="1736">
        <f t="shared" si="26"/>
        <v>2727</v>
      </c>
      <c r="U712" s="1737"/>
      <c r="V712" s="1737"/>
      <c r="W712" s="1737"/>
      <c r="X712" s="1738"/>
      <c r="Y712" s="1742">
        <v>36</v>
      </c>
      <c r="Z712" s="1743"/>
      <c r="AA712" s="1743"/>
      <c r="AB712" s="1744"/>
      <c r="AC712" s="1736">
        <f t="shared" si="27"/>
        <v>945</v>
      </c>
      <c r="AD712" s="1737"/>
      <c r="AE712" s="1737"/>
      <c r="AF712" s="1737"/>
      <c r="AG712" s="1738"/>
      <c r="AH712" s="1963">
        <v>0.45</v>
      </c>
      <c r="AI712" s="1964"/>
      <c r="AJ712" s="1964"/>
      <c r="AK712" s="1964"/>
      <c r="AL712" s="1965"/>
      <c r="AM712" s="2160">
        <f t="shared" si="28"/>
        <v>0.4495718363463368</v>
      </c>
      <c r="AN712" s="2161"/>
      <c r="AO712" s="216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7" t="s">
        <v>453</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93"/>
      <c r="B713" s="1836" t="s">
        <v>491</v>
      </c>
      <c r="C713" s="1837"/>
      <c r="D713" s="1837"/>
      <c r="E713" s="1837"/>
      <c r="F713" s="1838"/>
      <c r="G713" s="1826">
        <v>6</v>
      </c>
      <c r="H713" s="1827"/>
      <c r="I713" s="1827"/>
      <c r="J713" s="1828"/>
      <c r="K713" s="1739">
        <v>775</v>
      </c>
      <c r="L713" s="1740"/>
      <c r="M713" s="1740"/>
      <c r="N713" s="1741"/>
      <c r="O713" s="1742">
        <f>1051-36</f>
        <v>1015</v>
      </c>
      <c r="P713" s="1743"/>
      <c r="Q713" s="1743"/>
      <c r="R713" s="1743"/>
      <c r="S713" s="1744"/>
      <c r="T713" s="1736">
        <f t="shared" si="26"/>
        <v>6090</v>
      </c>
      <c r="U713" s="1737"/>
      <c r="V713" s="1737"/>
      <c r="W713" s="1737"/>
      <c r="X713" s="1738"/>
      <c r="Y713" s="1742">
        <v>36</v>
      </c>
      <c r="Z713" s="1743"/>
      <c r="AA713" s="1743"/>
      <c r="AB713" s="1744"/>
      <c r="AC713" s="1736">
        <f t="shared" si="27"/>
        <v>1051</v>
      </c>
      <c r="AD713" s="1737"/>
      <c r="AE713" s="1737"/>
      <c r="AF713" s="1737"/>
      <c r="AG713" s="1738"/>
      <c r="AH713" s="1963">
        <v>0.5</v>
      </c>
      <c r="AI713" s="1964"/>
      <c r="AJ713" s="1964"/>
      <c r="AK713" s="1964"/>
      <c r="AL713" s="1965"/>
      <c r="AM713" s="2160">
        <f t="shared" si="28"/>
        <v>0.5</v>
      </c>
      <c r="AN713" s="2161"/>
      <c r="AO713" s="216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7" t="s">
        <v>454</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93"/>
      <c r="B714" s="1836" t="s">
        <v>491</v>
      </c>
      <c r="C714" s="1837"/>
      <c r="D714" s="1837"/>
      <c r="E714" s="1837"/>
      <c r="F714" s="1838"/>
      <c r="G714" s="1826">
        <v>4</v>
      </c>
      <c r="H714" s="1827"/>
      <c r="I714" s="1827"/>
      <c r="J714" s="1828"/>
      <c r="K714" s="1739">
        <v>775</v>
      </c>
      <c r="L714" s="1740"/>
      <c r="M714" s="1740"/>
      <c r="N714" s="1741"/>
      <c r="O714" s="1742">
        <f>1261-36</f>
        <v>1225</v>
      </c>
      <c r="P714" s="1743"/>
      <c r="Q714" s="1743"/>
      <c r="R714" s="1743"/>
      <c r="S714" s="1744"/>
      <c r="T714" s="1736">
        <f t="shared" si="26"/>
        <v>4900</v>
      </c>
      <c r="U714" s="1737"/>
      <c r="V714" s="1737"/>
      <c r="W714" s="1737"/>
      <c r="X714" s="1738"/>
      <c r="Y714" s="1742">
        <v>36</v>
      </c>
      <c r="Z714" s="1743"/>
      <c r="AA714" s="1743"/>
      <c r="AB714" s="1744"/>
      <c r="AC714" s="1736">
        <f t="shared" si="27"/>
        <v>1261</v>
      </c>
      <c r="AD714" s="1737"/>
      <c r="AE714" s="1737"/>
      <c r="AF714" s="1737"/>
      <c r="AG714" s="1738"/>
      <c r="AH714" s="1963">
        <v>0.6</v>
      </c>
      <c r="AI714" s="1964"/>
      <c r="AJ714" s="1964"/>
      <c r="AK714" s="1964"/>
      <c r="AL714" s="1965"/>
      <c r="AM714" s="2160">
        <f t="shared" si="28"/>
        <v>0.59990485252140813</v>
      </c>
      <c r="AN714" s="2161"/>
      <c r="AO714" s="216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7" t="s">
        <v>455</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836" t="s">
        <v>852</v>
      </c>
      <c r="C715" s="1837"/>
      <c r="D715" s="1837"/>
      <c r="E715" s="1837"/>
      <c r="F715" s="1838"/>
      <c r="G715" s="1826">
        <v>4</v>
      </c>
      <c r="H715" s="1827"/>
      <c r="I715" s="1827"/>
      <c r="J715" s="1828"/>
      <c r="K715" s="1739">
        <v>900</v>
      </c>
      <c r="L715" s="1740"/>
      <c r="M715" s="1740"/>
      <c r="N715" s="1741"/>
      <c r="O715" s="1742">
        <f>1513-45</f>
        <v>1468</v>
      </c>
      <c r="P715" s="1743"/>
      <c r="Q715" s="1743"/>
      <c r="R715" s="1743"/>
      <c r="S715" s="1744"/>
      <c r="T715" s="1736">
        <f t="shared" si="26"/>
        <v>5872</v>
      </c>
      <c r="U715" s="1737"/>
      <c r="V715" s="1737"/>
      <c r="W715" s="1737"/>
      <c r="X715" s="1738"/>
      <c r="Y715" s="1742">
        <v>45</v>
      </c>
      <c r="Z715" s="1743"/>
      <c r="AA715" s="1743"/>
      <c r="AB715" s="1744"/>
      <c r="AC715" s="1736">
        <f t="shared" si="27"/>
        <v>1513</v>
      </c>
      <c r="AD715" s="1737"/>
      <c r="AE715" s="1737"/>
      <c r="AF715" s="1737"/>
      <c r="AG715" s="1738"/>
      <c r="AH715" s="1963">
        <v>0.6</v>
      </c>
      <c r="AI715" s="1964"/>
      <c r="AJ715" s="1964"/>
      <c r="AK715" s="1964"/>
      <c r="AL715" s="1965"/>
      <c r="AM715" s="2160">
        <f t="shared" si="28"/>
        <v>0.59992069785884217</v>
      </c>
      <c r="AN715" s="2161"/>
      <c r="AO715" s="2162"/>
      <c r="BA715" s="72"/>
      <c r="BB715" s="72"/>
      <c r="BC715" s="72"/>
      <c r="BD715" s="72"/>
      <c r="BE715" s="149"/>
      <c r="BF715" s="147" t="s">
        <v>973</v>
      </c>
      <c r="BG715" s="719">
        <f>SUM(BG690:BG714)</f>
        <v>49</v>
      </c>
      <c r="BH715" s="720">
        <f>SUM(BH690:BH714)</f>
        <v>1</v>
      </c>
      <c r="BI715" s="720">
        <f>SUM(BI690:BI714)</f>
        <v>0.47959183673469385</v>
      </c>
      <c r="BJ715" s="72"/>
      <c r="BK715" s="72"/>
      <c r="BL715" s="72"/>
      <c r="BM715" s="72"/>
      <c r="BN715" s="72"/>
      <c r="BO715" s="72"/>
      <c r="BP715" s="907" t="s">
        <v>456</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836"/>
      <c r="C716" s="1837"/>
      <c r="D716" s="1837"/>
      <c r="E716" s="1837"/>
      <c r="F716" s="1838"/>
      <c r="G716" s="1826"/>
      <c r="H716" s="1827"/>
      <c r="I716" s="1827"/>
      <c r="J716" s="1828"/>
      <c r="K716" s="1739"/>
      <c r="L716" s="1740"/>
      <c r="M716" s="1740"/>
      <c r="N716" s="1741"/>
      <c r="O716" s="1742"/>
      <c r="P716" s="1743"/>
      <c r="Q716" s="1743"/>
      <c r="R716" s="1743"/>
      <c r="S716" s="1744"/>
      <c r="T716" s="1736">
        <f t="shared" si="26"/>
        <v>0</v>
      </c>
      <c r="U716" s="1737"/>
      <c r="V716" s="1737"/>
      <c r="W716" s="1737"/>
      <c r="X716" s="1738"/>
      <c r="Y716" s="1742"/>
      <c r="Z716" s="1743"/>
      <c r="AA716" s="1743"/>
      <c r="AB716" s="1744"/>
      <c r="AC716" s="1736">
        <f t="shared" si="27"/>
        <v>0</v>
      </c>
      <c r="AD716" s="1737"/>
      <c r="AE716" s="1737"/>
      <c r="AF716" s="1737"/>
      <c r="AG716" s="1738"/>
      <c r="AH716" s="1963"/>
      <c r="AI716" s="1964"/>
      <c r="AJ716" s="1964"/>
      <c r="AK716" s="1964"/>
      <c r="AL716" s="1965"/>
      <c r="AM716" s="2160" t="str">
        <f t="shared" si="28"/>
        <v xml:space="preserve"> </v>
      </c>
      <c r="AN716" s="2161"/>
      <c r="AO716" s="2162"/>
      <c r="BA716" s="72"/>
      <c r="BB716" s="72"/>
      <c r="BC716" s="72"/>
      <c r="BD716" s="72"/>
      <c r="BE716" s="72"/>
      <c r="BF716" s="72"/>
      <c r="BG716" s="72"/>
      <c r="BH716" s="72"/>
      <c r="BI716" s="72"/>
      <c r="BJ716" s="72"/>
      <c r="BK716" s="72"/>
      <c r="BL716" s="72"/>
      <c r="BM716" s="72"/>
      <c r="BN716" s="72"/>
      <c r="BO716" s="72"/>
      <c r="BP716" s="907" t="s">
        <v>457</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836"/>
      <c r="C717" s="1837"/>
      <c r="D717" s="1837"/>
      <c r="E717" s="1837"/>
      <c r="F717" s="1838"/>
      <c r="G717" s="1826"/>
      <c r="H717" s="1827"/>
      <c r="I717" s="1827"/>
      <c r="J717" s="1828"/>
      <c r="K717" s="1739"/>
      <c r="L717" s="1740"/>
      <c r="M717" s="1740"/>
      <c r="N717" s="1741"/>
      <c r="O717" s="1742"/>
      <c r="P717" s="1743"/>
      <c r="Q717" s="1743"/>
      <c r="R717" s="1743"/>
      <c r="S717" s="1744"/>
      <c r="T717" s="1736">
        <f t="shared" si="26"/>
        <v>0</v>
      </c>
      <c r="U717" s="1737"/>
      <c r="V717" s="1737"/>
      <c r="W717" s="1737"/>
      <c r="X717" s="1738"/>
      <c r="Y717" s="1742"/>
      <c r="Z717" s="1743"/>
      <c r="AA717" s="1743"/>
      <c r="AB717" s="1744"/>
      <c r="AC717" s="1736">
        <f t="shared" si="27"/>
        <v>0</v>
      </c>
      <c r="AD717" s="1737"/>
      <c r="AE717" s="1737"/>
      <c r="AF717" s="1737"/>
      <c r="AG717" s="1738"/>
      <c r="AH717" s="1963"/>
      <c r="AI717" s="1964"/>
      <c r="AJ717" s="1964"/>
      <c r="AK717" s="1964"/>
      <c r="AL717" s="1965"/>
      <c r="AM717" s="2160" t="str">
        <f t="shared" si="28"/>
        <v xml:space="preserve"> </v>
      </c>
      <c r="AN717" s="2161"/>
      <c r="AO717" s="2162"/>
      <c r="BA717" s="72"/>
      <c r="BB717" s="72"/>
      <c r="BC717" s="72"/>
      <c r="BD717" s="72"/>
      <c r="BE717" s="72"/>
      <c r="BF717" s="72"/>
      <c r="BG717" s="72"/>
      <c r="BH717" s="72"/>
      <c r="BI717" s="72"/>
      <c r="BJ717" s="72"/>
      <c r="BK717" s="72"/>
      <c r="BL717" s="72"/>
      <c r="BM717" s="72"/>
      <c r="BN717" s="72"/>
      <c r="BO717" s="72"/>
      <c r="BP717" s="907" t="s">
        <v>920</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93"/>
      <c r="B718" s="1836"/>
      <c r="C718" s="1837"/>
      <c r="D718" s="1837"/>
      <c r="E718" s="1837"/>
      <c r="F718" s="1838"/>
      <c r="G718" s="1826"/>
      <c r="H718" s="1827"/>
      <c r="I718" s="1827"/>
      <c r="J718" s="1828"/>
      <c r="K718" s="1739"/>
      <c r="L718" s="1740"/>
      <c r="M718" s="1740"/>
      <c r="N718" s="1741"/>
      <c r="O718" s="1742"/>
      <c r="P718" s="1743"/>
      <c r="Q718" s="1743"/>
      <c r="R718" s="1743"/>
      <c r="S718" s="1744"/>
      <c r="T718" s="1736">
        <f t="shared" si="26"/>
        <v>0</v>
      </c>
      <c r="U718" s="1737"/>
      <c r="V718" s="1737"/>
      <c r="W718" s="1737"/>
      <c r="X718" s="1738"/>
      <c r="Y718" s="1742"/>
      <c r="Z718" s="1743"/>
      <c r="AA718" s="1743"/>
      <c r="AB718" s="1744"/>
      <c r="AC718" s="1736">
        <f t="shared" si="27"/>
        <v>0</v>
      </c>
      <c r="AD718" s="1737"/>
      <c r="AE718" s="1737"/>
      <c r="AF718" s="1737"/>
      <c r="AG718" s="1738"/>
      <c r="AH718" s="1963"/>
      <c r="AI718" s="1964"/>
      <c r="AJ718" s="1964"/>
      <c r="AK718" s="1964"/>
      <c r="AL718" s="1965"/>
      <c r="AM718" s="2160" t="str">
        <f t="shared" si="28"/>
        <v xml:space="preserve"> </v>
      </c>
      <c r="AN718" s="2161"/>
      <c r="AO718" s="2162"/>
      <c r="BA718" s="72"/>
      <c r="BB718" s="72"/>
      <c r="BC718" s="72"/>
      <c r="BD718" s="72"/>
      <c r="BE718" s="72"/>
      <c r="BF718" s="72"/>
      <c r="BG718" s="72"/>
      <c r="BH718" s="72"/>
      <c r="BI718" s="72"/>
      <c r="BJ718" s="72"/>
      <c r="BK718" s="72"/>
      <c r="BL718" s="72"/>
      <c r="BM718" s="72"/>
      <c r="BN718" s="72"/>
      <c r="BO718" s="72"/>
      <c r="BP718" s="907" t="s">
        <v>921</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3"/>
      <c r="B719" s="1836"/>
      <c r="C719" s="1837"/>
      <c r="D719" s="1837"/>
      <c r="E719" s="1837"/>
      <c r="F719" s="1838"/>
      <c r="G719" s="1826"/>
      <c r="H719" s="1827"/>
      <c r="I719" s="1827"/>
      <c r="J719" s="1828"/>
      <c r="K719" s="1739"/>
      <c r="L719" s="1740"/>
      <c r="M719" s="1740"/>
      <c r="N719" s="1741"/>
      <c r="O719" s="1742"/>
      <c r="P719" s="1743"/>
      <c r="Q719" s="1743"/>
      <c r="R719" s="1743"/>
      <c r="S719" s="1744"/>
      <c r="T719" s="1736">
        <f t="shared" si="26"/>
        <v>0</v>
      </c>
      <c r="U719" s="1737"/>
      <c r="V719" s="1737"/>
      <c r="W719" s="1737"/>
      <c r="X719" s="1738"/>
      <c r="Y719" s="1742">
        <v>0</v>
      </c>
      <c r="Z719" s="1743"/>
      <c r="AA719" s="1743"/>
      <c r="AB719" s="1744"/>
      <c r="AC719" s="1736">
        <f t="shared" si="27"/>
        <v>0</v>
      </c>
      <c r="AD719" s="1737"/>
      <c r="AE719" s="1737"/>
      <c r="AF719" s="1737"/>
      <c r="AG719" s="1738"/>
      <c r="AH719" s="1963">
        <v>0</v>
      </c>
      <c r="AI719" s="1964"/>
      <c r="AJ719" s="1964"/>
      <c r="AK719" s="1964"/>
      <c r="AL719" s="1965"/>
      <c r="AM719" s="2160" t="str">
        <f t="shared" si="28"/>
        <v xml:space="preserve"> </v>
      </c>
      <c r="AN719" s="2161"/>
      <c r="AO719" s="2162"/>
      <c r="BA719" s="72"/>
      <c r="BB719" s="72"/>
      <c r="BC719" s="72"/>
      <c r="BD719" s="72"/>
      <c r="BE719" s="72"/>
      <c r="BF719" s="72"/>
      <c r="BG719" s="1447" t="s">
        <v>2290</v>
      </c>
      <c r="BH719" s="1448"/>
      <c r="BI719" s="1448"/>
      <c r="BJ719" s="72"/>
      <c r="BK719" s="72"/>
      <c r="BL719" s="72"/>
      <c r="BM719" s="72"/>
      <c r="BN719" s="72"/>
      <c r="BO719" s="72"/>
      <c r="BP719" s="907" t="s">
        <v>922</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93"/>
      <c r="B720" s="1836"/>
      <c r="C720" s="1837"/>
      <c r="D720" s="1837"/>
      <c r="E720" s="1837"/>
      <c r="F720" s="1838"/>
      <c r="G720" s="1826"/>
      <c r="H720" s="1827"/>
      <c r="I720" s="1827"/>
      <c r="J720" s="1828"/>
      <c r="K720" s="1739"/>
      <c r="L720" s="1740"/>
      <c r="M720" s="1740"/>
      <c r="N720" s="1741"/>
      <c r="O720" s="1742"/>
      <c r="P720" s="1743"/>
      <c r="Q720" s="1743"/>
      <c r="R720" s="1743"/>
      <c r="S720" s="1744"/>
      <c r="T720" s="1736">
        <f t="shared" si="26"/>
        <v>0</v>
      </c>
      <c r="U720" s="1737"/>
      <c r="V720" s="1737"/>
      <c r="W720" s="1737"/>
      <c r="X720" s="1738"/>
      <c r="Y720" s="1742">
        <v>0</v>
      </c>
      <c r="Z720" s="1743"/>
      <c r="AA720" s="1743"/>
      <c r="AB720" s="1744"/>
      <c r="AC720" s="1736">
        <f t="shared" si="27"/>
        <v>0</v>
      </c>
      <c r="AD720" s="1737"/>
      <c r="AE720" s="1737"/>
      <c r="AF720" s="1737"/>
      <c r="AG720" s="1738"/>
      <c r="AH720" s="1963">
        <v>0</v>
      </c>
      <c r="AI720" s="1964"/>
      <c r="AJ720" s="1964"/>
      <c r="AK720" s="1964"/>
      <c r="AL720" s="1965"/>
      <c r="AM720" s="2160" t="str">
        <f t="shared" si="28"/>
        <v xml:space="preserve"> </v>
      </c>
      <c r="AN720" s="2161"/>
      <c r="AO720" s="2162"/>
      <c r="BA720" s="72"/>
      <c r="BB720" s="72"/>
      <c r="BC720" s="72"/>
      <c r="BD720" s="72"/>
      <c r="BE720" s="72"/>
      <c r="BF720" s="72"/>
      <c r="BG720" s="1449" t="s">
        <v>1258</v>
      </c>
      <c r="BH720" s="1450" t="s">
        <v>1259</v>
      </c>
      <c r="BI720" s="1451" t="s">
        <v>1260</v>
      </c>
      <c r="BJ720" s="72"/>
      <c r="BK720" s="72"/>
      <c r="BL720" s="72"/>
      <c r="BM720" s="72"/>
      <c r="BN720" s="72"/>
      <c r="BO720" s="72"/>
      <c r="BP720" s="907" t="s">
        <v>923</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93"/>
      <c r="B721" s="1836"/>
      <c r="C721" s="1837"/>
      <c r="D721" s="1837"/>
      <c r="E721" s="1837"/>
      <c r="F721" s="1838"/>
      <c r="G721" s="1826"/>
      <c r="H721" s="1827"/>
      <c r="I721" s="1827"/>
      <c r="J721" s="1828"/>
      <c r="K721" s="1739"/>
      <c r="L721" s="1740"/>
      <c r="M721" s="1740"/>
      <c r="N721" s="1741"/>
      <c r="O721" s="1742"/>
      <c r="P721" s="1743"/>
      <c r="Q721" s="1743"/>
      <c r="R721" s="1743"/>
      <c r="S721" s="1744"/>
      <c r="T721" s="1736">
        <f t="shared" si="26"/>
        <v>0</v>
      </c>
      <c r="U721" s="1737"/>
      <c r="V721" s="1737"/>
      <c r="W721" s="1737"/>
      <c r="X721" s="1738"/>
      <c r="Y721" s="1742">
        <v>0</v>
      </c>
      <c r="Z721" s="1743"/>
      <c r="AA721" s="1743"/>
      <c r="AB721" s="1744"/>
      <c r="AC721" s="1736">
        <f t="shared" si="27"/>
        <v>0</v>
      </c>
      <c r="AD721" s="1737"/>
      <c r="AE721" s="1737"/>
      <c r="AF721" s="1737"/>
      <c r="AG721" s="1738"/>
      <c r="AH721" s="1963">
        <v>0</v>
      </c>
      <c r="AI721" s="1964"/>
      <c r="AJ721" s="1964"/>
      <c r="AK721" s="1964"/>
      <c r="AL721" s="1965"/>
      <c r="AM721" s="2160" t="str">
        <f t="shared" si="28"/>
        <v xml:space="preserve"> </v>
      </c>
      <c r="AN721" s="2161"/>
      <c r="AO721" s="2162"/>
      <c r="BA721" s="72"/>
      <c r="BB721" s="72"/>
      <c r="BC721" s="72"/>
      <c r="BD721" s="72"/>
      <c r="BE721" s="72"/>
      <c r="BF721" s="72"/>
      <c r="BG721" s="1452">
        <f>G706</f>
        <v>5</v>
      </c>
      <c r="BH721" s="1456">
        <f>BG721/$BG$746</f>
        <v>0.10204081632653061</v>
      </c>
      <c r="BI721" s="1457">
        <f>IF(BH721=0," ",BH721*AM706)</f>
        <v>3.0631662750733025E-2</v>
      </c>
      <c r="BJ721" s="72"/>
      <c r="BK721" s="72"/>
      <c r="BL721" s="72"/>
      <c r="BM721" s="72"/>
      <c r="BN721" s="72"/>
      <c r="BO721" s="72"/>
      <c r="BP721" s="907" t="s">
        <v>120</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93"/>
      <c r="B722" s="1836"/>
      <c r="C722" s="1837"/>
      <c r="D722" s="1837"/>
      <c r="E722" s="1837"/>
      <c r="F722" s="1838"/>
      <c r="G722" s="1826"/>
      <c r="H722" s="1827"/>
      <c r="I722" s="1827"/>
      <c r="J722" s="1828"/>
      <c r="K722" s="1739"/>
      <c r="L722" s="1740"/>
      <c r="M722" s="1740"/>
      <c r="N722" s="1741"/>
      <c r="O722" s="1742"/>
      <c r="P722" s="1743"/>
      <c r="Q722" s="1743"/>
      <c r="R722" s="1743"/>
      <c r="S722" s="1744"/>
      <c r="T722" s="1736">
        <f t="shared" si="26"/>
        <v>0</v>
      </c>
      <c r="U722" s="1737"/>
      <c r="V722" s="1737"/>
      <c r="W722" s="1737"/>
      <c r="X722" s="1738"/>
      <c r="Y722" s="1742">
        <v>0</v>
      </c>
      <c r="Z722" s="1743"/>
      <c r="AA722" s="1743"/>
      <c r="AB722" s="1744"/>
      <c r="AC722" s="1736">
        <f t="shared" si="27"/>
        <v>0</v>
      </c>
      <c r="AD722" s="1737"/>
      <c r="AE722" s="1737"/>
      <c r="AF722" s="1737"/>
      <c r="AG722" s="1738"/>
      <c r="AH722" s="1963">
        <v>0</v>
      </c>
      <c r="AI722" s="1964"/>
      <c r="AJ722" s="1964"/>
      <c r="AK722" s="1964"/>
      <c r="AL722" s="1965"/>
      <c r="AM722" s="2160" t="str">
        <f t="shared" si="28"/>
        <v xml:space="preserve"> </v>
      </c>
      <c r="AN722" s="2161"/>
      <c r="AO722" s="2162"/>
      <c r="BA722" s="72"/>
      <c r="BB722" s="72"/>
      <c r="BC722" s="72"/>
      <c r="BD722" s="72"/>
      <c r="BE722" s="72"/>
      <c r="BF722" s="72"/>
      <c r="BG722" s="1452">
        <f t="shared" ref="BG722:BG745" si="29">G707</f>
        <v>5</v>
      </c>
      <c r="BH722" s="1456">
        <f t="shared" ref="BH722:BH745" si="30">BG722/$BG$746</f>
        <v>0.10204081632653061</v>
      </c>
      <c r="BI722" s="1457">
        <f t="shared" ref="BI722:BI745" si="31">IF(BH722=0," ",BH722*AM707)</f>
        <v>3.3253072875201461E-2</v>
      </c>
      <c r="BJ722" s="72"/>
      <c r="BK722" s="72"/>
      <c r="BL722" s="72"/>
      <c r="BM722" s="72"/>
      <c r="BN722" s="72"/>
      <c r="BO722" s="72"/>
      <c r="BP722" s="907" t="s">
        <v>121</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93"/>
      <c r="B723" s="1836"/>
      <c r="C723" s="1837"/>
      <c r="D723" s="1837"/>
      <c r="E723" s="1837"/>
      <c r="F723" s="1838"/>
      <c r="G723" s="1826"/>
      <c r="H723" s="1827"/>
      <c r="I723" s="1827"/>
      <c r="J723" s="1828"/>
      <c r="K723" s="1739"/>
      <c r="L723" s="1740"/>
      <c r="M723" s="1740"/>
      <c r="N723" s="1741"/>
      <c r="O723" s="1742"/>
      <c r="P723" s="1743"/>
      <c r="Q723" s="1743"/>
      <c r="R723" s="1743"/>
      <c r="S723" s="1744"/>
      <c r="T723" s="1736">
        <f t="shared" si="26"/>
        <v>0</v>
      </c>
      <c r="U723" s="1737"/>
      <c r="V723" s="1737"/>
      <c r="W723" s="1737"/>
      <c r="X723" s="1738"/>
      <c r="Y723" s="1742">
        <v>0</v>
      </c>
      <c r="Z723" s="1743"/>
      <c r="AA723" s="1743"/>
      <c r="AB723" s="1744"/>
      <c r="AC723" s="1736">
        <f t="shared" si="27"/>
        <v>0</v>
      </c>
      <c r="AD723" s="1737"/>
      <c r="AE723" s="1737"/>
      <c r="AF723" s="1737"/>
      <c r="AG723" s="1738"/>
      <c r="AH723" s="1963">
        <v>0</v>
      </c>
      <c r="AI723" s="1964"/>
      <c r="AJ723" s="1964"/>
      <c r="AK723" s="1964"/>
      <c r="AL723" s="1965"/>
      <c r="AM723" s="2160" t="str">
        <f t="shared" si="28"/>
        <v xml:space="preserve"> </v>
      </c>
      <c r="AN723" s="2161"/>
      <c r="AO723" s="2162"/>
      <c r="BA723" s="75"/>
      <c r="BB723" s="75"/>
      <c r="BC723" s="75"/>
      <c r="BD723" s="75"/>
      <c r="BE723" s="75"/>
      <c r="BF723" s="75"/>
      <c r="BG723" s="1452">
        <f t="shared" si="29"/>
        <v>11</v>
      </c>
      <c r="BH723" s="1456">
        <f t="shared" si="30"/>
        <v>0.22448979591836735</v>
      </c>
      <c r="BI723" s="1457">
        <f t="shared" si="31"/>
        <v>7.3156760325443215E-2</v>
      </c>
      <c r="BJ723" s="75"/>
      <c r="BK723" s="75"/>
      <c r="BL723" s="75"/>
      <c r="BM723" s="75"/>
      <c r="BN723" s="75"/>
      <c r="BO723" s="75"/>
      <c r="BP723" s="907" t="s">
        <v>122</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93"/>
      <c r="B724" s="1836"/>
      <c r="C724" s="1837"/>
      <c r="D724" s="1837"/>
      <c r="E724" s="1837"/>
      <c r="F724" s="1838"/>
      <c r="G724" s="1826"/>
      <c r="H724" s="1827"/>
      <c r="I724" s="1827"/>
      <c r="J724" s="1828"/>
      <c r="K724" s="1739"/>
      <c r="L724" s="1740"/>
      <c r="M724" s="1740"/>
      <c r="N724" s="1741"/>
      <c r="O724" s="1742"/>
      <c r="P724" s="1743"/>
      <c r="Q724" s="1743"/>
      <c r="R724" s="1743"/>
      <c r="S724" s="1744"/>
      <c r="T724" s="1736">
        <f t="shared" si="26"/>
        <v>0</v>
      </c>
      <c r="U724" s="1737"/>
      <c r="V724" s="1737"/>
      <c r="W724" s="1737"/>
      <c r="X724" s="1738"/>
      <c r="Y724" s="1742">
        <v>0</v>
      </c>
      <c r="Z724" s="1743"/>
      <c r="AA724" s="1743"/>
      <c r="AB724" s="1744"/>
      <c r="AC724" s="1736">
        <f t="shared" si="27"/>
        <v>0</v>
      </c>
      <c r="AD724" s="1737"/>
      <c r="AE724" s="1737"/>
      <c r="AF724" s="1737"/>
      <c r="AG724" s="1738"/>
      <c r="AH724" s="1963">
        <v>0</v>
      </c>
      <c r="AI724" s="1964"/>
      <c r="AJ724" s="1964"/>
      <c r="AK724" s="1964"/>
      <c r="AL724" s="1965"/>
      <c r="AM724" s="2160" t="str">
        <f t="shared" si="28"/>
        <v xml:space="preserve"> </v>
      </c>
      <c r="AN724" s="2161"/>
      <c r="AO724" s="2162"/>
      <c r="BA724" s="75"/>
      <c r="BB724" s="75"/>
      <c r="BC724" s="75"/>
      <c r="BD724" s="75"/>
      <c r="BE724" s="75"/>
      <c r="BF724" s="75"/>
      <c r="BG724" s="1452">
        <f t="shared" si="29"/>
        <v>6</v>
      </c>
      <c r="BH724" s="1456">
        <f t="shared" si="30"/>
        <v>0.12244897959183673</v>
      </c>
      <c r="BI724" s="1457">
        <f t="shared" si="31"/>
        <v>3.9903687450241754E-2</v>
      </c>
      <c r="BJ724" s="75"/>
      <c r="BK724" s="75"/>
      <c r="BL724" s="75"/>
      <c r="BM724" s="75"/>
      <c r="BN724" s="75"/>
      <c r="BO724" s="75"/>
      <c r="BP724" s="907" t="s">
        <v>123</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93"/>
      <c r="B725" s="1836"/>
      <c r="C725" s="1837"/>
      <c r="D725" s="1837"/>
      <c r="E725" s="1837"/>
      <c r="F725" s="1838"/>
      <c r="G725" s="1826"/>
      <c r="H725" s="1827"/>
      <c r="I725" s="1827"/>
      <c r="J725" s="1828"/>
      <c r="K725" s="1739"/>
      <c r="L725" s="1740"/>
      <c r="M725" s="1740"/>
      <c r="N725" s="1741"/>
      <c r="O725" s="1742"/>
      <c r="P725" s="1743"/>
      <c r="Q725" s="1743"/>
      <c r="R725" s="1743"/>
      <c r="S725" s="1744"/>
      <c r="T725" s="1736">
        <f t="shared" si="26"/>
        <v>0</v>
      </c>
      <c r="U725" s="1737"/>
      <c r="V725" s="1737"/>
      <c r="W725" s="1737"/>
      <c r="X725" s="1738"/>
      <c r="Y725" s="1742">
        <v>0</v>
      </c>
      <c r="Z725" s="1743"/>
      <c r="AA725" s="1743"/>
      <c r="AB725" s="1744"/>
      <c r="AC725" s="1736">
        <f t="shared" si="27"/>
        <v>0</v>
      </c>
      <c r="AD725" s="1737"/>
      <c r="AE725" s="1737"/>
      <c r="AF725" s="1737"/>
      <c r="AG725" s="1738"/>
      <c r="AH725" s="1963">
        <v>0</v>
      </c>
      <c r="AI725" s="1964"/>
      <c r="AJ725" s="1964"/>
      <c r="AK725" s="1964"/>
      <c r="AL725" s="1965"/>
      <c r="AM725" s="2160" t="str">
        <f t="shared" si="28"/>
        <v xml:space="preserve"> </v>
      </c>
      <c r="AN725" s="2161"/>
      <c r="AO725" s="2162"/>
      <c r="BA725" s="75"/>
      <c r="BB725" s="75"/>
      <c r="BC725" s="75"/>
      <c r="BD725" s="75"/>
      <c r="BE725" s="75"/>
      <c r="BF725" s="75"/>
      <c r="BG725" s="1452">
        <f t="shared" si="29"/>
        <v>4</v>
      </c>
      <c r="BH725" s="1456">
        <f t="shared" si="30"/>
        <v>8.1632653061224483E-2</v>
      </c>
      <c r="BI725" s="1457">
        <f t="shared" si="31"/>
        <v>2.4466494495038738E-2</v>
      </c>
      <c r="BJ725" s="75"/>
      <c r="BK725" s="75"/>
      <c r="BL725" s="75"/>
      <c r="BM725" s="75"/>
      <c r="BN725" s="75"/>
      <c r="BO725" s="75"/>
      <c r="BP725" s="907" t="s">
        <v>124</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93"/>
      <c r="B726" s="1836"/>
      <c r="C726" s="1837"/>
      <c r="D726" s="1837"/>
      <c r="E726" s="1837"/>
      <c r="F726" s="1838"/>
      <c r="G726" s="1826"/>
      <c r="H726" s="1827"/>
      <c r="I726" s="1827"/>
      <c r="J726" s="1828"/>
      <c r="K726" s="1739"/>
      <c r="L726" s="1740"/>
      <c r="M726" s="1740"/>
      <c r="N726" s="1741"/>
      <c r="O726" s="1742"/>
      <c r="P726" s="1743"/>
      <c r="Q726" s="1743"/>
      <c r="R726" s="1743"/>
      <c r="S726" s="1744"/>
      <c r="T726" s="1736">
        <f t="shared" si="26"/>
        <v>0</v>
      </c>
      <c r="U726" s="1737"/>
      <c r="V726" s="1737"/>
      <c r="W726" s="1737"/>
      <c r="X726" s="1738"/>
      <c r="Y726" s="1742">
        <v>0</v>
      </c>
      <c r="Z726" s="1743"/>
      <c r="AA726" s="1743"/>
      <c r="AB726" s="1744"/>
      <c r="AC726" s="1736">
        <f t="shared" si="27"/>
        <v>0</v>
      </c>
      <c r="AD726" s="1737"/>
      <c r="AE726" s="1737"/>
      <c r="AF726" s="1737"/>
      <c r="AG726" s="1738"/>
      <c r="AH726" s="1963">
        <v>0</v>
      </c>
      <c r="AI726" s="1964"/>
      <c r="AJ726" s="1964"/>
      <c r="AK726" s="1964"/>
      <c r="AL726" s="1965"/>
      <c r="AM726" s="2160" t="str">
        <f t="shared" si="28"/>
        <v xml:space="preserve"> </v>
      </c>
      <c r="AN726" s="2161"/>
      <c r="AO726" s="2162"/>
      <c r="BA726" s="75"/>
      <c r="BB726" s="75"/>
      <c r="BC726" s="75"/>
      <c r="BD726" s="75"/>
      <c r="BE726" s="75"/>
      <c r="BF726" s="75"/>
      <c r="BG726" s="1452">
        <f t="shared" si="29"/>
        <v>1</v>
      </c>
      <c r="BH726" s="1456">
        <f t="shared" si="30"/>
        <v>2.0408163265306121E-2</v>
      </c>
      <c r="BI726" s="1457">
        <f t="shared" si="31"/>
        <v>6.1175937464597249E-3</v>
      </c>
      <c r="BJ726" s="75"/>
      <c r="BK726" s="75"/>
      <c r="BL726" s="75"/>
      <c r="BM726" s="75"/>
      <c r="BN726" s="75"/>
      <c r="BO726" s="75"/>
      <c r="BP726" s="907" t="s">
        <v>125</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93"/>
      <c r="B727" s="1836"/>
      <c r="C727" s="1837"/>
      <c r="D727" s="1837"/>
      <c r="E727" s="1837"/>
      <c r="F727" s="1838"/>
      <c r="G727" s="1826"/>
      <c r="H727" s="1827"/>
      <c r="I727" s="1827"/>
      <c r="J727" s="1828"/>
      <c r="K727" s="1739"/>
      <c r="L727" s="1740"/>
      <c r="M727" s="1740"/>
      <c r="N727" s="1741"/>
      <c r="O727" s="1742"/>
      <c r="P727" s="1743"/>
      <c r="Q727" s="1743"/>
      <c r="R727" s="1743"/>
      <c r="S727" s="1744"/>
      <c r="T727" s="1736">
        <f t="shared" si="26"/>
        <v>0</v>
      </c>
      <c r="U727" s="1737"/>
      <c r="V727" s="1737"/>
      <c r="W727" s="1737"/>
      <c r="X727" s="1738"/>
      <c r="Y727" s="1742">
        <v>0</v>
      </c>
      <c r="Z727" s="1743"/>
      <c r="AA727" s="1743"/>
      <c r="AB727" s="1744"/>
      <c r="AC727" s="1736">
        <f t="shared" si="27"/>
        <v>0</v>
      </c>
      <c r="AD727" s="1737"/>
      <c r="AE727" s="1737"/>
      <c r="AF727" s="1737"/>
      <c r="AG727" s="1738"/>
      <c r="AH727" s="1963">
        <v>0</v>
      </c>
      <c r="AI727" s="1964"/>
      <c r="AJ727" s="1964"/>
      <c r="AK727" s="1964"/>
      <c r="AL727" s="1965"/>
      <c r="AM727" s="2160" t="str">
        <f t="shared" si="28"/>
        <v xml:space="preserve"> </v>
      </c>
      <c r="AN727" s="2161"/>
      <c r="AO727" s="2162"/>
      <c r="BA727" s="75"/>
      <c r="BB727" s="75"/>
      <c r="BC727" s="75"/>
      <c r="BD727" s="75"/>
      <c r="BE727" s="75"/>
      <c r="BF727" s="75"/>
      <c r="BG727" s="1452">
        <f t="shared" si="29"/>
        <v>3</v>
      </c>
      <c r="BH727" s="1456">
        <f t="shared" si="30"/>
        <v>6.1224489795918366E-2</v>
      </c>
      <c r="BI727" s="1457">
        <f t="shared" si="31"/>
        <v>2.752480630691858E-2</v>
      </c>
      <c r="BJ727" s="75"/>
      <c r="BK727" s="75"/>
      <c r="BL727" s="75"/>
      <c r="BM727" s="75"/>
      <c r="BN727" s="75"/>
      <c r="BO727" s="75"/>
      <c r="BP727" s="907" t="s">
        <v>126</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3"/>
      <c r="B728" s="1836"/>
      <c r="C728" s="1837"/>
      <c r="D728" s="1837"/>
      <c r="E728" s="1837"/>
      <c r="F728" s="1838"/>
      <c r="G728" s="1826"/>
      <c r="H728" s="1827"/>
      <c r="I728" s="1827"/>
      <c r="J728" s="1828"/>
      <c r="K728" s="1739"/>
      <c r="L728" s="1740"/>
      <c r="M728" s="1740"/>
      <c r="N728" s="1741"/>
      <c r="O728" s="1742"/>
      <c r="P728" s="1743"/>
      <c r="Q728" s="1743"/>
      <c r="R728" s="1743"/>
      <c r="S728" s="1744"/>
      <c r="T728" s="1736">
        <f t="shared" si="26"/>
        <v>0</v>
      </c>
      <c r="U728" s="1737"/>
      <c r="V728" s="1737"/>
      <c r="W728" s="1737"/>
      <c r="X728" s="1738"/>
      <c r="Y728" s="1742">
        <v>0</v>
      </c>
      <c r="Z728" s="1743"/>
      <c r="AA728" s="1743"/>
      <c r="AB728" s="1744"/>
      <c r="AC728" s="1736">
        <f t="shared" si="27"/>
        <v>0</v>
      </c>
      <c r="AD728" s="1737"/>
      <c r="AE728" s="1737"/>
      <c r="AF728" s="1737"/>
      <c r="AG728" s="1738"/>
      <c r="AH728" s="1963">
        <v>0</v>
      </c>
      <c r="AI728" s="1964"/>
      <c r="AJ728" s="1964"/>
      <c r="AK728" s="1964"/>
      <c r="AL728" s="1965"/>
      <c r="AM728" s="2160" t="str">
        <f t="shared" si="28"/>
        <v xml:space="preserve"> </v>
      </c>
      <c r="AN728" s="2161"/>
      <c r="AO728" s="2162"/>
      <c r="BA728" s="62"/>
      <c r="BB728" s="326"/>
      <c r="BC728" s="326"/>
      <c r="BD728" s="326"/>
      <c r="BE728" s="806"/>
      <c r="BF728" s="806"/>
      <c r="BG728" s="1452">
        <f t="shared" si="29"/>
        <v>6</v>
      </c>
      <c r="BH728" s="1456">
        <f t="shared" si="30"/>
        <v>0.12244897959183673</v>
      </c>
      <c r="BI728" s="1457">
        <f t="shared" si="31"/>
        <v>6.1224489795918366E-2</v>
      </c>
      <c r="BJ728" s="75"/>
      <c r="BK728" s="75"/>
      <c r="BL728" s="75"/>
      <c r="BM728" s="75"/>
      <c r="BN728" s="75"/>
      <c r="BO728" s="75"/>
      <c r="BP728" s="907" t="s">
        <v>127</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93"/>
      <c r="B729" s="1836"/>
      <c r="C729" s="1837"/>
      <c r="D729" s="1837"/>
      <c r="E729" s="1837"/>
      <c r="F729" s="1838"/>
      <c r="G729" s="1826"/>
      <c r="H729" s="1827"/>
      <c r="I729" s="1827"/>
      <c r="J729" s="1828"/>
      <c r="K729" s="1739"/>
      <c r="L729" s="1740"/>
      <c r="M729" s="1740"/>
      <c r="N729" s="1741"/>
      <c r="O729" s="1742"/>
      <c r="P729" s="1743"/>
      <c r="Q729" s="1743"/>
      <c r="R729" s="1743"/>
      <c r="S729" s="1744"/>
      <c r="T729" s="1736">
        <f t="shared" si="26"/>
        <v>0</v>
      </c>
      <c r="U729" s="1737"/>
      <c r="V729" s="1737"/>
      <c r="W729" s="1737"/>
      <c r="X729" s="1738"/>
      <c r="Y729" s="1742">
        <v>0</v>
      </c>
      <c r="Z729" s="1743"/>
      <c r="AA729" s="1743"/>
      <c r="AB729" s="1744"/>
      <c r="AC729" s="1736">
        <f t="shared" si="27"/>
        <v>0</v>
      </c>
      <c r="AD729" s="1737"/>
      <c r="AE729" s="1737"/>
      <c r="AF729" s="1737"/>
      <c r="AG729" s="1738"/>
      <c r="AH729" s="1963">
        <v>0</v>
      </c>
      <c r="AI729" s="1964"/>
      <c r="AJ729" s="1964"/>
      <c r="AK729" s="1964"/>
      <c r="AL729" s="1965"/>
      <c r="AM729" s="2160" t="str">
        <f t="shared" si="28"/>
        <v xml:space="preserve"> </v>
      </c>
      <c r="AN729" s="2161"/>
      <c r="AO729" s="2162"/>
      <c r="BA729" s="326"/>
      <c r="BB729" s="326"/>
      <c r="BC729" s="326"/>
      <c r="BD729" s="326"/>
      <c r="BE729" s="806"/>
      <c r="BF729" s="806"/>
      <c r="BG729" s="1452">
        <f t="shared" si="29"/>
        <v>4</v>
      </c>
      <c r="BH729" s="1456">
        <f t="shared" si="30"/>
        <v>8.1632653061224483E-2</v>
      </c>
      <c r="BI729" s="1457">
        <f t="shared" si="31"/>
        <v>4.8971824695625152E-2</v>
      </c>
      <c r="BJ729" s="75"/>
      <c r="BK729" s="75"/>
      <c r="BL729" s="75"/>
      <c r="BM729" s="75"/>
      <c r="BN729" s="75"/>
      <c r="BO729" s="75"/>
      <c r="BP729" s="907" t="s">
        <v>128</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93"/>
      <c r="B730" s="1836"/>
      <c r="C730" s="1837"/>
      <c r="D730" s="1837"/>
      <c r="E730" s="1837"/>
      <c r="F730" s="1838"/>
      <c r="G730" s="1826"/>
      <c r="H730" s="1827"/>
      <c r="I730" s="1827"/>
      <c r="J730" s="1828"/>
      <c r="K730" s="1739"/>
      <c r="L730" s="1740"/>
      <c r="M730" s="1740"/>
      <c r="N730" s="1741"/>
      <c r="O730" s="1742"/>
      <c r="P730" s="1743"/>
      <c r="Q730" s="1743"/>
      <c r="R730" s="1743"/>
      <c r="S730" s="1744"/>
      <c r="T730" s="1736">
        <f t="shared" si="26"/>
        <v>0</v>
      </c>
      <c r="U730" s="1737"/>
      <c r="V730" s="1737"/>
      <c r="W730" s="1737"/>
      <c r="X730" s="1738"/>
      <c r="Y730" s="1742">
        <v>0</v>
      </c>
      <c r="Z730" s="1743"/>
      <c r="AA730" s="1743"/>
      <c r="AB730" s="1744"/>
      <c r="AC730" s="1736">
        <f t="shared" si="27"/>
        <v>0</v>
      </c>
      <c r="AD730" s="1737"/>
      <c r="AE730" s="1737"/>
      <c r="AF730" s="1737"/>
      <c r="AG730" s="1738"/>
      <c r="AH730" s="1963">
        <v>0</v>
      </c>
      <c r="AI730" s="1964"/>
      <c r="AJ730" s="1964"/>
      <c r="AK730" s="1964"/>
      <c r="AL730" s="1965"/>
      <c r="AM730" s="2160" t="str">
        <f t="shared" si="28"/>
        <v xml:space="preserve"> </v>
      </c>
      <c r="AN730" s="2161"/>
      <c r="AO730" s="2162"/>
      <c r="BA730" s="326"/>
      <c r="BB730" s="326"/>
      <c r="BC730" s="326"/>
      <c r="BD730" s="326"/>
      <c r="BE730" s="806"/>
      <c r="BF730" s="806"/>
      <c r="BG730" s="1452">
        <f t="shared" si="29"/>
        <v>4</v>
      </c>
      <c r="BH730" s="1456">
        <f t="shared" si="30"/>
        <v>8.1632653061224483E-2</v>
      </c>
      <c r="BI730" s="1457">
        <f t="shared" si="31"/>
        <v>4.8973118192558542E-2</v>
      </c>
      <c r="BJ730" s="75"/>
      <c r="BK730" s="75"/>
      <c r="BL730" s="75"/>
      <c r="BM730" s="75"/>
      <c r="BN730" s="75"/>
      <c r="BO730" s="75"/>
      <c r="BP730" s="907" t="s">
        <v>884</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3"/>
      <c r="B731" s="1910" t="s">
        <v>975</v>
      </c>
      <c r="C731" s="1911"/>
      <c r="D731" s="1911"/>
      <c r="E731" s="1911"/>
      <c r="F731" s="1912"/>
      <c r="G731" s="1966">
        <f>SUM(G706:J730)</f>
        <v>49</v>
      </c>
      <c r="H731" s="1967"/>
      <c r="I731" s="1967"/>
      <c r="J731" s="1968"/>
      <c r="K731" s="1393"/>
      <c r="L731" s="1393"/>
      <c r="M731" s="1393"/>
      <c r="N731" s="1393"/>
      <c r="O731" s="683" t="s">
        <v>974</v>
      </c>
      <c r="P731" s="684"/>
      <c r="Q731" s="684"/>
      <c r="R731" s="684"/>
      <c r="S731" s="1442"/>
      <c r="T731" s="1736">
        <f>SUM(T706:X730)</f>
        <v>39929</v>
      </c>
      <c r="U731" s="1737"/>
      <c r="V731" s="1737"/>
      <c r="W731" s="1737"/>
      <c r="X731" s="1738"/>
      <c r="Y731" s="1393"/>
      <c r="Z731" s="1393"/>
      <c r="AA731" s="1393"/>
      <c r="AB731" s="1393"/>
      <c r="AC731" s="1443" t="s">
        <v>1261</v>
      </c>
      <c r="AD731" s="1444"/>
      <c r="AE731" s="1444"/>
      <c r="AF731" s="1444"/>
      <c r="AG731" s="1445"/>
      <c r="AH731" s="2163">
        <f>BI715</f>
        <v>0.47959183673469385</v>
      </c>
      <c r="AI731" s="2164"/>
      <c r="AJ731" s="2164"/>
      <c r="AK731" s="2164"/>
      <c r="AL731" s="2165"/>
      <c r="AM731" s="2163">
        <f>BI746</f>
        <v>0.39422351063413863</v>
      </c>
      <c r="AN731" s="2164"/>
      <c r="AO731" s="2165"/>
      <c r="BA731" s="326"/>
      <c r="BB731" s="326"/>
      <c r="BC731" s="326"/>
      <c r="BD731" s="326"/>
      <c r="BE731" s="806"/>
      <c r="BF731" s="806"/>
      <c r="BG731" s="1452">
        <f t="shared" si="29"/>
        <v>0</v>
      </c>
      <c r="BH731" s="1456">
        <f t="shared" si="30"/>
        <v>0</v>
      </c>
      <c r="BI731" s="1457" t="str">
        <f t="shared" si="31"/>
        <v xml:space="preserve"> </v>
      </c>
      <c r="BJ731" s="75"/>
      <c r="BK731" s="75"/>
      <c r="BL731" s="75"/>
      <c r="BM731" s="75"/>
      <c r="BN731" s="75"/>
      <c r="BO731" s="75"/>
      <c r="BP731" s="907" t="s">
        <v>885</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3"/>
      <c r="H732" s="783"/>
      <c r="I732" s="783"/>
      <c r="J732" s="783"/>
      <c r="K732" s="103"/>
      <c r="L732" s="103"/>
      <c r="M732" s="103"/>
      <c r="N732" s="103"/>
      <c r="O732" s="103"/>
      <c r="P732" s="468"/>
      <c r="Q732" s="468"/>
      <c r="R732" s="468"/>
      <c r="S732" s="468"/>
      <c r="T732" s="468"/>
      <c r="U732" s="500"/>
      <c r="Y732" s="103"/>
      <c r="Z732" s="103"/>
      <c r="AA732" s="103"/>
      <c r="AB732" s="103"/>
      <c r="AC732" s="103"/>
      <c r="AD732" s="782"/>
      <c r="AE732" s="89"/>
      <c r="AF732" s="89"/>
      <c r="AG732" s="89"/>
      <c r="AH732" s="89"/>
      <c r="AL732" s="72"/>
      <c r="AM732" s="806"/>
      <c r="BA732" s="72"/>
      <c r="BB732" s="72"/>
      <c r="BC732" s="72"/>
      <c r="BD732" s="72"/>
      <c r="BE732" s="72"/>
      <c r="BF732" s="72"/>
      <c r="BG732" s="1452">
        <f t="shared" si="29"/>
        <v>0</v>
      </c>
      <c r="BH732" s="1456">
        <f t="shared" si="30"/>
        <v>0</v>
      </c>
      <c r="BI732" s="1457" t="str">
        <f t="shared" si="31"/>
        <v xml:space="preserve"> </v>
      </c>
      <c r="BJ732" s="72"/>
      <c r="BK732" s="72"/>
      <c r="BL732" s="72"/>
      <c r="BM732" s="72"/>
      <c r="BN732" s="72"/>
      <c r="BO732" s="72"/>
      <c r="BP732" s="907" t="s">
        <v>886</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6" t="s">
        <v>1370</v>
      </c>
      <c r="C733" s="785"/>
      <c r="D733" s="785"/>
      <c r="E733" s="785"/>
      <c r="F733" s="785"/>
      <c r="G733" s="788"/>
      <c r="H733" s="788"/>
      <c r="I733" s="788"/>
      <c r="J733" s="788"/>
      <c r="K733" s="785"/>
      <c r="L733" s="785"/>
      <c r="M733" s="785"/>
      <c r="N733" s="785"/>
      <c r="O733" s="785"/>
      <c r="P733" s="787"/>
      <c r="Q733" s="787"/>
      <c r="R733" s="787"/>
      <c r="S733" s="787"/>
      <c r="T733" s="787"/>
      <c r="U733" s="597"/>
      <c r="V733" s="597"/>
      <c r="W733" s="597"/>
      <c r="X733" s="597"/>
      <c r="Y733" s="785"/>
      <c r="Z733" s="785"/>
      <c r="AA733" s="785"/>
      <c r="AB733" s="785"/>
      <c r="AC733" s="785"/>
      <c r="AD733" s="789"/>
      <c r="AE733" s="790"/>
      <c r="AF733" s="2169" t="s">
        <v>136</v>
      </c>
      <c r="AG733" s="2169"/>
      <c r="AH733" s="2169"/>
      <c r="AL733" s="72"/>
      <c r="AM733" s="72"/>
      <c r="BA733" s="72"/>
      <c r="BB733" s="72"/>
      <c r="BC733" s="72"/>
      <c r="BD733" s="72"/>
      <c r="BE733" s="72"/>
      <c r="BF733" s="72"/>
      <c r="BG733" s="1452">
        <f t="shared" si="29"/>
        <v>0</v>
      </c>
      <c r="BH733" s="1456">
        <f t="shared" si="30"/>
        <v>0</v>
      </c>
      <c r="BI733" s="1457" t="str">
        <f t="shared" si="31"/>
        <v xml:space="preserve"> </v>
      </c>
      <c r="BJ733" s="72"/>
      <c r="BK733" s="72"/>
      <c r="BL733" s="72"/>
      <c r="BM733" s="72"/>
      <c r="BN733" s="72"/>
      <c r="BO733" s="72"/>
      <c r="BP733" s="907" t="s">
        <v>887</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4" t="s">
        <v>1701</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52">
        <f t="shared" si="29"/>
        <v>0</v>
      </c>
      <c r="BH734" s="1456">
        <f t="shared" si="30"/>
        <v>0</v>
      </c>
      <c r="BI734" s="1457" t="str">
        <f t="shared" si="31"/>
        <v xml:space="preserve"> </v>
      </c>
      <c r="BJ734" s="72"/>
      <c r="BK734" s="72"/>
      <c r="BL734" s="72"/>
      <c r="BM734" s="72"/>
      <c r="BN734" s="72"/>
      <c r="BO734" s="72"/>
      <c r="BP734" s="907" t="s">
        <v>888</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4" t="s">
        <v>1702</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52">
        <f t="shared" si="29"/>
        <v>0</v>
      </c>
      <c r="BH735" s="1456">
        <f t="shared" si="30"/>
        <v>0</v>
      </c>
      <c r="BI735" s="1457" t="str">
        <f t="shared" si="31"/>
        <v xml:space="preserve"> </v>
      </c>
      <c r="BJ735" s="72"/>
      <c r="BK735" s="72"/>
      <c r="BL735" s="72"/>
      <c r="BM735" s="72"/>
      <c r="BN735" s="72"/>
      <c r="BO735" s="72"/>
      <c r="BP735" s="907" t="s">
        <v>889</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4"/>
      <c r="C736" s="785"/>
      <c r="D736" s="785"/>
      <c r="E736" s="785"/>
      <c r="F736" s="785"/>
      <c r="G736" s="788"/>
      <c r="H736" s="788"/>
      <c r="I736" s="788"/>
      <c r="J736" s="788"/>
      <c r="K736" s="785"/>
      <c r="L736" s="785"/>
      <c r="M736" s="785"/>
      <c r="N736" s="785"/>
      <c r="O736" s="785"/>
      <c r="P736" s="787"/>
      <c r="Q736" s="787"/>
      <c r="R736" s="787"/>
      <c r="S736" s="787"/>
      <c r="T736" s="787"/>
      <c r="U736" s="597"/>
      <c r="V736" s="597"/>
      <c r="W736" s="597"/>
      <c r="X736" s="597"/>
      <c r="Y736" s="785"/>
      <c r="Z736" s="785"/>
      <c r="AA736" s="785"/>
      <c r="AB736" s="597"/>
      <c r="AC736" s="597"/>
      <c r="AD736" s="597"/>
      <c r="AE736" s="597"/>
      <c r="AF736" s="597"/>
      <c r="AG736" s="790"/>
      <c r="AH736" s="790"/>
      <c r="AL736" s="72"/>
      <c r="AM736" s="72"/>
      <c r="BA736" s="72"/>
      <c r="BB736" s="72"/>
      <c r="BC736" s="72"/>
      <c r="BD736" s="72"/>
      <c r="BE736" s="72"/>
      <c r="BF736" s="72"/>
      <c r="BG736" s="1452">
        <f t="shared" si="29"/>
        <v>0</v>
      </c>
      <c r="BH736" s="1456">
        <f t="shared" si="30"/>
        <v>0</v>
      </c>
      <c r="BI736" s="1457" t="str">
        <f t="shared" si="31"/>
        <v xml:space="preserve"> </v>
      </c>
      <c r="BJ736" s="72"/>
      <c r="BK736" s="72"/>
      <c r="BL736" s="72"/>
      <c r="BM736" s="72"/>
      <c r="BN736" s="72"/>
      <c r="BO736" s="72"/>
      <c r="BP736" s="907" t="s">
        <v>890</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4"/>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2">
        <f t="shared" si="29"/>
        <v>0</v>
      </c>
      <c r="BH737" s="1456">
        <f t="shared" si="30"/>
        <v>0</v>
      </c>
      <c r="BI737" s="1457" t="str">
        <f t="shared" si="31"/>
        <v xml:space="preserve"> </v>
      </c>
      <c r="BJ737" s="72"/>
      <c r="BK737" s="72"/>
      <c r="BL737" s="72"/>
      <c r="BM737" s="72"/>
      <c r="BN737" s="72"/>
      <c r="BO737" s="72"/>
      <c r="BP737" s="907" t="s">
        <v>926</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2097" t="s">
        <v>1700</v>
      </c>
      <c r="D738" s="2097"/>
      <c r="E738" s="2097"/>
      <c r="F738" s="2097"/>
      <c r="G738" s="2097"/>
      <c r="H738" s="2097"/>
      <c r="I738" s="2097"/>
      <c r="J738" s="2097"/>
      <c r="K738" s="2097"/>
      <c r="L738" s="2097"/>
      <c r="M738" s="2097"/>
      <c r="N738" s="2097"/>
      <c r="O738" s="2097"/>
      <c r="P738" s="2097"/>
      <c r="Q738" s="2097"/>
      <c r="R738" s="2097"/>
      <c r="S738" s="2097"/>
      <c r="T738" s="2097"/>
      <c r="U738" s="2097"/>
      <c r="V738" s="2097"/>
      <c r="W738" s="2097"/>
      <c r="X738" s="2097"/>
      <c r="Y738" s="2097"/>
      <c r="Z738" s="2097"/>
      <c r="AA738" s="2097"/>
      <c r="AB738" s="2097"/>
      <c r="AC738" s="2097"/>
      <c r="AD738" s="2097"/>
      <c r="AE738" s="2097"/>
      <c r="AF738" s="2097"/>
      <c r="AG738" s="2097"/>
      <c r="AH738" s="2097"/>
      <c r="AI738" s="2097"/>
      <c r="AJ738" s="2097"/>
      <c r="AK738" s="2097"/>
      <c r="AM738" s="72"/>
      <c r="BA738" s="72"/>
      <c r="BB738" s="72"/>
      <c r="BC738" s="72"/>
      <c r="BD738" s="72"/>
      <c r="BE738" s="72"/>
      <c r="BF738" s="72"/>
      <c r="BG738" s="1452">
        <f t="shared" si="29"/>
        <v>0</v>
      </c>
      <c r="BH738" s="1456">
        <f t="shared" si="30"/>
        <v>0</v>
      </c>
      <c r="BI738" s="1457" t="str">
        <f t="shared" si="31"/>
        <v xml:space="preserve"> </v>
      </c>
      <c r="BJ738" s="72"/>
      <c r="BK738" s="72"/>
      <c r="BL738" s="72"/>
      <c r="BM738" s="72"/>
      <c r="BN738" s="72"/>
      <c r="BO738" s="72"/>
      <c r="BP738" s="907" t="s">
        <v>891</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97"/>
      <c r="D739" s="2097"/>
      <c r="E739" s="2097"/>
      <c r="F739" s="2097"/>
      <c r="G739" s="2097"/>
      <c r="H739" s="2097"/>
      <c r="I739" s="2097"/>
      <c r="J739" s="2097"/>
      <c r="K739" s="2097"/>
      <c r="L739" s="2097"/>
      <c r="M739" s="2097"/>
      <c r="N739" s="2097"/>
      <c r="O739" s="2097"/>
      <c r="P739" s="2097"/>
      <c r="Q739" s="2097"/>
      <c r="R739" s="2097"/>
      <c r="S739" s="2097"/>
      <c r="T739" s="2097"/>
      <c r="U739" s="2097"/>
      <c r="V739" s="2097"/>
      <c r="W739" s="2097"/>
      <c r="X739" s="2097"/>
      <c r="Y739" s="2097"/>
      <c r="Z739" s="2097"/>
      <c r="AA739" s="2097"/>
      <c r="AB739" s="2097"/>
      <c r="AC739" s="2097"/>
      <c r="AD739" s="2097"/>
      <c r="AE739" s="2097"/>
      <c r="AF739" s="2097"/>
      <c r="AG739" s="2097"/>
      <c r="AH739" s="2097"/>
      <c r="AI739" s="2097"/>
      <c r="AJ739" s="2097"/>
      <c r="AK739" s="2097"/>
      <c r="AM739" s="72"/>
      <c r="BA739" s="72"/>
      <c r="BB739" s="72"/>
      <c r="BC739" s="72"/>
      <c r="BD739" s="72"/>
      <c r="BE739" s="72"/>
      <c r="BF739" s="72"/>
      <c r="BG739" s="1452">
        <f t="shared" si="29"/>
        <v>0</v>
      </c>
      <c r="BH739" s="1456">
        <f t="shared" si="30"/>
        <v>0</v>
      </c>
      <c r="BI739" s="1457" t="str">
        <f t="shared" si="31"/>
        <v xml:space="preserve"> </v>
      </c>
      <c r="BJ739" s="72"/>
      <c r="BK739" s="72"/>
      <c r="BL739" s="72"/>
      <c r="BM739" s="72"/>
      <c r="BN739" s="72"/>
      <c r="BO739" s="72"/>
      <c r="BP739" s="907" t="s">
        <v>892</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097"/>
      <c r="D740" s="2097"/>
      <c r="E740" s="2097"/>
      <c r="F740" s="2097"/>
      <c r="G740" s="2097"/>
      <c r="H740" s="2097"/>
      <c r="I740" s="2097"/>
      <c r="J740" s="2097"/>
      <c r="K740" s="2097"/>
      <c r="L740" s="2097"/>
      <c r="M740" s="2097"/>
      <c r="N740" s="2097"/>
      <c r="O740" s="2097"/>
      <c r="P740" s="2097"/>
      <c r="Q740" s="2097"/>
      <c r="R740" s="2097"/>
      <c r="S740" s="2097"/>
      <c r="T740" s="2097"/>
      <c r="U740" s="2097"/>
      <c r="V740" s="2097"/>
      <c r="W740" s="2097"/>
      <c r="X740" s="2097"/>
      <c r="Y740" s="2097"/>
      <c r="Z740" s="2097"/>
      <c r="AA740" s="2097"/>
      <c r="AB740" s="2097"/>
      <c r="AC740" s="2097"/>
      <c r="AD740" s="2097"/>
      <c r="AE740" s="2097"/>
      <c r="AF740" s="2097"/>
      <c r="AG740" s="2097"/>
      <c r="AH740" s="2097"/>
      <c r="AI740" s="2097"/>
      <c r="AJ740" s="2097"/>
      <c r="AK740" s="2097"/>
      <c r="AM740" s="72"/>
      <c r="BA740" s="72"/>
      <c r="BB740" s="72"/>
      <c r="BC740" s="72"/>
      <c r="BD740" s="72"/>
      <c r="BE740" s="72"/>
      <c r="BF740" s="72"/>
      <c r="BG740" s="1452">
        <f t="shared" si="29"/>
        <v>0</v>
      </c>
      <c r="BH740" s="1456">
        <f t="shared" si="30"/>
        <v>0</v>
      </c>
      <c r="BI740" s="1457" t="str">
        <f t="shared" si="31"/>
        <v xml:space="preserve"> </v>
      </c>
      <c r="BJ740" s="72"/>
      <c r="BK740" s="72"/>
      <c r="BL740" s="72"/>
      <c r="BM740" s="72"/>
      <c r="BN740" s="72"/>
      <c r="BO740" s="72"/>
      <c r="BP740" s="907" t="s">
        <v>893</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97"/>
      <c r="D741" s="2097"/>
      <c r="E741" s="2097"/>
      <c r="F741" s="2097"/>
      <c r="G741" s="2097"/>
      <c r="H741" s="2097"/>
      <c r="I741" s="2097"/>
      <c r="J741" s="2097"/>
      <c r="K741" s="2097"/>
      <c r="L741" s="2097"/>
      <c r="M741" s="2097"/>
      <c r="N741" s="2097"/>
      <c r="O741" s="2097"/>
      <c r="P741" s="2097"/>
      <c r="Q741" s="2097"/>
      <c r="R741" s="2097"/>
      <c r="S741" s="2097"/>
      <c r="T741" s="2097"/>
      <c r="U741" s="2097"/>
      <c r="V741" s="2097"/>
      <c r="W741" s="2097"/>
      <c r="X741" s="2097"/>
      <c r="Y741" s="2097"/>
      <c r="Z741" s="2097"/>
      <c r="AA741" s="2097"/>
      <c r="AB741" s="2097"/>
      <c r="AC741" s="2097"/>
      <c r="AD741" s="2097"/>
      <c r="AE741" s="2097"/>
      <c r="AF741" s="2097"/>
      <c r="AG741" s="2097"/>
      <c r="AH741" s="2097"/>
      <c r="AI741" s="2097"/>
      <c r="AJ741" s="2097"/>
      <c r="AK741" s="2097"/>
      <c r="AM741" s="72"/>
      <c r="BA741" s="72"/>
      <c r="BB741" s="72"/>
      <c r="BC741" s="72"/>
      <c r="BD741" s="72"/>
      <c r="BE741" s="72"/>
      <c r="BF741" s="72"/>
      <c r="BG741" s="1452">
        <f t="shared" si="29"/>
        <v>0</v>
      </c>
      <c r="BH741" s="1456">
        <f t="shared" si="30"/>
        <v>0</v>
      </c>
      <c r="BI741" s="1457" t="str">
        <f t="shared" si="31"/>
        <v xml:space="preserve"> </v>
      </c>
      <c r="BJ741" s="72"/>
      <c r="BK741" s="72"/>
      <c r="BL741" s="72"/>
      <c r="BM741" s="72"/>
      <c r="BN741" s="72"/>
      <c r="BO741" s="72"/>
      <c r="BP741" s="907" t="s">
        <v>894</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97"/>
      <c r="D742" s="2097"/>
      <c r="E742" s="2097"/>
      <c r="F742" s="2097"/>
      <c r="G742" s="2097"/>
      <c r="H742" s="2097"/>
      <c r="I742" s="2097"/>
      <c r="J742" s="2097"/>
      <c r="K742" s="2097"/>
      <c r="L742" s="2097"/>
      <c r="M742" s="2097"/>
      <c r="N742" s="2097"/>
      <c r="O742" s="2097"/>
      <c r="P742" s="2097"/>
      <c r="Q742" s="2097"/>
      <c r="R742" s="2097"/>
      <c r="S742" s="2097"/>
      <c r="T742" s="2097"/>
      <c r="U742" s="2097"/>
      <c r="V742" s="2097"/>
      <c r="W742" s="2097"/>
      <c r="X742" s="2097"/>
      <c r="Y742" s="2097"/>
      <c r="Z742" s="2097"/>
      <c r="AA742" s="2097"/>
      <c r="AB742" s="2097"/>
      <c r="AC742" s="2097"/>
      <c r="AD742" s="2097"/>
      <c r="AE742" s="2097"/>
      <c r="AF742" s="2097"/>
      <c r="AG742" s="2097"/>
      <c r="AH742" s="2097"/>
      <c r="AI742" s="2097"/>
      <c r="AJ742" s="2097"/>
      <c r="AK742" s="2097"/>
      <c r="AM742" s="72"/>
      <c r="BA742" s="72"/>
      <c r="BB742" s="72"/>
      <c r="BC742" s="72"/>
      <c r="BD742" s="72"/>
      <c r="BE742" s="72"/>
      <c r="BF742" s="72"/>
      <c r="BG742" s="1452">
        <f t="shared" si="29"/>
        <v>0</v>
      </c>
      <c r="BH742" s="1456">
        <f t="shared" si="30"/>
        <v>0</v>
      </c>
      <c r="BI742" s="1457" t="str">
        <f t="shared" si="31"/>
        <v xml:space="preserve"> </v>
      </c>
      <c r="BJ742" s="72"/>
      <c r="BK742" s="72"/>
      <c r="BL742" s="72"/>
      <c r="BM742" s="72"/>
      <c r="BN742" s="72"/>
      <c r="BO742" s="72"/>
      <c r="BP742" s="907" t="s">
        <v>895</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097"/>
      <c r="D743" s="2097"/>
      <c r="E743" s="2097"/>
      <c r="F743" s="2097"/>
      <c r="G743" s="2097"/>
      <c r="H743" s="2097"/>
      <c r="I743" s="2097"/>
      <c r="J743" s="2097"/>
      <c r="K743" s="2097"/>
      <c r="L743" s="2097"/>
      <c r="M743" s="2097"/>
      <c r="N743" s="2097"/>
      <c r="O743" s="2097"/>
      <c r="P743" s="2097"/>
      <c r="Q743" s="2097"/>
      <c r="R743" s="2097"/>
      <c r="S743" s="2097"/>
      <c r="T743" s="2097"/>
      <c r="U743" s="2097"/>
      <c r="V743" s="2097"/>
      <c r="W743" s="2097"/>
      <c r="X743" s="2097"/>
      <c r="Y743" s="2097"/>
      <c r="Z743" s="2097"/>
      <c r="AA743" s="2097"/>
      <c r="AB743" s="2097"/>
      <c r="AC743" s="2097"/>
      <c r="AD743" s="2097"/>
      <c r="AE743" s="2097"/>
      <c r="AF743" s="2097"/>
      <c r="AG743" s="2097"/>
      <c r="AH743" s="2097"/>
      <c r="AI743" s="2097"/>
      <c r="AJ743" s="2097"/>
      <c r="AK743" s="2097"/>
      <c r="AM743" s="72"/>
      <c r="BA743" s="72"/>
      <c r="BB743" s="72"/>
      <c r="BC743" s="72"/>
      <c r="BD743" s="72"/>
      <c r="BE743" s="72"/>
      <c r="BF743" s="72"/>
      <c r="BG743" s="1452">
        <f t="shared" si="29"/>
        <v>0</v>
      </c>
      <c r="BH743" s="1456">
        <f t="shared" si="30"/>
        <v>0</v>
      </c>
      <c r="BI743" s="1457" t="str">
        <f t="shared" si="31"/>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097"/>
      <c r="D744" s="2097"/>
      <c r="E744" s="2097"/>
      <c r="F744" s="2097"/>
      <c r="G744" s="2097"/>
      <c r="H744" s="2097"/>
      <c r="I744" s="2097"/>
      <c r="J744" s="2097"/>
      <c r="K744" s="2097"/>
      <c r="L744" s="2097"/>
      <c r="M744" s="2097"/>
      <c r="N744" s="2097"/>
      <c r="O744" s="2097"/>
      <c r="P744" s="2097"/>
      <c r="Q744" s="2097"/>
      <c r="R744" s="2097"/>
      <c r="S744" s="2097"/>
      <c r="T744" s="2097"/>
      <c r="U744" s="2097"/>
      <c r="V744" s="2097"/>
      <c r="W744" s="2097"/>
      <c r="X744" s="2097"/>
      <c r="Y744" s="2097"/>
      <c r="Z744" s="2097"/>
      <c r="AA744" s="2097"/>
      <c r="AB744" s="2097"/>
      <c r="AC744" s="2097"/>
      <c r="AD744" s="2097"/>
      <c r="AE744" s="2097"/>
      <c r="AF744" s="2097"/>
      <c r="AG744" s="2097"/>
      <c r="AH744" s="2097"/>
      <c r="AI744" s="2097"/>
      <c r="AJ744" s="2097"/>
      <c r="AK744" s="2097"/>
      <c r="AM744" s="72"/>
      <c r="BA744" s="72"/>
      <c r="BB744" s="72"/>
      <c r="BC744" s="72"/>
      <c r="BD744" s="72"/>
      <c r="BE744" s="72"/>
      <c r="BF744" s="72"/>
      <c r="BG744" s="1452">
        <f t="shared" si="29"/>
        <v>0</v>
      </c>
      <c r="BH744" s="1456">
        <f t="shared" si="30"/>
        <v>0</v>
      </c>
      <c r="BI744" s="1457" t="str">
        <f t="shared" si="31"/>
        <v xml:space="preserve"> </v>
      </c>
      <c r="BJ744" s="72"/>
      <c r="BK744" s="72"/>
      <c r="BL744" s="72"/>
      <c r="BM744" s="72"/>
      <c r="BN744" s="72"/>
      <c r="BO744" s="72"/>
      <c r="BP744" s="907" t="s">
        <v>896</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097"/>
      <c r="D745" s="2097"/>
      <c r="E745" s="2097"/>
      <c r="F745" s="2097"/>
      <c r="G745" s="2097"/>
      <c r="H745" s="2097"/>
      <c r="I745" s="2097"/>
      <c r="J745" s="2097"/>
      <c r="K745" s="2097"/>
      <c r="L745" s="2097"/>
      <c r="M745" s="2097"/>
      <c r="N745" s="2097"/>
      <c r="O745" s="2097"/>
      <c r="P745" s="2097"/>
      <c r="Q745" s="2097"/>
      <c r="R745" s="2097"/>
      <c r="S745" s="2097"/>
      <c r="T745" s="2097"/>
      <c r="U745" s="2097"/>
      <c r="V745" s="2097"/>
      <c r="W745" s="2097"/>
      <c r="X745" s="2097"/>
      <c r="Y745" s="2097"/>
      <c r="Z745" s="2097"/>
      <c r="AA745" s="2097"/>
      <c r="AB745" s="2097"/>
      <c r="AC745" s="2097"/>
      <c r="AD745" s="2097"/>
      <c r="AE745" s="2097"/>
      <c r="AF745" s="2097"/>
      <c r="AG745" s="2097"/>
      <c r="AH745" s="2097"/>
      <c r="AI745" s="2097"/>
      <c r="AJ745" s="2097"/>
      <c r="AK745" s="2097"/>
      <c r="AM745" s="72"/>
      <c r="BA745" s="72"/>
      <c r="BB745" s="72"/>
      <c r="BC745" s="72"/>
      <c r="BD745" s="72"/>
      <c r="BE745" s="72"/>
      <c r="BF745" s="72"/>
      <c r="BG745" s="1455">
        <f t="shared" si="29"/>
        <v>0</v>
      </c>
      <c r="BH745" s="1456">
        <f t="shared" si="30"/>
        <v>0</v>
      </c>
      <c r="BI745" s="1457" t="str">
        <f t="shared" si="31"/>
        <v xml:space="preserve"> </v>
      </c>
      <c r="BJ745" s="72"/>
      <c r="BK745" s="72"/>
      <c r="BL745" s="72"/>
      <c r="BM745" s="72"/>
      <c r="BN745" s="72"/>
      <c r="BO745" s="72"/>
      <c r="BP745" s="907" t="s">
        <v>897</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097"/>
      <c r="D746" s="2097"/>
      <c r="E746" s="2097"/>
      <c r="F746" s="2097"/>
      <c r="G746" s="2097"/>
      <c r="H746" s="2097"/>
      <c r="I746" s="2097"/>
      <c r="J746" s="2097"/>
      <c r="K746" s="2097"/>
      <c r="L746" s="2097"/>
      <c r="M746" s="2097"/>
      <c r="N746" s="2097"/>
      <c r="O746" s="2097"/>
      <c r="P746" s="2097"/>
      <c r="Q746" s="2097"/>
      <c r="R746" s="2097"/>
      <c r="S746" s="2097"/>
      <c r="T746" s="2097"/>
      <c r="U746" s="2097"/>
      <c r="V746" s="2097"/>
      <c r="W746" s="2097"/>
      <c r="X746" s="2097"/>
      <c r="Y746" s="2097"/>
      <c r="Z746" s="2097"/>
      <c r="AA746" s="2097"/>
      <c r="AB746" s="2097"/>
      <c r="AC746" s="2097"/>
      <c r="AD746" s="2097"/>
      <c r="AE746" s="2097"/>
      <c r="AF746" s="2097"/>
      <c r="AG746" s="2097"/>
      <c r="AH746" s="2097"/>
      <c r="AI746" s="2097"/>
      <c r="AJ746" s="2097"/>
      <c r="AK746" s="2097"/>
      <c r="AM746" s="72"/>
      <c r="BA746" s="72"/>
      <c r="BB746" s="72"/>
      <c r="BC746" s="72"/>
      <c r="BD746" s="72"/>
      <c r="BE746" s="72"/>
      <c r="BF746" s="72"/>
      <c r="BG746" s="1453">
        <f>SUM(BG721:BG745)</f>
        <v>49</v>
      </c>
      <c r="BH746" s="1454">
        <f>SUM(BH721:BH745)</f>
        <v>1</v>
      </c>
      <c r="BI746" s="1454">
        <f>SUM(BI721:BI745)</f>
        <v>0.39422351063413863</v>
      </c>
      <c r="BJ746" s="72"/>
      <c r="BK746" s="72"/>
      <c r="BL746" s="72"/>
      <c r="BM746" s="72"/>
      <c r="BN746" s="72"/>
      <c r="BO746" s="72"/>
      <c r="BP746" s="907" t="s">
        <v>898</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39" t="s">
        <v>59</v>
      </c>
      <c r="K748" s="1840"/>
      <c r="L748" s="1840"/>
      <c r="M748" s="1840"/>
      <c r="N748" s="1841"/>
      <c r="O748" s="1917" t="s">
        <v>284</v>
      </c>
      <c r="P748" s="1917"/>
      <c r="Q748" s="1917"/>
      <c r="R748" s="1917"/>
      <c r="S748" s="1917"/>
      <c r="T748" s="2154" t="s">
        <v>2287</v>
      </c>
      <c r="U748" s="2155"/>
      <c r="V748" s="2155"/>
      <c r="W748" s="2156"/>
      <c r="X748" s="1839" t="s">
        <v>654</v>
      </c>
      <c r="Y748" s="1840"/>
      <c r="Z748" s="1840"/>
      <c r="AA748" s="1840"/>
      <c r="AB748" s="1841"/>
      <c r="AC748" s="1839" t="s">
        <v>285</v>
      </c>
      <c r="AD748" s="1840"/>
      <c r="AE748" s="1840"/>
      <c r="AF748" s="1840"/>
      <c r="AG748" s="184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42"/>
      <c r="K749" s="1843"/>
      <c r="L749" s="1843"/>
      <c r="M749" s="1843"/>
      <c r="N749" s="1844"/>
      <c r="O749" s="1917"/>
      <c r="P749" s="1917"/>
      <c r="Q749" s="1917"/>
      <c r="R749" s="1917"/>
      <c r="S749" s="1917"/>
      <c r="T749" s="2157"/>
      <c r="U749" s="2158"/>
      <c r="V749" s="2158"/>
      <c r="W749" s="2159"/>
      <c r="X749" s="1842"/>
      <c r="Y749" s="1843"/>
      <c r="Z749" s="1843"/>
      <c r="AA749" s="1843"/>
      <c r="AB749" s="1844"/>
      <c r="AC749" s="1842"/>
      <c r="AD749" s="1843"/>
      <c r="AE749" s="1843"/>
      <c r="AF749" s="1843"/>
      <c r="AG749" s="184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5">
      <c r="J750" s="1842"/>
      <c r="K750" s="1843"/>
      <c r="L750" s="1843"/>
      <c r="M750" s="1843"/>
      <c r="N750" s="1844"/>
      <c r="O750" s="1917"/>
      <c r="P750" s="1917"/>
      <c r="Q750" s="1917"/>
      <c r="R750" s="1917"/>
      <c r="S750" s="1917"/>
      <c r="T750" s="2157"/>
      <c r="U750" s="2158"/>
      <c r="V750" s="2158"/>
      <c r="W750" s="2159"/>
      <c r="X750" s="1842"/>
      <c r="Y750" s="1843"/>
      <c r="Z750" s="1843"/>
      <c r="AA750" s="1843"/>
      <c r="AB750" s="1844"/>
      <c r="AC750" s="1842"/>
      <c r="AD750" s="1843"/>
      <c r="AE750" s="1843"/>
      <c r="AF750" s="1843"/>
      <c r="AG750" s="184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5">
      <c r="J751" s="1845"/>
      <c r="K751" s="1846"/>
      <c r="L751" s="1846"/>
      <c r="M751" s="1846"/>
      <c r="N751" s="1847"/>
      <c r="O751" s="1917"/>
      <c r="P751" s="1917"/>
      <c r="Q751" s="1917"/>
      <c r="R751" s="1917"/>
      <c r="S751" s="1917"/>
      <c r="T751" s="2166"/>
      <c r="U751" s="2167"/>
      <c r="V751" s="2167"/>
      <c r="W751" s="2168"/>
      <c r="X751" s="1845"/>
      <c r="Y751" s="1846"/>
      <c r="Z751" s="1846"/>
      <c r="AA751" s="1846"/>
      <c r="AB751" s="1847"/>
      <c r="AC751" s="1845"/>
      <c r="AD751" s="1846"/>
      <c r="AE751" s="1846"/>
      <c r="AF751" s="1846"/>
      <c r="AG751" s="184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5">
      <c r="J752" s="1836" t="s">
        <v>852</v>
      </c>
      <c r="K752" s="1837"/>
      <c r="L752" s="1837"/>
      <c r="M752" s="1837"/>
      <c r="N752" s="1838"/>
      <c r="O752" s="1867">
        <v>1</v>
      </c>
      <c r="P752" s="1867"/>
      <c r="Q752" s="1867"/>
      <c r="R752" s="1867"/>
      <c r="S752" s="1867"/>
      <c r="T752" s="1739">
        <v>900</v>
      </c>
      <c r="U752" s="1740"/>
      <c r="V752" s="1740"/>
      <c r="W752" s="1741"/>
      <c r="X752" s="1742">
        <v>0</v>
      </c>
      <c r="Y752" s="1743"/>
      <c r="Z752" s="1743"/>
      <c r="AA752" s="1743"/>
      <c r="AB752" s="1744"/>
      <c r="AC752" s="1736">
        <f>X752*O752</f>
        <v>0</v>
      </c>
      <c r="AD752" s="1737"/>
      <c r="AE752" s="1737"/>
      <c r="AF752" s="1737"/>
      <c r="AG752" s="173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836"/>
      <c r="K753" s="1837"/>
      <c r="L753" s="1837"/>
      <c r="M753" s="1837"/>
      <c r="N753" s="1838"/>
      <c r="O753" s="1867"/>
      <c r="P753" s="1867"/>
      <c r="Q753" s="1867"/>
      <c r="R753" s="1867"/>
      <c r="S753" s="1867"/>
      <c r="T753" s="1739"/>
      <c r="U753" s="1740"/>
      <c r="V753" s="1740"/>
      <c r="W753" s="1741"/>
      <c r="X753" s="1742"/>
      <c r="Y753" s="1743"/>
      <c r="Z753" s="1743"/>
      <c r="AA753" s="1743"/>
      <c r="AB753" s="1744"/>
      <c r="AC753" s="1736">
        <f>X753*O753</f>
        <v>0</v>
      </c>
      <c r="AD753" s="1737"/>
      <c r="AE753" s="1737"/>
      <c r="AF753" s="1737"/>
      <c r="AG753" s="173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836"/>
      <c r="K754" s="1837"/>
      <c r="L754" s="1837"/>
      <c r="M754" s="1837"/>
      <c r="N754" s="1838"/>
      <c r="O754" s="1867"/>
      <c r="P754" s="1867"/>
      <c r="Q754" s="1867"/>
      <c r="R754" s="1867"/>
      <c r="S754" s="1867"/>
      <c r="T754" s="1739"/>
      <c r="U754" s="1740"/>
      <c r="V754" s="1740"/>
      <c r="W754" s="1741"/>
      <c r="X754" s="1742"/>
      <c r="Y754" s="1743"/>
      <c r="Z754" s="1743"/>
      <c r="AA754" s="1743"/>
      <c r="AB754" s="1744"/>
      <c r="AC754" s="1736">
        <f>X754*O754</f>
        <v>0</v>
      </c>
      <c r="AD754" s="1737"/>
      <c r="AE754" s="1737"/>
      <c r="AF754" s="1737"/>
      <c r="AG754" s="173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836"/>
      <c r="K755" s="1837"/>
      <c r="L755" s="1837"/>
      <c r="M755" s="1837"/>
      <c r="N755" s="1838"/>
      <c r="O755" s="1867"/>
      <c r="P755" s="1867"/>
      <c r="Q755" s="1867"/>
      <c r="R755" s="1867"/>
      <c r="S755" s="1867"/>
      <c r="T755" s="1739"/>
      <c r="U755" s="1740"/>
      <c r="V755" s="1740"/>
      <c r="W755" s="1741"/>
      <c r="X755" s="1742"/>
      <c r="Y755" s="1743"/>
      <c r="Z755" s="1743"/>
      <c r="AA755" s="1743"/>
      <c r="AB755" s="1744"/>
      <c r="AC755" s="1736">
        <f>X755*O755</f>
        <v>0</v>
      </c>
      <c r="AD755" s="1737"/>
      <c r="AE755" s="1737"/>
      <c r="AF755" s="1737"/>
      <c r="AG755" s="173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910" t="s">
        <v>975</v>
      </c>
      <c r="K756" s="1911"/>
      <c r="L756" s="1911"/>
      <c r="M756" s="1911"/>
      <c r="N756" s="1912"/>
      <c r="O756" s="1914">
        <f>SUM(O752:S755)</f>
        <v>1</v>
      </c>
      <c r="P756" s="1915"/>
      <c r="Q756" s="1915"/>
      <c r="R756" s="1915"/>
      <c r="S756" s="1916"/>
      <c r="X756" s="2170" t="s">
        <v>974</v>
      </c>
      <c r="Y756" s="2171"/>
      <c r="Z756" s="2171"/>
      <c r="AA756" s="2171"/>
      <c r="AB756" s="2172"/>
      <c r="AC756" s="1736">
        <f>SUM(AC752:AG755)</f>
        <v>0</v>
      </c>
      <c r="AD756" s="1737"/>
      <c r="AE756" s="1737"/>
      <c r="AF756" s="1737"/>
      <c r="AG756" s="173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92" t="s">
        <v>531</v>
      </c>
      <c r="K758" s="1892"/>
      <c r="L758" s="105"/>
      <c r="M758" s="807"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7"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39" t="s">
        <v>59</v>
      </c>
      <c r="K762" s="1840"/>
      <c r="L762" s="1840"/>
      <c r="M762" s="1840"/>
      <c r="N762" s="1841"/>
      <c r="O762" s="1917" t="s">
        <v>284</v>
      </c>
      <c r="P762" s="1917"/>
      <c r="Q762" s="1917"/>
      <c r="R762" s="1917"/>
      <c r="S762" s="1917"/>
      <c r="T762" s="2154" t="s">
        <v>2287</v>
      </c>
      <c r="U762" s="2155"/>
      <c r="V762" s="2155"/>
      <c r="W762" s="2156"/>
      <c r="X762" s="1839" t="s">
        <v>654</v>
      </c>
      <c r="Y762" s="1840"/>
      <c r="Z762" s="1840"/>
      <c r="AA762" s="1840"/>
      <c r="AB762" s="1841"/>
      <c r="AC762" s="1839" t="s">
        <v>285</v>
      </c>
      <c r="AD762" s="1840"/>
      <c r="AE762" s="1840"/>
      <c r="AF762" s="1840"/>
      <c r="AG762" s="184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42"/>
      <c r="K763" s="1843"/>
      <c r="L763" s="1843"/>
      <c r="M763" s="1843"/>
      <c r="N763" s="1844"/>
      <c r="O763" s="1917"/>
      <c r="P763" s="1917"/>
      <c r="Q763" s="1917"/>
      <c r="R763" s="1917"/>
      <c r="S763" s="1917"/>
      <c r="T763" s="2157"/>
      <c r="U763" s="2158"/>
      <c r="V763" s="2158"/>
      <c r="W763" s="2159"/>
      <c r="X763" s="1842"/>
      <c r="Y763" s="1843"/>
      <c r="Z763" s="1843"/>
      <c r="AA763" s="1843"/>
      <c r="AB763" s="1844"/>
      <c r="AC763" s="1842"/>
      <c r="AD763" s="1843"/>
      <c r="AE763" s="1843"/>
      <c r="AF763" s="1843"/>
      <c r="AG763" s="184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842"/>
      <c r="K764" s="1843"/>
      <c r="L764" s="1843"/>
      <c r="M764" s="1843"/>
      <c r="N764" s="1844"/>
      <c r="O764" s="1917"/>
      <c r="P764" s="1917"/>
      <c r="Q764" s="1917"/>
      <c r="R764" s="1917"/>
      <c r="S764" s="1917"/>
      <c r="T764" s="2157"/>
      <c r="U764" s="2158"/>
      <c r="V764" s="2158"/>
      <c r="W764" s="2159"/>
      <c r="X764" s="1842"/>
      <c r="Y764" s="1843"/>
      <c r="Z764" s="1843"/>
      <c r="AA764" s="1843"/>
      <c r="AB764" s="1844"/>
      <c r="AC764" s="1842"/>
      <c r="AD764" s="1843"/>
      <c r="AE764" s="1843"/>
      <c r="AF764" s="1843"/>
      <c r="AG764" s="184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45"/>
      <c r="K765" s="1846"/>
      <c r="L765" s="1846"/>
      <c r="M765" s="1846"/>
      <c r="N765" s="1847"/>
      <c r="O765" s="1917"/>
      <c r="P765" s="1917"/>
      <c r="Q765" s="1917"/>
      <c r="R765" s="1917"/>
      <c r="S765" s="1917"/>
      <c r="T765" s="2166"/>
      <c r="U765" s="2167"/>
      <c r="V765" s="2167"/>
      <c r="W765" s="2168"/>
      <c r="X765" s="1845"/>
      <c r="Y765" s="1846"/>
      <c r="Z765" s="1846"/>
      <c r="AA765" s="1846"/>
      <c r="AB765" s="1847"/>
      <c r="AC765" s="1845"/>
      <c r="AD765" s="1846"/>
      <c r="AE765" s="1846"/>
      <c r="AF765" s="1846"/>
      <c r="AG765" s="184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836"/>
      <c r="K766" s="1837"/>
      <c r="L766" s="1837"/>
      <c r="M766" s="1837"/>
      <c r="N766" s="1838"/>
      <c r="O766" s="1867"/>
      <c r="P766" s="1867"/>
      <c r="Q766" s="1867"/>
      <c r="R766" s="1867"/>
      <c r="S766" s="1867"/>
      <c r="T766" s="1739"/>
      <c r="U766" s="1740"/>
      <c r="V766" s="1740"/>
      <c r="W766" s="1741"/>
      <c r="X766" s="1742"/>
      <c r="Y766" s="1743"/>
      <c r="Z766" s="1743"/>
      <c r="AA766" s="1743"/>
      <c r="AB766" s="1744"/>
      <c r="AC766" s="1736">
        <f t="shared" ref="AC766:AC775" si="32">X766*O766</f>
        <v>0</v>
      </c>
      <c r="AD766" s="1737"/>
      <c r="AE766" s="1737"/>
      <c r="AF766" s="1737"/>
      <c r="AG766" s="173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836"/>
      <c r="K767" s="1837"/>
      <c r="L767" s="1837"/>
      <c r="M767" s="1837"/>
      <c r="N767" s="1838"/>
      <c r="O767" s="1867"/>
      <c r="P767" s="1867"/>
      <c r="Q767" s="1867"/>
      <c r="R767" s="1867"/>
      <c r="S767" s="1867"/>
      <c r="T767" s="1739"/>
      <c r="U767" s="1740"/>
      <c r="V767" s="1740"/>
      <c r="W767" s="1741"/>
      <c r="X767" s="1742"/>
      <c r="Y767" s="1743"/>
      <c r="Z767" s="1743"/>
      <c r="AA767" s="1743"/>
      <c r="AB767" s="1744"/>
      <c r="AC767" s="1736">
        <f t="shared" si="32"/>
        <v>0</v>
      </c>
      <c r="AD767" s="1737"/>
      <c r="AE767" s="1737"/>
      <c r="AF767" s="1737"/>
      <c r="AG767" s="173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836"/>
      <c r="K768" s="1837"/>
      <c r="L768" s="1837"/>
      <c r="M768" s="1837"/>
      <c r="N768" s="1838"/>
      <c r="O768" s="1867"/>
      <c r="P768" s="1867"/>
      <c r="Q768" s="1867"/>
      <c r="R768" s="1867"/>
      <c r="S768" s="1867"/>
      <c r="T768" s="1739"/>
      <c r="U768" s="1740"/>
      <c r="V768" s="1740"/>
      <c r="W768" s="1741"/>
      <c r="X768" s="1742"/>
      <c r="Y768" s="1743"/>
      <c r="Z768" s="1743"/>
      <c r="AA768" s="1743"/>
      <c r="AB768" s="1744"/>
      <c r="AC768" s="1736">
        <f t="shared" si="32"/>
        <v>0</v>
      </c>
      <c r="AD768" s="1737"/>
      <c r="AE768" s="1737"/>
      <c r="AF768" s="1737"/>
      <c r="AG768" s="173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836"/>
      <c r="K769" s="1837"/>
      <c r="L769" s="1837"/>
      <c r="M769" s="1837"/>
      <c r="N769" s="1838"/>
      <c r="O769" s="1867"/>
      <c r="P769" s="1867"/>
      <c r="Q769" s="1867"/>
      <c r="R769" s="1867"/>
      <c r="S769" s="1867"/>
      <c r="T769" s="1739"/>
      <c r="U769" s="1740"/>
      <c r="V769" s="1740"/>
      <c r="W769" s="1741"/>
      <c r="X769" s="1742"/>
      <c r="Y769" s="1743"/>
      <c r="Z769" s="1743"/>
      <c r="AA769" s="1743"/>
      <c r="AB769" s="1744"/>
      <c r="AC769" s="1736">
        <f t="shared" si="32"/>
        <v>0</v>
      </c>
      <c r="AD769" s="1737"/>
      <c r="AE769" s="1737"/>
      <c r="AF769" s="1737"/>
      <c r="AG769" s="173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836"/>
      <c r="K770" s="1837"/>
      <c r="L770" s="1837"/>
      <c r="M770" s="1837"/>
      <c r="N770" s="1838"/>
      <c r="O770" s="1867"/>
      <c r="P770" s="1867"/>
      <c r="Q770" s="1867"/>
      <c r="R770" s="1867"/>
      <c r="S770" s="1867"/>
      <c r="T770" s="1739"/>
      <c r="U770" s="1740"/>
      <c r="V770" s="1740"/>
      <c r="W770" s="1741"/>
      <c r="X770" s="1742"/>
      <c r="Y770" s="1743"/>
      <c r="Z770" s="1743"/>
      <c r="AA770" s="1743"/>
      <c r="AB770" s="1744"/>
      <c r="AC770" s="1736">
        <f t="shared" si="32"/>
        <v>0</v>
      </c>
      <c r="AD770" s="1737"/>
      <c r="AE770" s="1737"/>
      <c r="AF770" s="1737"/>
      <c r="AG770" s="173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836"/>
      <c r="K771" s="1837"/>
      <c r="L771" s="1837"/>
      <c r="M771" s="1837"/>
      <c r="N771" s="1838"/>
      <c r="O771" s="1867"/>
      <c r="P771" s="1867"/>
      <c r="Q771" s="1867"/>
      <c r="R771" s="1867"/>
      <c r="S771" s="1867"/>
      <c r="T771" s="1739"/>
      <c r="U771" s="1740"/>
      <c r="V771" s="1740"/>
      <c r="W771" s="1741"/>
      <c r="X771" s="1742"/>
      <c r="Y771" s="1743"/>
      <c r="Z771" s="1743"/>
      <c r="AA771" s="1743"/>
      <c r="AB771" s="1744"/>
      <c r="AC771" s="1736">
        <f t="shared" si="32"/>
        <v>0</v>
      </c>
      <c r="AD771" s="1737"/>
      <c r="AE771" s="1737"/>
      <c r="AF771" s="1737"/>
      <c r="AG771" s="173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836"/>
      <c r="K772" s="1837"/>
      <c r="L772" s="1837"/>
      <c r="M772" s="1837"/>
      <c r="N772" s="1838"/>
      <c r="O772" s="1867"/>
      <c r="P772" s="1867"/>
      <c r="Q772" s="1867"/>
      <c r="R772" s="1867"/>
      <c r="S772" s="1867"/>
      <c r="T772" s="1739"/>
      <c r="U772" s="1740"/>
      <c r="V772" s="1740"/>
      <c r="W772" s="1741"/>
      <c r="X772" s="1742"/>
      <c r="Y772" s="1743"/>
      <c r="Z772" s="1743"/>
      <c r="AA772" s="1743"/>
      <c r="AB772" s="1744"/>
      <c r="AC772" s="1736">
        <f t="shared" si="32"/>
        <v>0</v>
      </c>
      <c r="AD772" s="1737"/>
      <c r="AE772" s="1737"/>
      <c r="AF772" s="1737"/>
      <c r="AG772" s="173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836"/>
      <c r="K773" s="1837"/>
      <c r="L773" s="1837"/>
      <c r="M773" s="1837"/>
      <c r="N773" s="1838"/>
      <c r="O773" s="1867"/>
      <c r="P773" s="1867"/>
      <c r="Q773" s="1867"/>
      <c r="R773" s="1867"/>
      <c r="S773" s="1867"/>
      <c r="T773" s="1739"/>
      <c r="U773" s="1740"/>
      <c r="V773" s="1740"/>
      <c r="W773" s="1741"/>
      <c r="X773" s="1742"/>
      <c r="Y773" s="1743"/>
      <c r="Z773" s="1743"/>
      <c r="AA773" s="1743"/>
      <c r="AB773" s="1744"/>
      <c r="AC773" s="1736">
        <f t="shared" si="32"/>
        <v>0</v>
      </c>
      <c r="AD773" s="1737"/>
      <c r="AE773" s="1737"/>
      <c r="AF773" s="1737"/>
      <c r="AG773" s="173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836"/>
      <c r="K774" s="1837"/>
      <c r="L774" s="1837"/>
      <c r="M774" s="1837"/>
      <c r="N774" s="1838"/>
      <c r="O774" s="1867"/>
      <c r="P774" s="1867"/>
      <c r="Q774" s="1867"/>
      <c r="R774" s="1867"/>
      <c r="S774" s="1867"/>
      <c r="T774" s="1739"/>
      <c r="U774" s="1740"/>
      <c r="V774" s="1740"/>
      <c r="W774" s="1741"/>
      <c r="X774" s="1742"/>
      <c r="Y774" s="1743"/>
      <c r="Z774" s="1743"/>
      <c r="AA774" s="1743"/>
      <c r="AB774" s="1744"/>
      <c r="AC774" s="1736">
        <f t="shared" si="32"/>
        <v>0</v>
      </c>
      <c r="AD774" s="1737"/>
      <c r="AE774" s="1737"/>
      <c r="AF774" s="1737"/>
      <c r="AG774" s="173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36"/>
      <c r="K775" s="1837"/>
      <c r="L775" s="1837"/>
      <c r="M775" s="1837"/>
      <c r="N775" s="1838"/>
      <c r="O775" s="1867"/>
      <c r="P775" s="1867"/>
      <c r="Q775" s="1867"/>
      <c r="R775" s="1867"/>
      <c r="S775" s="1867"/>
      <c r="T775" s="1739"/>
      <c r="U775" s="1740"/>
      <c r="V775" s="1740"/>
      <c r="W775" s="1741"/>
      <c r="X775" s="1742"/>
      <c r="Y775" s="1743"/>
      <c r="Z775" s="1743"/>
      <c r="AA775" s="1743"/>
      <c r="AB775" s="1744"/>
      <c r="AC775" s="1736">
        <f t="shared" si="32"/>
        <v>0</v>
      </c>
      <c r="AD775" s="1737"/>
      <c r="AE775" s="1737"/>
      <c r="AF775" s="1737"/>
      <c r="AG775" s="173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910" t="s">
        <v>975</v>
      </c>
      <c r="K776" s="1911"/>
      <c r="L776" s="1911"/>
      <c r="M776" s="1911"/>
      <c r="N776" s="1912"/>
      <c r="O776" s="1913">
        <f>SUM(O766:S775)</f>
        <v>0</v>
      </c>
      <c r="P776" s="1913"/>
      <c r="Q776" s="1913"/>
      <c r="R776" s="1913"/>
      <c r="S776" s="1913"/>
      <c r="X776" s="1458" t="s">
        <v>974</v>
      </c>
      <c r="Y776" s="255"/>
      <c r="Z776" s="255"/>
      <c r="AA776" s="255"/>
      <c r="AB776" s="1459"/>
      <c r="AC776" s="1736">
        <f>SUM(AC766:AG775)</f>
        <v>0</v>
      </c>
      <c r="AD776" s="1737"/>
      <c r="AE776" s="1737"/>
      <c r="AF776" s="1737"/>
      <c r="AG776" s="173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69">
        <f>T731+AC756+AC776</f>
        <v>39929</v>
      </c>
      <c r="Z778" s="1869"/>
      <c r="AA778" s="1869"/>
      <c r="AB778" s="1869"/>
      <c r="AC778" s="186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69">
        <f>(T731+AC756+AC776)*12</f>
        <v>479148</v>
      </c>
      <c r="Z779" s="1869"/>
      <c r="AA779" s="1869"/>
      <c r="AB779" s="1869"/>
      <c r="AC779" s="186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6">
        <v>49</v>
      </c>
      <c r="AA784" s="2090"/>
      <c r="AB784" s="2090"/>
      <c r="AC784" s="2090"/>
      <c r="AD784" s="2090"/>
      <c r="AE784" s="209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89">
        <v>20</v>
      </c>
      <c r="AA785" s="2090"/>
      <c r="AB785" s="2090"/>
      <c r="AC785" s="2090"/>
      <c r="AD785" s="2090"/>
      <c r="AE785" s="209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74">
        <v>0</v>
      </c>
      <c r="AA786" s="1810"/>
      <c r="AB786" s="1810"/>
      <c r="AC786" s="1810"/>
      <c r="AD786" s="1810"/>
      <c r="AE786" s="181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903">
        <f>'Subsidy Contract Calculation'!I30</f>
        <v>188868</v>
      </c>
      <c r="AA787" s="1904"/>
      <c r="AB787" s="1904"/>
      <c r="AC787" s="1904"/>
      <c r="AD787" s="1904"/>
      <c r="AE787" s="190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14">
        <v>7800</v>
      </c>
      <c r="AA791" s="1715"/>
      <c r="AB791" s="1715"/>
      <c r="AC791" s="1715"/>
      <c r="AD791" s="1715"/>
      <c r="AE791" s="171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14"/>
      <c r="AA792" s="1715"/>
      <c r="AB792" s="1715"/>
      <c r="AC792" s="1715"/>
      <c r="AD792" s="1715"/>
      <c r="AE792" s="171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14"/>
      <c r="AA793" s="1715"/>
      <c r="AB793" s="1715"/>
      <c r="AC793" s="1715"/>
      <c r="AD793" s="1715"/>
      <c r="AE793" s="171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173" t="s">
        <v>621</v>
      </c>
      <c r="Q794" s="1801"/>
      <c r="R794" s="1801"/>
      <c r="S794" s="1801"/>
      <c r="T794" s="1801"/>
      <c r="U794" s="1801"/>
      <c r="V794" s="1801"/>
      <c r="W794" s="1801"/>
      <c r="X794" s="1801"/>
      <c r="Y794" s="1802"/>
      <c r="Z794" s="1714"/>
      <c r="AA794" s="1715"/>
      <c r="AB794" s="1715"/>
      <c r="AC794" s="1715"/>
      <c r="AD794" s="1715"/>
      <c r="AE794" s="171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55">
        <f>SUM(Z791:AE794)</f>
        <v>7800</v>
      </c>
      <c r="AA795" s="1756"/>
      <c r="AB795" s="1756"/>
      <c r="AC795" s="1756"/>
      <c r="AD795" s="1756"/>
      <c r="AE795" s="175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55">
        <f>Z795+Y779+Z787</f>
        <v>675816</v>
      </c>
      <c r="AA796" s="1756"/>
      <c r="AB796" s="1756"/>
      <c r="AC796" s="1756"/>
      <c r="AD796" s="1756"/>
      <c r="AE796" s="175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2" t="s">
        <v>976</v>
      </c>
      <c r="N801" s="2092"/>
      <c r="O801" s="2092"/>
      <c r="P801" s="2093"/>
      <c r="Q801" s="1870" t="s">
        <v>291</v>
      </c>
      <c r="R801" s="1870"/>
      <c r="S801" s="1870"/>
      <c r="T801" s="1870"/>
      <c r="U801" s="1870" t="s">
        <v>292</v>
      </c>
      <c r="V801" s="1870"/>
      <c r="W801" s="1870"/>
      <c r="X801" s="1870"/>
      <c r="Y801" s="1870" t="s">
        <v>293</v>
      </c>
      <c r="Z801" s="1870"/>
      <c r="AA801" s="1870"/>
      <c r="AB801" s="1870"/>
      <c r="AC801" s="1870" t="s">
        <v>36</v>
      </c>
      <c r="AD801" s="1870"/>
      <c r="AE801" s="1870"/>
      <c r="AF801" s="1870"/>
      <c r="AG801" s="2175" t="s">
        <v>622</v>
      </c>
      <c r="AH801" s="2175"/>
      <c r="AI801" s="2175"/>
      <c r="AJ801" s="217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4"/>
      <c r="N802" s="2094"/>
      <c r="O802" s="2094"/>
      <c r="P802" s="2095"/>
      <c r="Q802" s="1870"/>
      <c r="R802" s="1870"/>
      <c r="S802" s="1870"/>
      <c r="T802" s="1870"/>
      <c r="U802" s="1870"/>
      <c r="V802" s="1870"/>
      <c r="W802" s="1870"/>
      <c r="X802" s="1870"/>
      <c r="Y802" s="1870"/>
      <c r="Z802" s="1870"/>
      <c r="AA802" s="1870"/>
      <c r="AB802" s="1870"/>
      <c r="AC802" s="1870"/>
      <c r="AD802" s="1870"/>
      <c r="AE802" s="1870"/>
      <c r="AF802" s="1870"/>
      <c r="AG802" s="2175"/>
      <c r="AH802" s="2175"/>
      <c r="AI802" s="2175"/>
      <c r="AJ802" s="217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37" t="s">
        <v>759</v>
      </c>
      <c r="D803" s="1938"/>
      <c r="E803" s="1938"/>
      <c r="F803" s="1938"/>
      <c r="G803" s="1938"/>
      <c r="H803" s="1938"/>
      <c r="I803" s="94"/>
      <c r="J803" s="94"/>
      <c r="K803" s="94"/>
      <c r="L803" s="95"/>
      <c r="M803" s="1868"/>
      <c r="N803" s="1868"/>
      <c r="O803" s="1868"/>
      <c r="P803" s="1868"/>
      <c r="Q803" s="1868"/>
      <c r="R803" s="1868"/>
      <c r="S803" s="1868"/>
      <c r="T803" s="1868"/>
      <c r="U803" s="1868"/>
      <c r="V803" s="1868"/>
      <c r="W803" s="1868"/>
      <c r="X803" s="1868"/>
      <c r="Y803" s="1868"/>
      <c r="Z803" s="1868"/>
      <c r="AA803" s="1868"/>
      <c r="AB803" s="1868"/>
      <c r="AC803" s="1864"/>
      <c r="AD803" s="1865"/>
      <c r="AE803" s="1865"/>
      <c r="AF803" s="1866"/>
      <c r="AG803" s="1864"/>
      <c r="AH803" s="1865"/>
      <c r="AI803" s="1865"/>
      <c r="AJ803" s="186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62" t="s">
        <v>760</v>
      </c>
      <c r="D804" s="1863"/>
      <c r="E804" s="1863"/>
      <c r="F804" s="1863"/>
      <c r="G804" s="1863"/>
      <c r="H804" s="1863"/>
      <c r="I804" s="91"/>
      <c r="J804" s="91"/>
      <c r="K804" s="91"/>
      <c r="L804" s="92"/>
      <c r="M804" s="1868"/>
      <c r="N804" s="1868"/>
      <c r="O804" s="1868"/>
      <c r="P804" s="1868"/>
      <c r="Q804" s="1868"/>
      <c r="R804" s="1868"/>
      <c r="S804" s="1868"/>
      <c r="T804" s="1868"/>
      <c r="U804" s="1868"/>
      <c r="V804" s="1868"/>
      <c r="W804" s="1868"/>
      <c r="X804" s="1868"/>
      <c r="Y804" s="1868"/>
      <c r="Z804" s="1868"/>
      <c r="AA804" s="1868"/>
      <c r="AB804" s="1868"/>
      <c r="AC804" s="1864"/>
      <c r="AD804" s="1865"/>
      <c r="AE804" s="1865"/>
      <c r="AF804" s="1866"/>
      <c r="AG804" s="1864"/>
      <c r="AH804" s="1865"/>
      <c r="AI804" s="1865"/>
      <c r="AJ804" s="186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62" t="s">
        <v>78</v>
      </c>
      <c r="D805" s="1863"/>
      <c r="E805" s="1863"/>
      <c r="F805" s="1863"/>
      <c r="G805" s="1863"/>
      <c r="H805" s="1863"/>
      <c r="I805" s="110"/>
      <c r="J805" s="110"/>
      <c r="K805" s="110"/>
      <c r="L805" s="111"/>
      <c r="M805" s="1868"/>
      <c r="N805" s="1868"/>
      <c r="O805" s="1868"/>
      <c r="P805" s="1868"/>
      <c r="Q805" s="1868"/>
      <c r="R805" s="1868"/>
      <c r="S805" s="1868"/>
      <c r="T805" s="1868"/>
      <c r="U805" s="1868"/>
      <c r="V805" s="1868"/>
      <c r="W805" s="1868"/>
      <c r="X805" s="1868"/>
      <c r="Y805" s="1868"/>
      <c r="Z805" s="1868"/>
      <c r="AA805" s="1868"/>
      <c r="AB805" s="1868"/>
      <c r="AC805" s="1864"/>
      <c r="AD805" s="1865"/>
      <c r="AE805" s="1865"/>
      <c r="AF805" s="1866"/>
      <c r="AG805" s="1864"/>
      <c r="AH805" s="1865"/>
      <c r="AI805" s="1865"/>
      <c r="AJ805" s="186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62" t="s">
        <v>195</v>
      </c>
      <c r="D806" s="1863"/>
      <c r="E806" s="1863"/>
      <c r="F806" s="1863"/>
      <c r="G806" s="1863"/>
      <c r="H806" s="1863"/>
      <c r="I806" s="110"/>
      <c r="J806" s="110"/>
      <c r="K806" s="110"/>
      <c r="L806" s="111"/>
      <c r="M806" s="1868"/>
      <c r="N806" s="1868"/>
      <c r="O806" s="1868"/>
      <c r="P806" s="1868"/>
      <c r="Q806" s="1868"/>
      <c r="R806" s="1868"/>
      <c r="S806" s="1868"/>
      <c r="T806" s="1868"/>
      <c r="U806" s="1868"/>
      <c r="V806" s="1868"/>
      <c r="W806" s="1868"/>
      <c r="X806" s="1868"/>
      <c r="Y806" s="1868"/>
      <c r="Z806" s="1868"/>
      <c r="AA806" s="1868"/>
      <c r="AB806" s="1868"/>
      <c r="AC806" s="1864"/>
      <c r="AD806" s="1865"/>
      <c r="AE806" s="1865"/>
      <c r="AF806" s="1866"/>
      <c r="AG806" s="1864"/>
      <c r="AH806" s="1865"/>
      <c r="AI806" s="1865"/>
      <c r="AJ806" s="186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862" t="s">
        <v>865</v>
      </c>
      <c r="D807" s="1863"/>
      <c r="E807" s="1863"/>
      <c r="F807" s="1863"/>
      <c r="G807" s="1863"/>
      <c r="H807" s="1863"/>
      <c r="I807" s="110"/>
      <c r="J807" s="110"/>
      <c r="K807" s="110"/>
      <c r="L807" s="111"/>
      <c r="M807" s="1868"/>
      <c r="N807" s="1868"/>
      <c r="O807" s="1868"/>
      <c r="P807" s="1868"/>
      <c r="Q807" s="1868">
        <v>15</v>
      </c>
      <c r="R807" s="1868"/>
      <c r="S807" s="1868"/>
      <c r="T807" s="1868"/>
      <c r="U807" s="1868">
        <v>17</v>
      </c>
      <c r="V807" s="1868"/>
      <c r="W807" s="1868"/>
      <c r="X807" s="1868"/>
      <c r="Y807" s="1868"/>
      <c r="Z807" s="1868"/>
      <c r="AA807" s="1868"/>
      <c r="AB807" s="1868"/>
      <c r="AC807" s="1864"/>
      <c r="AD807" s="1865"/>
      <c r="AE807" s="1865"/>
      <c r="AF807" s="1866"/>
      <c r="AG807" s="1864"/>
      <c r="AH807" s="1865"/>
      <c r="AI807" s="1865"/>
      <c r="AJ807" s="186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898" t="s">
        <v>1046</v>
      </c>
      <c r="D808" s="1863"/>
      <c r="E808" s="1863"/>
      <c r="F808" s="1863"/>
      <c r="G808" s="1863"/>
      <c r="H808" s="1863"/>
      <c r="I808" s="110"/>
      <c r="J808" s="110"/>
      <c r="K808" s="110"/>
      <c r="L808" s="111"/>
      <c r="M808" s="1868"/>
      <c r="N808" s="1868"/>
      <c r="O808" s="1868"/>
      <c r="P808" s="1868"/>
      <c r="Q808" s="1868">
        <v>21</v>
      </c>
      <c r="R808" s="1868"/>
      <c r="S808" s="1868"/>
      <c r="T808" s="1868"/>
      <c r="U808" s="1868">
        <v>28</v>
      </c>
      <c r="V808" s="1868"/>
      <c r="W808" s="1868"/>
      <c r="X808" s="1868"/>
      <c r="Y808" s="1868"/>
      <c r="Z808" s="1868"/>
      <c r="AA808" s="1868"/>
      <c r="AB808" s="1868"/>
      <c r="AC808" s="1864"/>
      <c r="AD808" s="1865"/>
      <c r="AE808" s="1865"/>
      <c r="AF808" s="1866"/>
      <c r="AG808" s="1864"/>
      <c r="AH808" s="1865"/>
      <c r="AI808" s="1865"/>
      <c r="AJ808" s="186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294</v>
      </c>
      <c r="D809" s="110"/>
      <c r="E809" s="110"/>
      <c r="F809" s="1857"/>
      <c r="G809" s="1746"/>
      <c r="H809" s="1746"/>
      <c r="I809" s="1746"/>
      <c r="J809" s="1746"/>
      <c r="K809" s="1746"/>
      <c r="L809" s="1747"/>
      <c r="M809" s="1868"/>
      <c r="N809" s="1868"/>
      <c r="O809" s="1868"/>
      <c r="P809" s="1868"/>
      <c r="Q809" s="1868"/>
      <c r="R809" s="1868"/>
      <c r="S809" s="1868"/>
      <c r="T809" s="1868"/>
      <c r="U809" s="1868"/>
      <c r="V809" s="1868"/>
      <c r="W809" s="1868"/>
      <c r="X809" s="1868"/>
      <c r="Y809" s="1868"/>
      <c r="Z809" s="1868"/>
      <c r="AA809" s="1868"/>
      <c r="AB809" s="1868"/>
      <c r="AC809" s="1864"/>
      <c r="AD809" s="1865"/>
      <c r="AE809" s="1865"/>
      <c r="AF809" s="1866"/>
      <c r="AG809" s="1864"/>
      <c r="AH809" s="1865"/>
      <c r="AI809" s="1865"/>
      <c r="AJ809" s="186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910" t="s">
        <v>974</v>
      </c>
      <c r="D810" s="1911"/>
      <c r="E810" s="1911"/>
      <c r="F810" s="1911"/>
      <c r="G810" s="1911"/>
      <c r="H810" s="1911"/>
      <c r="I810" s="1911"/>
      <c r="J810" s="1911"/>
      <c r="K810" s="1911"/>
      <c r="L810" s="1912"/>
      <c r="M810" s="1726">
        <f>SUM(M803:P809)</f>
        <v>0</v>
      </c>
      <c r="N810" s="1726"/>
      <c r="O810" s="1726"/>
      <c r="P810" s="1726"/>
      <c r="Q810" s="1726">
        <f>SUM(Q803:T809)</f>
        <v>36</v>
      </c>
      <c r="R810" s="1726"/>
      <c r="S810" s="1726"/>
      <c r="T810" s="1726"/>
      <c r="U810" s="1726">
        <f>SUM(U803:X809)</f>
        <v>45</v>
      </c>
      <c r="V810" s="1726"/>
      <c r="W810" s="1726"/>
      <c r="X810" s="1726"/>
      <c r="Y810" s="1726">
        <f>SUM(Y803:AB809)</f>
        <v>0</v>
      </c>
      <c r="Z810" s="1726"/>
      <c r="AA810" s="1726"/>
      <c r="AB810" s="1726"/>
      <c r="AC810" s="1726">
        <f>SUM(AC803:AF809)</f>
        <v>0</v>
      </c>
      <c r="AD810" s="1726"/>
      <c r="AE810" s="1726"/>
      <c r="AF810" s="1726"/>
      <c r="AG810" s="1726">
        <f>SUM(AG803:AJ809)</f>
        <v>0</v>
      </c>
      <c r="AH810" s="1726"/>
      <c r="AI810" s="1726"/>
      <c r="AJ810" s="172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81" t="s">
        <v>2488</v>
      </c>
      <c r="D815" s="2182"/>
      <c r="E815" s="2182"/>
      <c r="F815" s="2182"/>
      <c r="G815" s="2182"/>
      <c r="H815" s="2182"/>
      <c r="I815" s="2182"/>
      <c r="J815" s="2182"/>
      <c r="K815" s="2182"/>
      <c r="L815" s="2182"/>
      <c r="M815" s="2182"/>
      <c r="N815" s="2182"/>
      <c r="O815" s="2182"/>
      <c r="P815" s="2182"/>
      <c r="Q815" s="2182"/>
      <c r="R815" s="2182"/>
      <c r="S815" s="2182"/>
      <c r="T815" s="2182"/>
      <c r="U815" s="2182"/>
      <c r="V815" s="2182"/>
      <c r="W815" s="2182"/>
      <c r="X815" s="2182"/>
      <c r="Y815" s="2182"/>
      <c r="Z815" s="2182"/>
      <c r="AA815" s="2182"/>
      <c r="AB815" s="2182"/>
      <c r="AC815" s="2182"/>
      <c r="AD815" s="2182"/>
      <c r="AE815" s="2182"/>
      <c r="AF815" s="2182"/>
      <c r="AG815" s="2182"/>
      <c r="AH815" s="2182"/>
      <c r="AI815" s="2182"/>
      <c r="AJ815" s="218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87" t="s">
        <v>412</v>
      </c>
      <c r="BB819" s="1788"/>
      <c r="BC819" s="72"/>
      <c r="BD819" s="72"/>
      <c r="BE819" s="72"/>
      <c r="BF819" s="65" t="s">
        <v>469</v>
      </c>
      <c r="BG819" s="65"/>
      <c r="BH819" s="65"/>
      <c r="BI819" s="65"/>
      <c r="BJ819" s="65"/>
      <c r="BK819" s="65"/>
      <c r="BL819" s="65"/>
      <c r="BM819" s="65"/>
      <c r="BN819" s="65"/>
      <c r="BO819" s="1784" t="str">
        <f>T189</f>
        <v>Ventura</v>
      </c>
      <c r="BP819" s="1785"/>
      <c r="BQ819" s="1785"/>
      <c r="BR819" s="1785"/>
      <c r="BS819" s="1785"/>
      <c r="BT819" s="1785"/>
      <c r="BU819" s="178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516</v>
      </c>
      <c r="J820" s="90" t="s">
        <v>362</v>
      </c>
      <c r="K820" s="91"/>
      <c r="L820" s="91"/>
      <c r="M820" s="91"/>
      <c r="N820" s="91"/>
      <c r="O820" s="91"/>
      <c r="P820" s="91"/>
      <c r="Q820" s="91"/>
      <c r="R820" s="91"/>
      <c r="S820" s="91"/>
      <c r="T820" s="91"/>
      <c r="U820" s="91"/>
      <c r="V820" s="92"/>
      <c r="W820" s="1721">
        <v>500</v>
      </c>
      <c r="X820" s="1721"/>
      <c r="Y820" s="1721"/>
      <c r="Z820" s="1721"/>
      <c r="AA820" s="1721"/>
      <c r="AB820" s="1721"/>
      <c r="AC820" s="172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21">
        <v>786</v>
      </c>
      <c r="X821" s="1721"/>
      <c r="Y821" s="1721"/>
      <c r="Z821" s="1721"/>
      <c r="AA821" s="1721"/>
      <c r="AB821" s="1721"/>
      <c r="AC821" s="1721"/>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21">
        <v>5500</v>
      </c>
      <c r="X822" s="1721"/>
      <c r="Y822" s="1721"/>
      <c r="Z822" s="1721"/>
      <c r="AA822" s="1721"/>
      <c r="AB822" s="1721"/>
      <c r="AC822" s="172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21">
        <v>5500</v>
      </c>
      <c r="X823" s="1721"/>
      <c r="Y823" s="1721"/>
      <c r="Z823" s="1721"/>
      <c r="AA823" s="1721"/>
      <c r="AB823" s="1721"/>
      <c r="AC823" s="1721"/>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57" t="s">
        <v>2489</v>
      </c>
      <c r="N824" s="1746"/>
      <c r="O824" s="1746"/>
      <c r="P824" s="1746"/>
      <c r="Q824" s="1746"/>
      <c r="R824" s="1746"/>
      <c r="S824" s="1746"/>
      <c r="T824" s="1746"/>
      <c r="U824" s="1746"/>
      <c r="V824" s="1747"/>
      <c r="W824" s="1721">
        <v>8000</v>
      </c>
      <c r="X824" s="1721"/>
      <c r="Y824" s="1721"/>
      <c r="Z824" s="1721"/>
      <c r="AA824" s="1721"/>
      <c r="AB824" s="1721"/>
      <c r="AC824" s="172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55">
        <f>SUM(W820:AC824)</f>
        <v>20286</v>
      </c>
      <c r="X825" s="1756"/>
      <c r="Y825" s="1756"/>
      <c r="Z825" s="1756"/>
      <c r="AA825" s="1756"/>
      <c r="AB825" s="1756"/>
      <c r="AC825" s="1757"/>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910" t="s">
        <v>518</v>
      </c>
      <c r="K827" s="1911"/>
      <c r="L827" s="1911"/>
      <c r="M827" s="1911"/>
      <c r="N827" s="1911"/>
      <c r="O827" s="1911"/>
      <c r="P827" s="1911"/>
      <c r="Q827" s="1911"/>
      <c r="R827" s="1911"/>
      <c r="S827" s="1911"/>
      <c r="T827" s="1911"/>
      <c r="U827" s="1911"/>
      <c r="V827" s="1912"/>
      <c r="W827" s="1714">
        <v>31449</v>
      </c>
      <c r="X827" s="1715"/>
      <c r="Y827" s="1715"/>
      <c r="Z827" s="1715"/>
      <c r="AA827" s="1715"/>
      <c r="AB827" s="1715"/>
      <c r="AC827" s="171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17"/>
      <c r="X829" s="1717"/>
      <c r="Y829" s="1717"/>
      <c r="Z829" s="1717"/>
      <c r="AA829" s="1717"/>
      <c r="AB829" s="1717"/>
      <c r="AC829" s="171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17"/>
      <c r="X830" s="1717"/>
      <c r="Y830" s="1717"/>
      <c r="Z830" s="1717"/>
      <c r="AA830" s="1717"/>
      <c r="AB830" s="1717"/>
      <c r="AC830" s="171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17">
        <v>18000</v>
      </c>
      <c r="X831" s="1717"/>
      <c r="Y831" s="1717"/>
      <c r="Z831" s="1717"/>
      <c r="AA831" s="1717"/>
      <c r="AB831" s="1717"/>
      <c r="AC831" s="171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17">
        <v>8000</v>
      </c>
      <c r="X832" s="1717"/>
      <c r="Y832" s="1717"/>
      <c r="Z832" s="1717"/>
      <c r="AA832" s="1717"/>
      <c r="AB832" s="1717"/>
      <c r="AC832" s="171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58">
        <f>SUM(W829:AC832)</f>
        <v>26000</v>
      </c>
      <c r="X833" s="1858"/>
      <c r="Y833" s="1858"/>
      <c r="Z833" s="1858"/>
      <c r="AA833" s="1858"/>
      <c r="AB833" s="1858"/>
      <c r="AC833" s="185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6">
        <v>365252</v>
      </c>
      <c r="BD833" s="866">
        <v>421132</v>
      </c>
      <c r="BE833" s="866">
        <v>508000</v>
      </c>
      <c r="BF833" s="866">
        <v>650240</v>
      </c>
      <c r="BG833" s="866">
        <v>724408</v>
      </c>
      <c r="BH833" s="70"/>
      <c r="BI833" s="47" t="s">
        <v>471</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5">
        <v>262291</v>
      </c>
      <c r="BD834" s="865">
        <v>302419</v>
      </c>
      <c r="BE834" s="865">
        <v>364800</v>
      </c>
      <c r="BF834" s="865">
        <v>466944</v>
      </c>
      <c r="BG834" s="865">
        <v>520205</v>
      </c>
      <c r="BH834" s="70"/>
      <c r="BI834" s="47" t="s">
        <v>472</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18">
        <v>47000</v>
      </c>
      <c r="X835" s="1719"/>
      <c r="Y835" s="1719"/>
      <c r="Z835" s="1719"/>
      <c r="AA835" s="1719"/>
      <c r="AB835" s="1719"/>
      <c r="AC835" s="172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6">
        <v>262291</v>
      </c>
      <c r="BD835" s="866">
        <v>302419</v>
      </c>
      <c r="BE835" s="866">
        <v>364800</v>
      </c>
      <c r="BF835" s="866">
        <v>466944</v>
      </c>
      <c r="BG835" s="866">
        <v>520205</v>
      </c>
      <c r="BH835" s="70"/>
      <c r="BI835" s="47" t="s">
        <v>80</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2178">
        <v>1</v>
      </c>
      <c r="U836" s="2179"/>
      <c r="V836" s="2180"/>
      <c r="W836" s="1381"/>
      <c r="X836" s="1382"/>
      <c r="Y836" s="1382"/>
      <c r="Z836" s="1382"/>
      <c r="AA836" s="1382"/>
      <c r="AB836" s="1382"/>
      <c r="AC836" s="138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5">
        <v>230655</v>
      </c>
      <c r="BD836" s="865">
        <v>265943</v>
      </c>
      <c r="BE836" s="865">
        <v>320800</v>
      </c>
      <c r="BF836" s="865">
        <v>410624</v>
      </c>
      <c r="BG836" s="865">
        <v>457461</v>
      </c>
      <c r="BH836" s="70"/>
      <c r="BI836" s="47" t="s">
        <v>82</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18">
        <v>38000</v>
      </c>
      <c r="X837" s="1719"/>
      <c r="Y837" s="1719"/>
      <c r="Z837" s="1719"/>
      <c r="AA837" s="1719"/>
      <c r="AB837" s="1719"/>
      <c r="AC837" s="172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6">
        <v>262291</v>
      </c>
      <c r="BD837" s="866">
        <v>302419</v>
      </c>
      <c r="BE837" s="866">
        <v>364800</v>
      </c>
      <c r="BF837" s="866">
        <v>466944</v>
      </c>
      <c r="BG837" s="866">
        <v>520205</v>
      </c>
      <c r="BH837" s="70"/>
      <c r="BI837" s="47" t="s">
        <v>83</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2178">
        <v>1</v>
      </c>
      <c r="U838" s="2179"/>
      <c r="V838" s="2180"/>
      <c r="W838" s="1381"/>
      <c r="X838" s="1382"/>
      <c r="Y838" s="1382"/>
      <c r="Z838" s="1382"/>
      <c r="AA838" s="1382"/>
      <c r="AB838" s="1382"/>
      <c r="AC838" s="138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5">
        <v>262291</v>
      </c>
      <c r="BD838" s="865">
        <v>302419</v>
      </c>
      <c r="BE838" s="865">
        <v>364800</v>
      </c>
      <c r="BF838" s="865">
        <v>466944</v>
      </c>
      <c r="BG838" s="865">
        <v>520205</v>
      </c>
      <c r="BH838" s="70"/>
      <c r="BI838" s="47" t="s">
        <v>84</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57" t="s">
        <v>2490</v>
      </c>
      <c r="N839" s="1746"/>
      <c r="O839" s="1746"/>
      <c r="P839" s="1746"/>
      <c r="Q839" s="1746"/>
      <c r="R839" s="1746"/>
      <c r="S839" s="1746"/>
      <c r="T839" s="1746"/>
      <c r="U839" s="1746"/>
      <c r="V839" s="1747"/>
      <c r="W839" s="1718">
        <v>15000</v>
      </c>
      <c r="X839" s="1719"/>
      <c r="Y839" s="1719"/>
      <c r="Z839" s="1719"/>
      <c r="AA839" s="1719"/>
      <c r="AB839" s="1719"/>
      <c r="AC839" s="172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6">
        <v>365252</v>
      </c>
      <c r="BD839" s="866">
        <v>421132</v>
      </c>
      <c r="BE839" s="866">
        <v>508000</v>
      </c>
      <c r="BF839" s="866">
        <v>650240</v>
      </c>
      <c r="BG839" s="866">
        <v>724408</v>
      </c>
      <c r="BH839" s="70"/>
      <c r="BI839" s="47" t="s">
        <v>525</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11">
        <f>SUM(W835:AC839)</f>
        <v>100000</v>
      </c>
      <c r="X840" s="1712"/>
      <c r="Y840" s="1712"/>
      <c r="Z840" s="1712"/>
      <c r="AA840" s="1712"/>
      <c r="AB840" s="1712"/>
      <c r="AC840" s="171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5">
        <v>262291</v>
      </c>
      <c r="BD840" s="865">
        <v>302419</v>
      </c>
      <c r="BE840" s="865">
        <v>364800</v>
      </c>
      <c r="BF840" s="865">
        <v>466944</v>
      </c>
      <c r="BG840" s="865">
        <v>520205</v>
      </c>
      <c r="BH840" s="70"/>
      <c r="BI840" s="47" t="s">
        <v>526</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18">
        <v>50000</v>
      </c>
      <c r="X841" s="1719"/>
      <c r="Y841" s="1719"/>
      <c r="Z841" s="1719"/>
      <c r="AA841" s="1719"/>
      <c r="AB841" s="1719"/>
      <c r="AC841" s="172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6">
        <v>278397</v>
      </c>
      <c r="BD841" s="866">
        <v>320989</v>
      </c>
      <c r="BE841" s="866">
        <v>387200</v>
      </c>
      <c r="BF841" s="866">
        <v>495616</v>
      </c>
      <c r="BG841" s="866">
        <v>552147</v>
      </c>
      <c r="BH841" s="70"/>
      <c r="BI841" s="47" t="s">
        <v>527</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5">
        <v>238133</v>
      </c>
      <c r="BD842" s="865">
        <v>274565</v>
      </c>
      <c r="BE842" s="865">
        <v>331200</v>
      </c>
      <c r="BF842" s="865">
        <v>423936</v>
      </c>
      <c r="BG842" s="865">
        <v>472291</v>
      </c>
      <c r="BH842" s="70"/>
      <c r="BI842" s="47" t="s">
        <v>529</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21">
        <v>7000</v>
      </c>
      <c r="X843" s="1721"/>
      <c r="Y843" s="1721"/>
      <c r="Z843" s="1721"/>
      <c r="AA843" s="1721"/>
      <c r="AB843" s="1721"/>
      <c r="AC843" s="172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6">
        <v>262291</v>
      </c>
      <c r="BD843" s="866">
        <v>302419</v>
      </c>
      <c r="BE843" s="866">
        <v>364800</v>
      </c>
      <c r="BF843" s="866">
        <v>466944</v>
      </c>
      <c r="BG843" s="866">
        <v>520205</v>
      </c>
      <c r="BH843" s="70"/>
      <c r="BI843" s="47" t="s">
        <v>532</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21">
        <v>8000</v>
      </c>
      <c r="X844" s="1721"/>
      <c r="Y844" s="1721"/>
      <c r="Z844" s="1721"/>
      <c r="AA844" s="1721"/>
      <c r="AB844" s="1721"/>
      <c r="AC844" s="172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5">
        <v>262291</v>
      </c>
      <c r="BD844" s="865">
        <v>302419</v>
      </c>
      <c r="BE844" s="865">
        <v>364800</v>
      </c>
      <c r="BF844" s="865">
        <v>466944</v>
      </c>
      <c r="BG844" s="865">
        <v>520205</v>
      </c>
      <c r="BH844" s="70"/>
      <c r="BI844" s="47" t="s">
        <v>533</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21">
        <v>12000</v>
      </c>
      <c r="X845" s="1721"/>
      <c r="Y845" s="1721"/>
      <c r="Z845" s="1721"/>
      <c r="AA845" s="1721"/>
      <c r="AB845" s="1721"/>
      <c r="AC845" s="172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6">
        <v>228930</v>
      </c>
      <c r="BD845" s="866">
        <v>263954</v>
      </c>
      <c r="BE845" s="866">
        <v>318400</v>
      </c>
      <c r="BF845" s="866">
        <v>407552</v>
      </c>
      <c r="BG845" s="866">
        <v>454038</v>
      </c>
      <c r="BH845" s="70"/>
      <c r="BI845" s="47" t="s">
        <v>535</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21">
        <v>2000</v>
      </c>
      <c r="X846" s="1721"/>
      <c r="Y846" s="1721"/>
      <c r="Z846" s="1721"/>
      <c r="AA846" s="1721"/>
      <c r="AB846" s="1721"/>
      <c r="AC846" s="172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5">
        <v>262291</v>
      </c>
      <c r="BD846" s="865">
        <v>302419</v>
      </c>
      <c r="BE846" s="865">
        <v>364800</v>
      </c>
      <c r="BF846" s="865">
        <v>466944</v>
      </c>
      <c r="BG846" s="865">
        <v>520205</v>
      </c>
      <c r="BH846" s="70"/>
      <c r="BI846" s="47" t="s">
        <v>536</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21">
        <v>12000</v>
      </c>
      <c r="X847" s="1721"/>
      <c r="Y847" s="1721"/>
      <c r="Z847" s="1721"/>
      <c r="AA847" s="1721"/>
      <c r="AB847" s="1721"/>
      <c r="AC847" s="172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6">
        <v>238133</v>
      </c>
      <c r="BD847" s="866">
        <v>274565</v>
      </c>
      <c r="BE847" s="866">
        <v>331200</v>
      </c>
      <c r="BF847" s="866">
        <v>423936</v>
      </c>
      <c r="BG847" s="866">
        <v>472291</v>
      </c>
      <c r="BH847" s="70"/>
      <c r="BI847" s="47" t="s">
        <v>537</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683</v>
      </c>
      <c r="K848" s="91"/>
      <c r="L848" s="91"/>
      <c r="M848" s="91"/>
      <c r="N848" s="91"/>
      <c r="O848" s="91"/>
      <c r="P848" s="91"/>
      <c r="Q848" s="91"/>
      <c r="R848" s="91"/>
      <c r="S848" s="91"/>
      <c r="T848" s="91"/>
      <c r="U848" s="91"/>
      <c r="V848" s="92"/>
      <c r="W848" s="1721">
        <v>0</v>
      </c>
      <c r="X848" s="1721"/>
      <c r="Y848" s="1721"/>
      <c r="Z848" s="1721"/>
      <c r="AA848" s="1721"/>
      <c r="AB848" s="1721"/>
      <c r="AC848" s="1721"/>
      <c r="AM848" s="72"/>
      <c r="AN848" s="72"/>
      <c r="AO848" s="72"/>
      <c r="AP848" s="72"/>
      <c r="AQ848" s="72"/>
      <c r="AR848" s="72"/>
      <c r="AS848" s="72"/>
      <c r="AT848" s="72"/>
      <c r="AU848" s="72"/>
      <c r="AV848" s="72"/>
      <c r="AW848" s="72"/>
      <c r="AX848" s="72"/>
      <c r="AY848" s="72"/>
      <c r="AZ848" s="72"/>
      <c r="BA848" s="72"/>
      <c r="BB848" s="47" t="s">
        <v>539</v>
      </c>
      <c r="BC848" s="865">
        <v>238133</v>
      </c>
      <c r="BD848" s="865">
        <v>274565</v>
      </c>
      <c r="BE848" s="865">
        <v>331200</v>
      </c>
      <c r="BF848" s="865">
        <v>423936</v>
      </c>
      <c r="BG848" s="865">
        <v>472291</v>
      </c>
      <c r="BH848" s="70"/>
      <c r="BI848" s="47" t="s">
        <v>539</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311</v>
      </c>
      <c r="K849" s="91"/>
      <c r="L849" s="91"/>
      <c r="M849" s="1857" t="s">
        <v>2491</v>
      </c>
      <c r="N849" s="1746"/>
      <c r="O849" s="1746"/>
      <c r="P849" s="1746"/>
      <c r="Q849" s="1746"/>
      <c r="R849" s="1746"/>
      <c r="S849" s="1746"/>
      <c r="T849" s="1746"/>
      <c r="U849" s="1746"/>
      <c r="V849" s="1747"/>
      <c r="W849" s="1721">
        <v>3710</v>
      </c>
      <c r="X849" s="1721"/>
      <c r="Y849" s="1721"/>
      <c r="Z849" s="1721"/>
      <c r="AA849" s="1721"/>
      <c r="AB849" s="1721"/>
      <c r="AC849" s="1721"/>
      <c r="AM849" s="72"/>
      <c r="AN849" s="72"/>
      <c r="AO849" s="72"/>
      <c r="AP849" s="72"/>
      <c r="AQ849" s="72"/>
      <c r="AR849" s="72"/>
      <c r="AS849" s="72"/>
      <c r="AT849" s="72"/>
      <c r="AU849" s="72"/>
      <c r="AV849" s="72"/>
      <c r="AW849" s="72"/>
      <c r="AX849" s="72"/>
      <c r="AY849" s="72"/>
      <c r="AZ849" s="72"/>
      <c r="BA849" s="72"/>
      <c r="BB849" s="47" t="s">
        <v>540</v>
      </c>
      <c r="BC849" s="866">
        <v>262291</v>
      </c>
      <c r="BD849" s="866">
        <v>302419</v>
      </c>
      <c r="BE849" s="866">
        <v>364800</v>
      </c>
      <c r="BF849" s="866">
        <v>466944</v>
      </c>
      <c r="BG849" s="866">
        <v>520205</v>
      </c>
      <c r="BH849" s="70"/>
      <c r="BI849" s="47" t="s">
        <v>540</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869">
        <f>SUM(W843:AC849)</f>
        <v>44710</v>
      </c>
      <c r="X850" s="1869"/>
      <c r="Y850" s="1869"/>
      <c r="Z850" s="1869"/>
      <c r="AA850" s="1869"/>
      <c r="AB850" s="1869"/>
      <c r="AC850" s="1869"/>
      <c r="AM850" s="72"/>
      <c r="AN850" s="72"/>
      <c r="AO850" s="72"/>
      <c r="AP850" s="72"/>
      <c r="AQ850" s="72"/>
      <c r="AR850" s="72"/>
      <c r="AS850" s="72"/>
      <c r="AT850" s="72"/>
      <c r="AU850" s="72"/>
      <c r="AV850" s="72"/>
      <c r="AW850" s="72"/>
      <c r="AX850" s="72"/>
      <c r="AY850" s="72"/>
      <c r="AZ850" s="72"/>
      <c r="BA850" s="72"/>
      <c r="BB850" s="47" t="s">
        <v>659</v>
      </c>
      <c r="BC850" s="865">
        <v>262291</v>
      </c>
      <c r="BD850" s="865">
        <v>302419</v>
      </c>
      <c r="BE850" s="865">
        <v>364800</v>
      </c>
      <c r="BF850" s="865">
        <v>466944</v>
      </c>
      <c r="BG850" s="865">
        <v>520205</v>
      </c>
      <c r="BH850" s="70"/>
      <c r="BI850" s="47" t="s">
        <v>659</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660</v>
      </c>
      <c r="BC851" s="866">
        <v>327289</v>
      </c>
      <c r="BD851" s="866">
        <v>377361</v>
      </c>
      <c r="BE851" s="866">
        <v>455200</v>
      </c>
      <c r="BF851" s="866">
        <v>582656</v>
      </c>
      <c r="BG851" s="866">
        <v>649115</v>
      </c>
      <c r="BH851" s="70"/>
      <c r="BI851" s="47" t="s">
        <v>660</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2125</v>
      </c>
      <c r="J852" s="90" t="s">
        <v>311</v>
      </c>
      <c r="K852" s="91"/>
      <c r="L852" s="91"/>
      <c r="M852" s="1542" t="s">
        <v>2492</v>
      </c>
      <c r="N852" s="1540"/>
      <c r="O852" s="1540"/>
      <c r="P852" s="1540"/>
      <c r="Q852" s="1540"/>
      <c r="R852" s="1540"/>
      <c r="S852" s="1540"/>
      <c r="T852" s="1540"/>
      <c r="U852" s="1540"/>
      <c r="V852" s="1541"/>
      <c r="W852" s="1714">
        <f>800+5500</f>
        <v>6300</v>
      </c>
      <c r="X852" s="1715"/>
      <c r="Y852" s="1715"/>
      <c r="Z852" s="1715"/>
      <c r="AA852" s="1715"/>
      <c r="AB852" s="1715"/>
      <c r="AC852" s="1716"/>
      <c r="AM852" s="72"/>
      <c r="AN852" s="72"/>
      <c r="AO852" s="72"/>
      <c r="AP852" s="72"/>
      <c r="AQ852" s="72"/>
      <c r="AR852" s="72"/>
      <c r="AS852" s="72"/>
      <c r="AT852" s="72"/>
      <c r="AU852" s="72"/>
      <c r="AV852" s="72"/>
      <c r="AW852" s="72"/>
      <c r="AX852" s="72"/>
      <c r="AY852" s="72"/>
      <c r="AZ852" s="72"/>
      <c r="BA852" s="72"/>
      <c r="BB852" s="47" t="s">
        <v>662</v>
      </c>
      <c r="BC852" s="865">
        <v>238133</v>
      </c>
      <c r="BD852" s="865">
        <v>274565</v>
      </c>
      <c r="BE852" s="865">
        <v>331200</v>
      </c>
      <c r="BF852" s="865">
        <v>423936</v>
      </c>
      <c r="BG852" s="865">
        <v>472291</v>
      </c>
      <c r="BH852" s="70"/>
      <c r="BI852" s="47" t="s">
        <v>662</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311</v>
      </c>
      <c r="K853" s="91"/>
      <c r="L853" s="91"/>
      <c r="M853" s="1745" t="s">
        <v>621</v>
      </c>
      <c r="N853" s="1746"/>
      <c r="O853" s="1746"/>
      <c r="P853" s="1746"/>
      <c r="Q853" s="1746"/>
      <c r="R853" s="1746"/>
      <c r="S853" s="1746"/>
      <c r="T853" s="1746"/>
      <c r="U853" s="1746"/>
      <c r="V853" s="1747"/>
      <c r="W853" s="1714"/>
      <c r="X853" s="1715"/>
      <c r="Y853" s="1715"/>
      <c r="Z853" s="1715"/>
      <c r="AA853" s="1715"/>
      <c r="AB853" s="1715"/>
      <c r="AC853" s="1716"/>
      <c r="AM853" s="72"/>
      <c r="AN853" s="72"/>
      <c r="AO853" s="72"/>
      <c r="AP853" s="72"/>
      <c r="AQ853" s="72"/>
      <c r="AR853" s="72"/>
      <c r="AS853" s="72"/>
      <c r="AT853" s="72"/>
      <c r="AU853" s="72"/>
      <c r="AV853" s="72"/>
      <c r="AW853" s="72"/>
      <c r="AX853" s="72"/>
      <c r="AY853" s="72"/>
      <c r="AZ853" s="72"/>
      <c r="BA853" s="72"/>
      <c r="BB853" s="47" t="s">
        <v>663</v>
      </c>
      <c r="BC853" s="866">
        <v>299104</v>
      </c>
      <c r="BD853" s="866">
        <v>344864</v>
      </c>
      <c r="BE853" s="866">
        <v>416000</v>
      </c>
      <c r="BF853" s="866">
        <v>532480</v>
      </c>
      <c r="BG853" s="866">
        <v>593216</v>
      </c>
      <c r="BH853" s="70"/>
      <c r="BI853" s="47" t="s">
        <v>663</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45" t="s">
        <v>621</v>
      </c>
      <c r="N854" s="1746"/>
      <c r="O854" s="1746"/>
      <c r="P854" s="1746"/>
      <c r="Q854" s="1746"/>
      <c r="R854" s="1746"/>
      <c r="S854" s="1746"/>
      <c r="T854" s="1746"/>
      <c r="U854" s="1746"/>
      <c r="V854" s="1747"/>
      <c r="W854" s="1714"/>
      <c r="X854" s="1715"/>
      <c r="Y854" s="1715"/>
      <c r="Z854" s="1715"/>
      <c r="AA854" s="1715"/>
      <c r="AB854" s="1715"/>
      <c r="AC854" s="171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5">
        <v>262291</v>
      </c>
      <c r="BD854" s="865">
        <v>302419</v>
      </c>
      <c r="BE854" s="865">
        <v>364800</v>
      </c>
      <c r="BF854" s="865">
        <v>466944</v>
      </c>
      <c r="BG854" s="865">
        <v>520205</v>
      </c>
      <c r="BH854" s="70"/>
      <c r="BI854" s="47" t="s">
        <v>664</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45" t="s">
        <v>621</v>
      </c>
      <c r="N855" s="1746"/>
      <c r="O855" s="1746"/>
      <c r="P855" s="1746"/>
      <c r="Q855" s="1746"/>
      <c r="R855" s="1746"/>
      <c r="S855" s="1746"/>
      <c r="T855" s="1746"/>
      <c r="U855" s="1746"/>
      <c r="V855" s="1747"/>
      <c r="W855" s="1714"/>
      <c r="X855" s="1715"/>
      <c r="Y855" s="1715"/>
      <c r="Z855" s="1715"/>
      <c r="AA855" s="1715"/>
      <c r="AB855" s="1715"/>
      <c r="AC855" s="171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6">
        <v>262291</v>
      </c>
      <c r="BD855" s="866">
        <v>302419</v>
      </c>
      <c r="BE855" s="866">
        <v>364800</v>
      </c>
      <c r="BF855" s="866">
        <v>466944</v>
      </c>
      <c r="BG855" s="866">
        <v>520205</v>
      </c>
      <c r="BH855" s="70"/>
      <c r="BI855" s="47" t="s">
        <v>665</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45" t="s">
        <v>621</v>
      </c>
      <c r="N856" s="1746"/>
      <c r="O856" s="1746"/>
      <c r="P856" s="1746"/>
      <c r="Q856" s="1746"/>
      <c r="R856" s="1746"/>
      <c r="S856" s="1746"/>
      <c r="T856" s="1746"/>
      <c r="U856" s="1746"/>
      <c r="V856" s="1747"/>
      <c r="W856" s="1714"/>
      <c r="X856" s="1715"/>
      <c r="Y856" s="1715"/>
      <c r="Z856" s="1715"/>
      <c r="AA856" s="1715"/>
      <c r="AB856" s="1715"/>
      <c r="AC856" s="17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5">
        <v>238133</v>
      </c>
      <c r="BD856" s="865">
        <v>274565</v>
      </c>
      <c r="BE856" s="865">
        <v>331200</v>
      </c>
      <c r="BF856" s="865">
        <v>423936</v>
      </c>
      <c r="BG856" s="865">
        <v>472291</v>
      </c>
      <c r="BH856" s="70"/>
      <c r="BI856" s="47" t="s">
        <v>667</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5">
        <f>SUM(W852:AC856)</f>
        <v>6300</v>
      </c>
      <c r="X857" s="1756"/>
      <c r="Y857" s="1756"/>
      <c r="Z857" s="1756"/>
      <c r="AA857" s="1756"/>
      <c r="AB857" s="1756"/>
      <c r="AC857" s="175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6">
        <v>262291</v>
      </c>
      <c r="BD857" s="866">
        <v>302419</v>
      </c>
      <c r="BE857" s="866">
        <v>364800</v>
      </c>
      <c r="BF857" s="866">
        <v>466944</v>
      </c>
      <c r="BG857" s="866">
        <v>520205</v>
      </c>
      <c r="BH857" s="70"/>
      <c r="BI857" s="47" t="s">
        <v>668</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5">
        <v>262291</v>
      </c>
      <c r="BD858" s="865">
        <v>302419</v>
      </c>
      <c r="BE858" s="865">
        <v>364800</v>
      </c>
      <c r="BF858" s="865">
        <v>466944</v>
      </c>
      <c r="BG858" s="865">
        <v>520205</v>
      </c>
      <c r="BH858" s="70"/>
      <c r="BI858" s="47" t="s">
        <v>669</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6">
        <v>303706</v>
      </c>
      <c r="BD859" s="866">
        <v>350170</v>
      </c>
      <c r="BE859" s="866">
        <v>422400</v>
      </c>
      <c r="BF859" s="866">
        <v>540672</v>
      </c>
      <c r="BG859" s="866">
        <v>602342</v>
      </c>
      <c r="BH859" s="70"/>
      <c r="BI859" s="47" t="s">
        <v>631</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5">
        <v>299104</v>
      </c>
      <c r="BD860" s="865">
        <v>344864</v>
      </c>
      <c r="BE860" s="865">
        <v>416000</v>
      </c>
      <c r="BF860" s="865">
        <v>532480</v>
      </c>
      <c r="BG860" s="865">
        <v>593216</v>
      </c>
      <c r="BH860" s="70"/>
      <c r="BI860" s="47" t="s">
        <v>633</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5">
        <f>W825+W833+W840+W841+W850+W857+W827</f>
        <v>278745</v>
      </c>
      <c r="AD861" s="1756"/>
      <c r="AE861" s="1756"/>
      <c r="AF861" s="1756"/>
      <c r="AG861" s="1756"/>
      <c r="AH861" s="1757"/>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6">
        <v>262291</v>
      </c>
      <c r="BD861" s="866">
        <v>302419</v>
      </c>
      <c r="BE861" s="866">
        <v>364800</v>
      </c>
      <c r="BF861" s="866">
        <v>466944</v>
      </c>
      <c r="BG861" s="866">
        <v>520205</v>
      </c>
      <c r="BH861" s="70"/>
      <c r="BI861" s="47" t="s">
        <v>634</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53">
        <f>O776+O756+G731</f>
        <v>50</v>
      </c>
      <c r="AD862" s="1854"/>
      <c r="AE862" s="1854"/>
      <c r="AF862" s="1854"/>
      <c r="AG862" s="1854"/>
      <c r="AH862" s="1855"/>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5">
        <v>279547</v>
      </c>
      <c r="BD862" s="865">
        <v>322315</v>
      </c>
      <c r="BE862" s="865">
        <v>388800</v>
      </c>
      <c r="BF862" s="865">
        <v>497664</v>
      </c>
      <c r="BG862" s="865">
        <v>554429</v>
      </c>
      <c r="BH862" s="70"/>
      <c r="BI862" s="47" t="s">
        <v>635</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3" t="s">
        <v>385</v>
      </c>
      <c r="F863" s="1824"/>
      <c r="G863" s="1824"/>
      <c r="H863" s="1824"/>
      <c r="I863" s="1824"/>
      <c r="J863" s="1824"/>
      <c r="K863" s="1824"/>
      <c r="L863" s="1824"/>
      <c r="M863" s="1824"/>
      <c r="N863" s="1824"/>
      <c r="O863" s="1824"/>
      <c r="P863" s="1824"/>
      <c r="Q863" s="1824"/>
      <c r="R863" s="1824"/>
      <c r="S863" s="1824"/>
      <c r="T863" s="1824"/>
      <c r="U863" s="1824"/>
      <c r="V863" s="1824"/>
      <c r="W863" s="1824"/>
      <c r="X863" s="1824"/>
      <c r="Y863" s="1824"/>
      <c r="Z863" s="1824"/>
      <c r="AA863" s="1824"/>
      <c r="AB863" s="1825"/>
      <c r="AC863" s="2176">
        <f>IF(ISERROR((ROUNDDOWN(AC861/AC862,0))),0,(ROUNDDOWN(AC861/AC862,0)))</f>
        <v>5574</v>
      </c>
      <c r="AD863" s="2177"/>
      <c r="AE863" s="2177"/>
      <c r="AF863" s="2177"/>
      <c r="AG863" s="2177"/>
      <c r="AH863" s="2177"/>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6">
        <v>278397</v>
      </c>
      <c r="BD863" s="866">
        <v>320989</v>
      </c>
      <c r="BE863" s="866">
        <v>387200</v>
      </c>
      <c r="BF863" s="866">
        <v>495616</v>
      </c>
      <c r="BG863" s="866">
        <v>552147</v>
      </c>
      <c r="BH863" s="70"/>
      <c r="BI863" s="47" t="s">
        <v>636</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705</v>
      </c>
      <c r="AC864" s="1707">
        <f>'Sources and Uses Budget'!C74</f>
        <v>151575</v>
      </c>
      <c r="AD864" s="2185"/>
      <c r="AE864" s="2185"/>
      <c r="AF864" s="2185"/>
      <c r="AG864" s="2185"/>
      <c r="AH864" s="2185"/>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5">
        <v>262291</v>
      </c>
      <c r="BD864" s="865">
        <v>302419</v>
      </c>
      <c r="BE864" s="865">
        <v>364800</v>
      </c>
      <c r="BF864" s="865">
        <v>466944</v>
      </c>
      <c r="BG864" s="865">
        <v>520205</v>
      </c>
      <c r="BH864" s="70"/>
      <c r="BI864" s="47" t="s">
        <v>638</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16"/>
      <c r="AD865" s="1721"/>
      <c r="AE865" s="1721"/>
      <c r="AF865" s="1721"/>
      <c r="AG865" s="1721"/>
      <c r="AH865" s="1721"/>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6">
        <v>228930</v>
      </c>
      <c r="BD865" s="866">
        <v>263954</v>
      </c>
      <c r="BE865" s="866">
        <v>318400</v>
      </c>
      <c r="BF865" s="866">
        <v>407552</v>
      </c>
      <c r="BG865" s="866">
        <v>454038</v>
      </c>
      <c r="BH865" s="70"/>
      <c r="BI865" s="47" t="s">
        <v>639</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14">
        <v>20000</v>
      </c>
      <c r="AD866" s="1715"/>
      <c r="AE866" s="1715"/>
      <c r="AF866" s="1715"/>
      <c r="AG866" s="1715"/>
      <c r="AH866" s="1716"/>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5">
        <v>278397</v>
      </c>
      <c r="BD866" s="865">
        <v>320989</v>
      </c>
      <c r="BE866" s="865">
        <v>387200</v>
      </c>
      <c r="BF866" s="865">
        <v>495616</v>
      </c>
      <c r="BG866" s="865">
        <v>552147</v>
      </c>
      <c r="BH866" s="70"/>
      <c r="BI866" s="47" t="s">
        <v>470</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14">
        <v>25000</v>
      </c>
      <c r="AD867" s="1715"/>
      <c r="AE867" s="1715"/>
      <c r="AF867" s="1715"/>
      <c r="AG867" s="1715"/>
      <c r="AH867" s="1716"/>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6">
        <v>262291</v>
      </c>
      <c r="BD867" s="866">
        <v>302419</v>
      </c>
      <c r="BE867" s="866">
        <v>364800</v>
      </c>
      <c r="BF867" s="866">
        <v>466944</v>
      </c>
      <c r="BG867" s="866">
        <v>520205</v>
      </c>
      <c r="BH867" s="70"/>
      <c r="BI867" s="47" t="s">
        <v>641</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0" t="s">
        <v>2215</v>
      </c>
      <c r="AC868" s="1714"/>
      <c r="AD868" s="1715"/>
      <c r="AE868" s="1715"/>
      <c r="AF868" s="1715"/>
      <c r="AG868" s="1715"/>
      <c r="AH868" s="1716"/>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5">
        <v>228930</v>
      </c>
      <c r="BD868" s="865">
        <v>263954</v>
      </c>
      <c r="BE868" s="865">
        <v>318400</v>
      </c>
      <c r="BF868" s="865">
        <v>407552</v>
      </c>
      <c r="BG868" s="865">
        <v>454038</v>
      </c>
      <c r="BH868" s="70"/>
      <c r="BI868" s="47" t="s">
        <v>642</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0" t="s">
        <v>773</v>
      </c>
      <c r="AC869" s="1714">
        <v>2000</v>
      </c>
      <c r="AD869" s="1715"/>
      <c r="AE869" s="1715"/>
      <c r="AF869" s="1715"/>
      <c r="AG869" s="1715"/>
      <c r="AH869" s="1716"/>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6">
        <v>260566</v>
      </c>
      <c r="BD869" s="866">
        <v>300430</v>
      </c>
      <c r="BE869" s="866">
        <v>362400</v>
      </c>
      <c r="BF869" s="866">
        <v>463872</v>
      </c>
      <c r="BG869" s="866">
        <v>516782</v>
      </c>
      <c r="BH869" s="70"/>
      <c r="BI869" s="47" t="s">
        <v>643</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0" t="s">
        <v>2214</v>
      </c>
      <c r="AC870" s="1754">
        <v>42000</v>
      </c>
      <c r="AD870" s="1721"/>
      <c r="AE870" s="1721"/>
      <c r="AF870" s="1721"/>
      <c r="AG870" s="1721"/>
      <c r="AH870" s="1721"/>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5">
        <v>511928</v>
      </c>
      <c r="BD870" s="865">
        <v>590248</v>
      </c>
      <c r="BE870" s="865">
        <v>712000</v>
      </c>
      <c r="BF870" s="865">
        <v>911360</v>
      </c>
      <c r="BG870" s="865">
        <v>1015312</v>
      </c>
      <c r="BH870" s="70"/>
      <c r="BI870" s="47" t="s">
        <v>824</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86" t="s">
        <v>1339</v>
      </c>
      <c r="F871" s="2087"/>
      <c r="G871" s="2087"/>
      <c r="H871" s="2087"/>
      <c r="I871" s="2087"/>
      <c r="J871" s="2087"/>
      <c r="K871" s="2087"/>
      <c r="L871" s="2087"/>
      <c r="M871" s="2087"/>
      <c r="N871" s="2087"/>
      <c r="O871" s="2087"/>
      <c r="P871" s="2087"/>
      <c r="Q871" s="2087"/>
      <c r="R871" s="2087"/>
      <c r="S871" s="2087"/>
      <c r="T871" s="2087"/>
      <c r="U871" s="2087"/>
      <c r="V871" s="2087"/>
      <c r="W871" s="2087"/>
      <c r="X871" s="2087"/>
      <c r="Y871" s="2087"/>
      <c r="Z871" s="2087"/>
      <c r="AA871" s="2087"/>
      <c r="AB871" s="2088"/>
      <c r="AC871" s="1721"/>
      <c r="AD871" s="1721"/>
      <c r="AE871" s="1721"/>
      <c r="AF871" s="1721"/>
      <c r="AG871" s="1721"/>
      <c r="AH871" s="1721"/>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6">
        <v>238133</v>
      </c>
      <c r="BD871" s="866">
        <v>274565</v>
      </c>
      <c r="BE871" s="866">
        <v>331200</v>
      </c>
      <c r="BF871" s="866">
        <v>423936</v>
      </c>
      <c r="BG871" s="866">
        <v>472291</v>
      </c>
      <c r="BH871" s="70"/>
      <c r="BI871" s="47" t="s">
        <v>825</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6" t="s">
        <v>1339</v>
      </c>
      <c r="F872" s="2087"/>
      <c r="G872" s="2087"/>
      <c r="H872" s="2087"/>
      <c r="I872" s="2087"/>
      <c r="J872" s="2087"/>
      <c r="K872" s="2087"/>
      <c r="L872" s="2087"/>
      <c r="M872" s="2087"/>
      <c r="N872" s="2087"/>
      <c r="O872" s="2087"/>
      <c r="P872" s="2087"/>
      <c r="Q872" s="2087"/>
      <c r="R872" s="2087"/>
      <c r="S872" s="2087"/>
      <c r="T872" s="2087"/>
      <c r="U872" s="2087"/>
      <c r="V872" s="2087"/>
      <c r="W872" s="2087"/>
      <c r="X872" s="2087"/>
      <c r="Y872" s="2087"/>
      <c r="Z872" s="2087"/>
      <c r="AA872" s="2087"/>
      <c r="AB872" s="2088"/>
      <c r="AC872" s="1721"/>
      <c r="AD872" s="1721"/>
      <c r="AE872" s="1721"/>
      <c r="AF872" s="1721"/>
      <c r="AG872" s="1721"/>
      <c r="AH872" s="1721"/>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5">
        <v>303706</v>
      </c>
      <c r="BD872" s="865">
        <v>350170</v>
      </c>
      <c r="BE872" s="865">
        <v>422400</v>
      </c>
      <c r="BF872" s="865">
        <v>540672</v>
      </c>
      <c r="BG872" s="865">
        <v>602342</v>
      </c>
      <c r="BH872" s="70"/>
      <c r="BI872" s="47" t="s">
        <v>826</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4"/>
      <c r="AD873" s="2184"/>
      <c r="AE873" s="2184"/>
      <c r="AF873" s="2184"/>
      <c r="AG873" s="2184"/>
      <c r="AH873" s="2184"/>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4">
        <v>440028</v>
      </c>
      <c r="BD873" s="864">
        <v>507348</v>
      </c>
      <c r="BE873" s="866">
        <v>612000</v>
      </c>
      <c r="BF873" s="864">
        <v>783360</v>
      </c>
      <c r="BG873" s="864">
        <v>872712</v>
      </c>
      <c r="BH873" s="70"/>
      <c r="BI873" s="47" t="s">
        <v>827</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89"/>
      <c r="AO874" s="2189"/>
      <c r="AP874" s="1813"/>
      <c r="AQ874" s="1813"/>
      <c r="AR874" s="1813"/>
      <c r="AS874" s="1813"/>
      <c r="AZ874" s="70"/>
      <c r="BA874" s="70"/>
      <c r="BB874" s="47" t="s">
        <v>828</v>
      </c>
      <c r="BC874" s="865">
        <v>303706</v>
      </c>
      <c r="BD874" s="865">
        <v>350170</v>
      </c>
      <c r="BE874" s="865">
        <v>422400</v>
      </c>
      <c r="BF874" s="865">
        <v>540672</v>
      </c>
      <c r="BG874" s="865">
        <v>602342</v>
      </c>
      <c r="BH874" s="70"/>
      <c r="BI874" s="47" t="s">
        <v>828</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13"/>
      <c r="AQ875" s="1813"/>
      <c r="AR875" s="1813"/>
      <c r="AS875" s="1813"/>
      <c r="AV875" s="1813"/>
      <c r="AW875" s="1813"/>
      <c r="AX875" s="1813"/>
      <c r="AY875" s="1813"/>
      <c r="AZ875" s="70"/>
      <c r="BA875" s="70"/>
      <c r="BB875" s="47" t="s">
        <v>829</v>
      </c>
      <c r="BC875" s="864">
        <v>440028</v>
      </c>
      <c r="BD875" s="864">
        <v>507348</v>
      </c>
      <c r="BE875" s="864">
        <v>612000</v>
      </c>
      <c r="BF875" s="864">
        <v>783360</v>
      </c>
      <c r="BG875" s="864">
        <v>872712</v>
      </c>
      <c r="BH875" s="70"/>
      <c r="BI875" s="47" t="s">
        <v>829</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14">
        <v>3544</v>
      </c>
      <c r="AA876" s="1715"/>
      <c r="AB876" s="1715"/>
      <c r="AC876" s="1715"/>
      <c r="AD876" s="1715"/>
      <c r="AE876" s="171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5">
        <v>303706</v>
      </c>
      <c r="BD876" s="865">
        <v>350170</v>
      </c>
      <c r="BE876" s="865">
        <v>422400</v>
      </c>
      <c r="BF876" s="865">
        <v>540672</v>
      </c>
      <c r="BG876" s="865">
        <v>602342</v>
      </c>
      <c r="BH876" s="70"/>
      <c r="BI876" s="47" t="s">
        <v>723</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14">
        <v>3000</v>
      </c>
      <c r="AA877" s="1715"/>
      <c r="AB877" s="1715"/>
      <c r="AC877" s="1715"/>
      <c r="AD877" s="1715"/>
      <c r="AE877" s="171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6">
        <v>230655</v>
      </c>
      <c r="BD877" s="866">
        <v>265943</v>
      </c>
      <c r="BE877" s="866">
        <v>320800</v>
      </c>
      <c r="BF877" s="866">
        <v>410624</v>
      </c>
      <c r="BG877" s="866">
        <v>457461</v>
      </c>
      <c r="BH877" s="70"/>
      <c r="BI877" s="47" t="s">
        <v>724</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14">
        <v>0</v>
      </c>
      <c r="AA878" s="1715"/>
      <c r="AB878" s="1715"/>
      <c r="AC878" s="1715"/>
      <c r="AD878" s="1715"/>
      <c r="AE878" s="171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5">
        <v>262291</v>
      </c>
      <c r="BD878" s="865">
        <v>302419</v>
      </c>
      <c r="BE878" s="865">
        <v>364800</v>
      </c>
      <c r="BF878" s="865">
        <v>466944</v>
      </c>
      <c r="BG878" s="865">
        <v>520205</v>
      </c>
      <c r="BH878" s="70"/>
      <c r="BI878" s="47" t="s">
        <v>725</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55">
        <f>Z876-(Z877+Z878)</f>
        <v>544</v>
      </c>
      <c r="AA879" s="1756"/>
      <c r="AB879" s="1756"/>
      <c r="AC879" s="1756"/>
      <c r="AD879" s="1756"/>
      <c r="AE879" s="175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6">
        <v>262291</v>
      </c>
      <c r="BD879" s="866">
        <v>302419</v>
      </c>
      <c r="BE879" s="866">
        <v>364800</v>
      </c>
      <c r="BF879" s="866">
        <v>466944</v>
      </c>
      <c r="BG879" s="866">
        <v>520205</v>
      </c>
      <c r="BH879" s="70"/>
      <c r="BI879" s="47" t="s">
        <v>726</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5">
        <v>299104</v>
      </c>
      <c r="BD880" s="865">
        <v>344864</v>
      </c>
      <c r="BE880" s="865">
        <v>416000</v>
      </c>
      <c r="BF880" s="865">
        <v>532480</v>
      </c>
      <c r="BG880" s="865">
        <v>593216</v>
      </c>
      <c r="BH880" s="70"/>
      <c r="BI880" s="47" t="s">
        <v>727</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6">
        <v>299104</v>
      </c>
      <c r="BD881" s="866">
        <v>344864</v>
      </c>
      <c r="BE881" s="866">
        <v>416000</v>
      </c>
      <c r="BF881" s="866">
        <v>532480</v>
      </c>
      <c r="BG881" s="866">
        <v>593216</v>
      </c>
      <c r="BH881" s="70"/>
      <c r="BI881" s="47" t="s">
        <v>1000</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89"/>
      <c r="AU882" s="1789"/>
      <c r="AV882" s="1789"/>
      <c r="AW882" s="1789"/>
      <c r="AX882" s="1789"/>
      <c r="AY882" s="1789"/>
      <c r="AZ882" s="70"/>
      <c r="BA882" s="70"/>
      <c r="BB882" s="47" t="s">
        <v>1001</v>
      </c>
      <c r="BC882" s="865">
        <v>238133</v>
      </c>
      <c r="BD882" s="865">
        <v>274565</v>
      </c>
      <c r="BE882" s="865">
        <v>331200</v>
      </c>
      <c r="BF882" s="865">
        <v>423936</v>
      </c>
      <c r="BG882" s="865">
        <v>472291</v>
      </c>
      <c r="BH882" s="70"/>
      <c r="BI882" s="47" t="s">
        <v>1001</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751" t="s">
        <v>140</v>
      </c>
      <c r="B886" s="1751"/>
      <c r="C886" s="1751"/>
      <c r="D886" s="1751"/>
      <c r="E886" s="1751"/>
      <c r="F886" s="1751"/>
      <c r="G886" s="1751"/>
      <c r="H886" s="1751"/>
      <c r="I886" s="1751"/>
      <c r="J886" s="1751"/>
      <c r="K886" s="1751"/>
      <c r="L886" s="1751"/>
      <c r="M886" s="1751"/>
      <c r="N886" s="1751"/>
      <c r="O886" s="1751"/>
      <c r="P886" s="1751"/>
      <c r="Q886" s="1751"/>
      <c r="R886" s="1751"/>
      <c r="S886" s="1751"/>
      <c r="T886" s="1751"/>
      <c r="U886" s="1751"/>
      <c r="V886" s="1751"/>
      <c r="W886" s="1751"/>
      <c r="X886" s="1751"/>
      <c r="Y886" s="1751"/>
      <c r="Z886" s="1751"/>
      <c r="AA886" s="1751"/>
      <c r="AB886" s="1751"/>
      <c r="AC886" s="1751"/>
      <c r="AD886" s="1751"/>
      <c r="AE886" s="1751"/>
      <c r="AF886" s="1751"/>
      <c r="AG886" s="1751"/>
      <c r="AH886" s="1751"/>
      <c r="AI886" s="1751"/>
      <c r="AJ886" s="1751"/>
      <c r="AK886" s="1751"/>
      <c r="AL886" s="1751"/>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51"/>
      <c r="B887" s="1751"/>
      <c r="C887" s="1751"/>
      <c r="D887" s="1751"/>
      <c r="E887" s="1751"/>
      <c r="F887" s="1751"/>
      <c r="G887" s="1751"/>
      <c r="H887" s="1751"/>
      <c r="I887" s="1751"/>
      <c r="J887" s="1751"/>
      <c r="K887" s="1751"/>
      <c r="L887" s="1751"/>
      <c r="M887" s="1751"/>
      <c r="N887" s="1751"/>
      <c r="O887" s="1751"/>
      <c r="P887" s="1751"/>
      <c r="Q887" s="1751"/>
      <c r="R887" s="1751"/>
      <c r="S887" s="1751"/>
      <c r="T887" s="1751"/>
      <c r="U887" s="1751"/>
      <c r="V887" s="1751"/>
      <c r="W887" s="1751"/>
      <c r="X887" s="1751"/>
      <c r="Y887" s="1751"/>
      <c r="Z887" s="1751"/>
      <c r="AA887" s="1751"/>
      <c r="AB887" s="1751"/>
      <c r="AC887" s="1751"/>
      <c r="AD887" s="1751"/>
      <c r="AE887" s="1751"/>
      <c r="AF887" s="1751"/>
      <c r="AG887" s="1751"/>
      <c r="AH887" s="1751"/>
      <c r="AI887" s="1751"/>
      <c r="AJ887" s="1751"/>
      <c r="AK887" s="1751"/>
      <c r="AL887" s="1751"/>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5">
        <v>278397</v>
      </c>
      <c r="BD890" s="865">
        <v>320989</v>
      </c>
      <c r="BE890" s="865">
        <v>387200</v>
      </c>
      <c r="BF890" s="865">
        <v>495616</v>
      </c>
      <c r="BG890" s="865">
        <v>552147</v>
      </c>
      <c r="BH890" s="70"/>
      <c r="BI890" s="47" t="s">
        <v>492</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859" t="s">
        <v>1064</v>
      </c>
      <c r="G891" s="1860"/>
      <c r="H891" s="1860"/>
      <c r="I891" s="1860"/>
      <c r="J891" s="1860"/>
      <c r="K891" s="1860"/>
      <c r="L891" s="1860"/>
      <c r="M891" s="1860"/>
      <c r="N891" s="1860"/>
      <c r="O891" s="1860"/>
      <c r="P891" s="1860"/>
      <c r="Q891" s="1860"/>
      <c r="R891" s="1860"/>
      <c r="S891" s="1860"/>
      <c r="T891" s="1861"/>
      <c r="U891" s="1817" t="s">
        <v>384</v>
      </c>
      <c r="V891" s="1818"/>
      <c r="W891" s="1818"/>
      <c r="X891" s="1818"/>
      <c r="Y891" s="1818"/>
      <c r="Z891" s="181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9" t="s">
        <v>1154</v>
      </c>
      <c r="G892" s="1820"/>
      <c r="H892" s="1820"/>
      <c r="I892" s="1820"/>
      <c r="J892" s="1820"/>
      <c r="K892" s="1820"/>
      <c r="L892" s="1820"/>
      <c r="M892" s="1820"/>
      <c r="N892" s="1820"/>
      <c r="O892" s="1820"/>
      <c r="P892" s="1820"/>
      <c r="Q892" s="1820"/>
      <c r="R892" s="1820"/>
      <c r="S892" s="1820"/>
      <c r="T892" s="1851"/>
      <c r="U892" s="1819"/>
      <c r="V892" s="1820"/>
      <c r="W892" s="1820"/>
      <c r="X892" s="1820"/>
      <c r="Y892" s="1820"/>
      <c r="Z892" s="182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1"/>
      <c r="G893" s="1822"/>
      <c r="H893" s="1822"/>
      <c r="I893" s="1822"/>
      <c r="J893" s="1822"/>
      <c r="K893" s="1822"/>
      <c r="L893" s="1822"/>
      <c r="M893" s="1822"/>
      <c r="N893" s="1822"/>
      <c r="O893" s="1822"/>
      <c r="P893" s="1822"/>
      <c r="Q893" s="1822"/>
      <c r="R893" s="1822"/>
      <c r="S893" s="1822"/>
      <c r="T893" s="1852"/>
      <c r="U893" s="1821"/>
      <c r="V893" s="1822"/>
      <c r="W893" s="1822"/>
      <c r="X893" s="1822"/>
      <c r="Y893" s="1822"/>
      <c r="Z893" s="1822"/>
      <c r="AA893" s="310"/>
      <c r="AB893" s="1856" t="s">
        <v>61</v>
      </c>
      <c r="AC893" s="1856"/>
      <c r="AD893" s="1856"/>
      <c r="AE893" s="185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2" t="s">
        <v>119</v>
      </c>
      <c r="V894" s="1723"/>
      <c r="W894" s="1723"/>
      <c r="X894" s="1723"/>
      <c r="Y894" s="1723"/>
      <c r="Z894" s="1724"/>
      <c r="AA894" s="1705">
        <v>660011</v>
      </c>
      <c r="AB894" s="1706"/>
      <c r="AC894" s="1706"/>
      <c r="AD894" s="1706"/>
      <c r="AE894" s="1706"/>
      <c r="AF894" s="170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2" t="s">
        <v>119</v>
      </c>
      <c r="V895" s="1723"/>
      <c r="W895" s="1723"/>
      <c r="X895" s="1723"/>
      <c r="Y895" s="1723"/>
      <c r="Z895" s="1724"/>
      <c r="AA895" s="1705">
        <f>AO636+AO638</f>
        <v>5335055</v>
      </c>
      <c r="AB895" s="1706"/>
      <c r="AC895" s="1706"/>
      <c r="AD895" s="1706"/>
      <c r="AE895" s="1706"/>
      <c r="AF895" s="170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2" t="s">
        <v>136</v>
      </c>
      <c r="V896" s="1723"/>
      <c r="W896" s="1723"/>
      <c r="X896" s="1723"/>
      <c r="Y896" s="1723"/>
      <c r="Z896" s="1724"/>
      <c r="AA896" s="1705"/>
      <c r="AB896" s="1706"/>
      <c r="AC896" s="1706"/>
      <c r="AD896" s="1706"/>
      <c r="AE896" s="1706"/>
      <c r="AF896" s="170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2" t="s">
        <v>136</v>
      </c>
      <c r="V897" s="1723"/>
      <c r="W897" s="1723"/>
      <c r="X897" s="1723"/>
      <c r="Y897" s="1723"/>
      <c r="Z897" s="1724"/>
      <c r="AA897" s="1705"/>
      <c r="AB897" s="1706"/>
      <c r="AC897" s="1706"/>
      <c r="AD897" s="1706"/>
      <c r="AE897" s="1706"/>
      <c r="AF897" s="170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2" t="s">
        <v>136</v>
      </c>
      <c r="V898" s="1723"/>
      <c r="W898" s="1723"/>
      <c r="X898" s="1723"/>
      <c r="Y898" s="1723"/>
      <c r="Z898" s="1724"/>
      <c r="AA898" s="1705"/>
      <c r="AB898" s="1706"/>
      <c r="AC898" s="1706"/>
      <c r="AD898" s="1706"/>
      <c r="AE898" s="1706"/>
      <c r="AF898" s="170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2" t="s">
        <v>136</v>
      </c>
      <c r="V899" s="1723"/>
      <c r="W899" s="1723"/>
      <c r="X899" s="1723"/>
      <c r="Y899" s="1723"/>
      <c r="Z899" s="1724"/>
      <c r="AA899" s="1705"/>
      <c r="AB899" s="1706"/>
      <c r="AC899" s="1706"/>
      <c r="AD899" s="1706"/>
      <c r="AE899" s="1706"/>
      <c r="AF899" s="170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2" t="s">
        <v>136</v>
      </c>
      <c r="V900" s="1723"/>
      <c r="W900" s="1723"/>
      <c r="X900" s="1723"/>
      <c r="Y900" s="1723"/>
      <c r="Z900" s="1724"/>
      <c r="AA900" s="1705"/>
      <c r="AB900" s="1706"/>
      <c r="AC900" s="1706"/>
      <c r="AD900" s="1706"/>
      <c r="AE900" s="1706"/>
      <c r="AF900" s="170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2" t="s">
        <v>136</v>
      </c>
      <c r="V901" s="1723"/>
      <c r="W901" s="1723"/>
      <c r="X901" s="1723"/>
      <c r="Y901" s="1723"/>
      <c r="Z901" s="1724"/>
      <c r="AA901" s="1705"/>
      <c r="AB901" s="1706"/>
      <c r="AC901" s="1706"/>
      <c r="AD901" s="1706"/>
      <c r="AE901" s="1706"/>
      <c r="AF901" s="170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22" t="s">
        <v>136</v>
      </c>
      <c r="V902" s="1723"/>
      <c r="W902" s="1723"/>
      <c r="X902" s="1723"/>
      <c r="Y902" s="1723"/>
      <c r="Z902" s="1724"/>
      <c r="AA902" s="1705"/>
      <c r="AB902" s="1706"/>
      <c r="AC902" s="1706"/>
      <c r="AD902" s="1706"/>
      <c r="AE902" s="1706"/>
      <c r="AF902" s="170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2" t="s">
        <v>136</v>
      </c>
      <c r="V903" s="1723"/>
      <c r="W903" s="1723"/>
      <c r="X903" s="1723"/>
      <c r="Y903" s="1723"/>
      <c r="Z903" s="1724"/>
      <c r="AA903" s="1705"/>
      <c r="AB903" s="1706"/>
      <c r="AC903" s="1706"/>
      <c r="AD903" s="1706"/>
      <c r="AE903" s="1706"/>
      <c r="AF903" s="170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79" t="s">
        <v>136</v>
      </c>
      <c r="V904" s="1980"/>
      <c r="W904" s="1980"/>
      <c r="X904" s="1980"/>
      <c r="Y904" s="1980"/>
      <c r="Z904" s="2190"/>
      <c r="AA904" s="2191"/>
      <c r="AB904" s="2192"/>
      <c r="AC904" s="2192"/>
      <c r="AD904" s="2192"/>
      <c r="AE904" s="2192"/>
      <c r="AF904" s="219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22" t="s">
        <v>136</v>
      </c>
      <c r="V905" s="1723"/>
      <c r="W905" s="1723"/>
      <c r="X905" s="1723"/>
      <c r="Y905" s="1723"/>
      <c r="Z905" s="1724"/>
      <c r="AA905" s="1705"/>
      <c r="AB905" s="1706"/>
      <c r="AC905" s="1706"/>
      <c r="AD905" s="1706"/>
      <c r="AE905" s="1706"/>
      <c r="AF905" s="170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22" t="s">
        <v>136</v>
      </c>
      <c r="V906" s="1723"/>
      <c r="W906" s="1723"/>
      <c r="X906" s="1723"/>
      <c r="Y906" s="1723"/>
      <c r="Z906" s="1724"/>
      <c r="AA906" s="1705"/>
      <c r="AB906" s="1706"/>
      <c r="AC906" s="1706"/>
      <c r="AD906" s="1706"/>
      <c r="AE906" s="1706"/>
      <c r="AF906" s="170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2" t="s">
        <v>136</v>
      </c>
      <c r="V907" s="1723"/>
      <c r="W907" s="1723"/>
      <c r="X907" s="1723"/>
      <c r="Y907" s="1723"/>
      <c r="Z907" s="1724"/>
      <c r="AA907" s="1705"/>
      <c r="AB907" s="1706"/>
      <c r="AC907" s="1706"/>
      <c r="AD907" s="1706"/>
      <c r="AE907" s="1706"/>
      <c r="AF907" s="170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36" t="s">
        <v>531</v>
      </c>
      <c r="Q908" s="1723"/>
      <c r="R908" s="1723"/>
      <c r="S908" s="1723"/>
      <c r="T908" s="1724"/>
      <c r="U908" s="1722" t="s">
        <v>136</v>
      </c>
      <c r="V908" s="1723"/>
      <c r="W908" s="1723"/>
      <c r="X908" s="1723"/>
      <c r="Y908" s="1723"/>
      <c r="Z908" s="1724"/>
      <c r="AA908" s="1705"/>
      <c r="AB908" s="1706"/>
      <c r="AC908" s="1706"/>
      <c r="AD908" s="1706"/>
      <c r="AE908" s="1706"/>
      <c r="AF908" s="170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800" t="s">
        <v>2493</v>
      </c>
      <c r="J909" s="1801"/>
      <c r="K909" s="1801"/>
      <c r="L909" s="1801"/>
      <c r="M909" s="1801"/>
      <c r="N909" s="1801"/>
      <c r="O909" s="1801"/>
      <c r="P909" s="1801"/>
      <c r="Q909" s="1801"/>
      <c r="R909" s="1801"/>
      <c r="S909" s="1801"/>
      <c r="T909" s="1802"/>
      <c r="U909" s="1722" t="s">
        <v>119</v>
      </c>
      <c r="V909" s="1723"/>
      <c r="W909" s="1723"/>
      <c r="X909" s="1723"/>
      <c r="Y909" s="1723"/>
      <c r="Z909" s="1724"/>
      <c r="AA909" s="1705">
        <v>2492956</v>
      </c>
      <c r="AB909" s="1706"/>
      <c r="AC909" s="1706"/>
      <c r="AD909" s="1706"/>
      <c r="AE909" s="1706"/>
      <c r="AF909" s="170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800" t="s">
        <v>2482</v>
      </c>
      <c r="J910" s="1801"/>
      <c r="K910" s="1801"/>
      <c r="L910" s="1801"/>
      <c r="M910" s="1801"/>
      <c r="N910" s="1801"/>
      <c r="O910" s="1801"/>
      <c r="P910" s="1801"/>
      <c r="Q910" s="1801"/>
      <c r="R910" s="1801"/>
      <c r="S910" s="1801"/>
      <c r="T910" s="1802"/>
      <c r="U910" s="1722" t="s">
        <v>119</v>
      </c>
      <c r="V910" s="1723"/>
      <c r="W910" s="1723"/>
      <c r="X910" s="1723"/>
      <c r="Y910" s="1723"/>
      <c r="Z910" s="1724"/>
      <c r="AA910" s="1705">
        <v>1614460</v>
      </c>
      <c r="AB910" s="1706"/>
      <c r="AC910" s="1706"/>
      <c r="AD910" s="1706"/>
      <c r="AE910" s="1706"/>
      <c r="AF910" s="170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800" t="s">
        <v>2456</v>
      </c>
      <c r="J911" s="1801"/>
      <c r="K911" s="1801"/>
      <c r="L911" s="1801"/>
      <c r="M911" s="1801"/>
      <c r="N911" s="1801"/>
      <c r="O911" s="1801"/>
      <c r="P911" s="1801"/>
      <c r="Q911" s="1801"/>
      <c r="R911" s="1801"/>
      <c r="S911" s="1801"/>
      <c r="T911" s="1802"/>
      <c r="U911" s="1722" t="s">
        <v>119</v>
      </c>
      <c r="V911" s="1723"/>
      <c r="W911" s="1723"/>
      <c r="X911" s="1723"/>
      <c r="Y911" s="1723"/>
      <c r="Z911" s="1724"/>
      <c r="AA911" s="1705">
        <f>AO634</f>
        <v>2000000</v>
      </c>
      <c r="AB911" s="1706"/>
      <c r="AC911" s="1706"/>
      <c r="AD911" s="1706"/>
      <c r="AE911" s="1706"/>
      <c r="AF911" s="170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73" t="s">
        <v>621</v>
      </c>
      <c r="J912" s="1801"/>
      <c r="K912" s="1801"/>
      <c r="L912" s="1801"/>
      <c r="M912" s="1801"/>
      <c r="N912" s="1801"/>
      <c r="O912" s="1801"/>
      <c r="P912" s="1801"/>
      <c r="Q912" s="1801"/>
      <c r="R912" s="1801"/>
      <c r="S912" s="1801"/>
      <c r="T912" s="1802"/>
      <c r="U912" s="1722" t="s">
        <v>136</v>
      </c>
      <c r="V912" s="1723"/>
      <c r="W912" s="1723"/>
      <c r="X912" s="1723"/>
      <c r="Y912" s="1723"/>
      <c r="Z912" s="1724"/>
      <c r="AA912" s="1705"/>
      <c r="AB912" s="1706"/>
      <c r="AC912" s="1706"/>
      <c r="AD912" s="1706"/>
      <c r="AE912" s="1706"/>
      <c r="AF912" s="170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809">
        <v>43952</v>
      </c>
      <c r="M917" s="1906"/>
      <c r="N917" s="1906"/>
      <c r="O917" s="1906"/>
      <c r="P917" s="1906"/>
      <c r="Q917" s="1906"/>
      <c r="R917" s="1906"/>
      <c r="S917" s="1948"/>
      <c r="U917" s="117" t="s">
        <v>908</v>
      </c>
      <c r="V917" s="91"/>
      <c r="W917" s="91"/>
      <c r="X917" s="91"/>
      <c r="Y917" s="91"/>
      <c r="Z917" s="91"/>
      <c r="AA917" s="91"/>
      <c r="AB917" s="91"/>
      <c r="AC917" s="91"/>
      <c r="AD917" s="92"/>
      <c r="AE917" s="1809">
        <v>44011</v>
      </c>
      <c r="AF917" s="1810"/>
      <c r="AG917" s="1810"/>
      <c r="AH917" s="1810"/>
      <c r="AI917" s="1810"/>
      <c r="AJ917" s="1810"/>
      <c r="AK917" s="181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47" t="s">
        <v>2494</v>
      </c>
      <c r="M918" s="1906"/>
      <c r="N918" s="1906"/>
      <c r="O918" s="1906"/>
      <c r="P918" s="1906"/>
      <c r="Q918" s="1906"/>
      <c r="R918" s="1906"/>
      <c r="S918" s="1948"/>
      <c r="U918" s="117" t="s">
        <v>909</v>
      </c>
      <c r="V918" s="91"/>
      <c r="W918" s="91"/>
      <c r="X918" s="91"/>
      <c r="Y918" s="91"/>
      <c r="Z918" s="91"/>
      <c r="AA918" s="91"/>
      <c r="AB918" s="91"/>
      <c r="AC918" s="91"/>
      <c r="AD918" s="92"/>
      <c r="AE918" s="1708" t="s">
        <v>2497</v>
      </c>
      <c r="AF918" s="1709"/>
      <c r="AG918" s="1709"/>
      <c r="AH918" s="1709"/>
      <c r="AI918" s="1709"/>
      <c r="AJ918" s="1709"/>
      <c r="AK918" s="171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44" t="s">
        <v>2495</v>
      </c>
      <c r="M919" s="1945"/>
      <c r="N919" s="1945"/>
      <c r="O919" s="1945"/>
      <c r="P919" s="1945"/>
      <c r="Q919" s="1945"/>
      <c r="R919" s="1945"/>
      <c r="S919" s="1946"/>
      <c r="U919" s="117" t="s">
        <v>1226</v>
      </c>
      <c r="V919" s="91"/>
      <c r="W919" s="91"/>
      <c r="AE919" s="1781" t="s">
        <v>2498</v>
      </c>
      <c r="AF919" s="1782"/>
      <c r="AG919" s="1782"/>
      <c r="AH919" s="1782"/>
      <c r="AI919" s="1782"/>
      <c r="AJ919" s="1782"/>
      <c r="AK919" s="1783"/>
      <c r="AL919" s="119"/>
      <c r="AM919" s="75"/>
      <c r="AN919" s="75"/>
      <c r="AO919" s="75"/>
      <c r="AP919" s="75"/>
      <c r="AQ919" s="75"/>
      <c r="AR919" s="75"/>
      <c r="AS919" s="75"/>
      <c r="AT919" s="75"/>
      <c r="AU919" s="75"/>
      <c r="AV919" s="75"/>
      <c r="AW919" s="66" t="s">
        <v>648</v>
      </c>
      <c r="AX919" s="319">
        <v>20</v>
      </c>
      <c r="AY919" s="1812">
        <f>IF(AD955&gt;0,0.2,0)</f>
        <v>0</v>
      </c>
      <c r="AZ919" s="181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806">
        <v>0.55100000000000005</v>
      </c>
      <c r="M920" s="1807"/>
      <c r="N920" s="1807"/>
      <c r="O920" s="1807"/>
      <c r="P920" s="1807"/>
      <c r="Q920" s="1807"/>
      <c r="R920" s="1807"/>
      <c r="S920" s="1808"/>
      <c r="U920" s="117" t="s">
        <v>910</v>
      </c>
      <c r="V920" s="91"/>
      <c r="W920" s="91"/>
      <c r="X920" s="91"/>
      <c r="Y920" s="91"/>
      <c r="Z920" s="91"/>
      <c r="AA920" s="91"/>
      <c r="AB920" s="91"/>
      <c r="AC920" s="91"/>
      <c r="AD920" s="92"/>
      <c r="AE920" s="1806">
        <v>0.44900000000000001</v>
      </c>
      <c r="AF920" s="1807"/>
      <c r="AG920" s="1807"/>
      <c r="AH920" s="1807"/>
      <c r="AI920" s="1807"/>
      <c r="AJ920" s="1807"/>
      <c r="AK920" s="1808"/>
      <c r="AL920" s="119"/>
      <c r="AM920" s="75"/>
      <c r="AN920" s="75"/>
      <c r="AO920" s="75"/>
      <c r="AP920" s="75"/>
      <c r="AQ920" s="75"/>
      <c r="AR920" s="75"/>
      <c r="AS920" s="75"/>
      <c r="AT920" s="75"/>
      <c r="AU920" s="75"/>
      <c r="AV920" s="75"/>
      <c r="AX920" s="16">
        <v>5</v>
      </c>
      <c r="AY920" s="1812">
        <f>IF(AD958&gt;0,0.05,0)</f>
        <v>0</v>
      </c>
      <c r="AZ920" s="181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86">
        <v>27</v>
      </c>
      <c r="M921" s="2187"/>
      <c r="N921" s="2187"/>
      <c r="O921" s="2187"/>
      <c r="P921" s="2187"/>
      <c r="Q921" s="2187"/>
      <c r="R921" s="2187"/>
      <c r="S921" s="2188"/>
      <c r="U921" s="117" t="s">
        <v>911</v>
      </c>
      <c r="V921" s="91"/>
      <c r="W921" s="91"/>
      <c r="X921" s="91"/>
      <c r="Y921" s="91"/>
      <c r="Z921" s="91"/>
      <c r="AA921" s="91"/>
      <c r="AB921" s="91"/>
      <c r="AC921" s="91"/>
      <c r="AD921" s="92"/>
      <c r="AE921" s="2096">
        <v>22</v>
      </c>
      <c r="AF921" s="2090"/>
      <c r="AG921" s="2090"/>
      <c r="AH921" s="2090"/>
      <c r="AI921" s="2090"/>
      <c r="AJ921" s="2090"/>
      <c r="AK921" s="2091"/>
      <c r="AL921" s="119"/>
      <c r="AM921" s="75"/>
      <c r="AN921" s="75"/>
      <c r="AO921" s="75"/>
      <c r="AP921" s="75"/>
      <c r="AQ921" s="75"/>
      <c r="AR921" s="75"/>
      <c r="AS921" s="75"/>
      <c r="AT921" s="75"/>
      <c r="AU921" s="75"/>
      <c r="AV921" s="75"/>
      <c r="AW921" s="66" t="s">
        <v>649</v>
      </c>
      <c r="AX921" s="319">
        <v>7</v>
      </c>
      <c r="AY921" s="1925">
        <f>IF(AD962&gt;0,0.07,0)</f>
        <v>0</v>
      </c>
      <c r="AZ921" s="192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14">
        <f>'Subsidy Contract Calculation'!I4*12</f>
        <v>3240</v>
      </c>
      <c r="M922" s="1715"/>
      <c r="N922" s="1715"/>
      <c r="O922" s="1715"/>
      <c r="P922" s="1715"/>
      <c r="Q922" s="1715"/>
      <c r="R922" s="1715"/>
      <c r="S922" s="1716"/>
      <c r="U922" s="117" t="s">
        <v>912</v>
      </c>
      <c r="V922" s="91"/>
      <c r="W922" s="91"/>
      <c r="X922" s="91"/>
      <c r="Y922" s="91"/>
      <c r="Z922" s="91"/>
      <c r="AA922" s="91"/>
      <c r="AB922" s="91"/>
      <c r="AC922" s="91"/>
      <c r="AD922" s="92"/>
      <c r="AE922" s="1705">
        <f>SUM('Subsidy Contract Calculation'!I9:I13)*12</f>
        <v>135660</v>
      </c>
      <c r="AF922" s="1706"/>
      <c r="AG922" s="1706"/>
      <c r="AH922" s="1706"/>
      <c r="AI922" s="1706"/>
      <c r="AJ922" s="1706"/>
      <c r="AK922" s="1707"/>
      <c r="AL922" s="119"/>
      <c r="AM922" s="75"/>
      <c r="AN922" s="75"/>
      <c r="AO922" s="75"/>
      <c r="AP922" s="75"/>
      <c r="AQ922" s="75"/>
      <c r="AR922" s="75"/>
      <c r="AS922" s="75"/>
      <c r="AT922" s="75"/>
      <c r="AU922" s="75"/>
      <c r="AV922" s="75"/>
      <c r="AW922" s="66" t="s">
        <v>164</v>
      </c>
      <c r="AX922" s="319">
        <v>2</v>
      </c>
      <c r="AY922" s="1932">
        <f>IF(AD966&gt;0,0.02,0)</f>
        <v>0</v>
      </c>
      <c r="AZ922" s="193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14">
        <f>L922*L924</f>
        <v>64800</v>
      </c>
      <c r="M923" s="1715"/>
      <c r="N923" s="1715"/>
      <c r="O923" s="1715"/>
      <c r="P923" s="1715"/>
      <c r="Q923" s="1715"/>
      <c r="R923" s="1715"/>
      <c r="S923" s="1716"/>
      <c r="U923" s="117" t="s">
        <v>913</v>
      </c>
      <c r="V923" s="91"/>
      <c r="W923" s="91"/>
      <c r="X923" s="91"/>
      <c r="Y923" s="91"/>
      <c r="Z923" s="91"/>
      <c r="AA923" s="91"/>
      <c r="AB923" s="91"/>
      <c r="AC923" s="91"/>
      <c r="AD923" s="92"/>
      <c r="AE923" s="1705">
        <f>AE922*AE924</f>
        <v>2713200</v>
      </c>
      <c r="AF923" s="1706"/>
      <c r="AG923" s="1706"/>
      <c r="AH923" s="1706"/>
      <c r="AI923" s="1706"/>
      <c r="AJ923" s="1706"/>
      <c r="AK923" s="1707"/>
      <c r="AL923" s="119"/>
      <c r="AM923" s="75"/>
      <c r="AN923" s="75"/>
      <c r="AO923" s="75"/>
      <c r="AP923" s="75"/>
      <c r="AQ923" s="75"/>
      <c r="AR923" s="75"/>
      <c r="AS923" s="75"/>
      <c r="AT923" s="75"/>
      <c r="AU923" s="75"/>
      <c r="AV923" s="75"/>
      <c r="AW923" s="66" t="s">
        <v>650</v>
      </c>
      <c r="AX923" s="319">
        <v>2</v>
      </c>
      <c r="AY923" s="1932">
        <f>IF(AD968&gt;0,0.02,0)</f>
        <v>0</v>
      </c>
      <c r="AZ923" s="193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960" t="s">
        <v>2496</v>
      </c>
      <c r="M924" s="1961"/>
      <c r="N924" s="1961"/>
      <c r="O924" s="1961"/>
      <c r="P924" s="1961"/>
      <c r="Q924" s="1961"/>
      <c r="R924" s="1961"/>
      <c r="S924" s="1962"/>
      <c r="U924" s="117" t="s">
        <v>858</v>
      </c>
      <c r="V924" s="91"/>
      <c r="W924" s="91"/>
      <c r="X924" s="91"/>
      <c r="Y924" s="91"/>
      <c r="Z924" s="91"/>
      <c r="AA924" s="91"/>
      <c r="AB924" s="91"/>
      <c r="AC924" s="91"/>
      <c r="AD924" s="92"/>
      <c r="AE924" s="1960" t="s">
        <v>2496</v>
      </c>
      <c r="AF924" s="1961"/>
      <c r="AG924" s="1961"/>
      <c r="AH924" s="1961"/>
      <c r="AI924" s="1961"/>
      <c r="AJ924" s="1961"/>
      <c r="AK924" s="1962"/>
      <c r="AL924" s="119"/>
      <c r="AM924" s="75"/>
      <c r="AN924" s="75"/>
      <c r="AO924" s="75"/>
      <c r="AP924" s="75"/>
      <c r="AQ924" s="75"/>
      <c r="AR924" s="75"/>
      <c r="AS924" s="75"/>
      <c r="AT924" s="75"/>
      <c r="AU924" s="75"/>
      <c r="AV924" s="75"/>
      <c r="AW924" s="66" t="s">
        <v>651</v>
      </c>
      <c r="AX924" s="319">
        <v>10</v>
      </c>
      <c r="AY924" s="1918">
        <f>AY932</f>
        <v>7.0000000000000007E-2</v>
      </c>
      <c r="AZ924" s="191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932"/>
      <c r="AZ925" s="193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920"/>
      <c r="AZ926" s="1921"/>
      <c r="BA926" s="1922"/>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932">
        <f>IF(AD985&gt;0,0.1,0)</f>
        <v>0</v>
      </c>
      <c r="AZ927" s="1933"/>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918">
        <f>SUM(AY919:AY927)</f>
        <v>7.0000000000000007E-2</v>
      </c>
      <c r="AZ928" s="1919"/>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52"/>
      <c r="N929" s="1753"/>
      <c r="O929" s="1753"/>
      <c r="P929" s="1753"/>
      <c r="Q929" s="1753"/>
      <c r="R929" s="1753"/>
      <c r="S929" s="1754"/>
      <c r="T929" s="117" t="s">
        <v>1053</v>
      </c>
      <c r="U929" s="91"/>
      <c r="V929" s="91"/>
      <c r="W929" s="91"/>
      <c r="X929" s="91"/>
      <c r="Y929" s="91"/>
      <c r="Z929" s="92"/>
      <c r="AA929" s="1752"/>
      <c r="AB929" s="1753"/>
      <c r="AC929" s="1753"/>
      <c r="AD929" s="1753"/>
      <c r="AE929" s="1753"/>
      <c r="AF929" s="1753"/>
      <c r="AG929" s="175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52"/>
      <c r="N930" s="1753"/>
      <c r="O930" s="1753"/>
      <c r="P930" s="1753"/>
      <c r="Q930" s="1753"/>
      <c r="R930" s="1753"/>
      <c r="S930" s="1754"/>
      <c r="T930" s="117" t="s">
        <v>1052</v>
      </c>
      <c r="U930" s="91"/>
      <c r="V930" s="91"/>
      <c r="W930" s="91"/>
      <c r="X930" s="91"/>
      <c r="Y930" s="91"/>
      <c r="Z930" s="92"/>
      <c r="AA930" s="1752"/>
      <c r="AB930" s="1753"/>
      <c r="AC930" s="1753"/>
      <c r="AD930" s="1753"/>
      <c r="AE930" s="1753"/>
      <c r="AF930" s="1753"/>
      <c r="AG930" s="1754"/>
      <c r="AL930" s="119"/>
      <c r="AM930" s="75"/>
      <c r="AN930" s="75"/>
      <c r="AO930" s="75"/>
      <c r="AP930" s="75"/>
      <c r="AQ930" s="75"/>
      <c r="AR930" s="75"/>
      <c r="AS930" s="75"/>
      <c r="AT930" s="75"/>
      <c r="AU930" s="75"/>
      <c r="AV930" s="75"/>
      <c r="AW930" s="66"/>
      <c r="AX930" s="66"/>
      <c r="AY930" s="1918">
        <f>SUM(AY919:AZ923)+AY927</f>
        <v>0</v>
      </c>
      <c r="AZ930" s="1919"/>
      <c r="BA930" s="1923">
        <v>0.39</v>
      </c>
      <c r="BB930" s="1924"/>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58" t="s">
        <v>136</v>
      </c>
      <c r="N931" s="1696"/>
      <c r="O931" s="1696"/>
      <c r="P931" s="1696"/>
      <c r="Q931" s="1696"/>
      <c r="R931" s="1696"/>
      <c r="S931" s="1759"/>
      <c r="T931" s="90" t="s">
        <v>625</v>
      </c>
      <c r="U931" s="91"/>
      <c r="V931" s="91"/>
      <c r="W931" s="91"/>
      <c r="X931" s="91"/>
      <c r="Y931" s="91"/>
      <c r="Z931" s="92"/>
      <c r="AA931" s="1752"/>
      <c r="AB931" s="1753"/>
      <c r="AC931" s="1753"/>
      <c r="AD931" s="1753"/>
      <c r="AE931" s="1753"/>
      <c r="AF931" s="1753"/>
      <c r="AG931" s="175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52"/>
      <c r="N932" s="1753"/>
      <c r="O932" s="1753"/>
      <c r="P932" s="1753"/>
      <c r="Q932" s="1753"/>
      <c r="R932" s="1753"/>
      <c r="S932" s="1754"/>
      <c r="T932" s="90" t="s">
        <v>626</v>
      </c>
      <c r="U932" s="91"/>
      <c r="V932" s="91"/>
      <c r="W932" s="91"/>
      <c r="X932" s="91"/>
      <c r="Y932" s="91"/>
      <c r="Z932" s="92"/>
      <c r="AA932" s="1752"/>
      <c r="AB932" s="1753"/>
      <c r="AC932" s="1753"/>
      <c r="AD932" s="1753"/>
      <c r="AE932" s="1753"/>
      <c r="AF932" s="1753"/>
      <c r="AG932" s="1754"/>
      <c r="AL932" s="119"/>
      <c r="AM932" s="75"/>
      <c r="AN932" s="75"/>
      <c r="AO932" s="75"/>
      <c r="AP932" s="75"/>
      <c r="AQ932" s="75"/>
      <c r="AR932" s="75"/>
      <c r="AS932" s="75"/>
      <c r="AT932" s="75"/>
      <c r="AU932" s="75"/>
      <c r="AV932" s="75"/>
      <c r="AW932" s="75"/>
      <c r="AX932" s="75"/>
      <c r="AY932" s="563">
        <f>IF(SUM(BA945:BA953)&lt;=0.1,SUM(BA945:BA953),0.1)</f>
        <v>7.0000000000000007E-2</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52"/>
      <c r="N933" s="1753"/>
      <c r="O933" s="1753"/>
      <c r="P933" s="1753"/>
      <c r="Q933" s="1753"/>
      <c r="R933" s="1753"/>
      <c r="S933" s="1754"/>
      <c r="T933" s="90" t="s">
        <v>542</v>
      </c>
      <c r="U933" s="91"/>
      <c r="V933" s="91"/>
      <c r="W933" s="91"/>
      <c r="X933" s="91"/>
      <c r="Y933" s="91"/>
      <c r="Z933" s="92"/>
      <c r="AA933" s="1752"/>
      <c r="AB933" s="1753"/>
      <c r="AC933" s="1753"/>
      <c r="AD933" s="1753"/>
      <c r="AE933" s="1753"/>
      <c r="AF933" s="1753"/>
      <c r="AG933" s="175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81" t="s">
        <v>86</v>
      </c>
      <c r="N934" s="1782"/>
      <c r="O934" s="1782"/>
      <c r="P934" s="1782"/>
      <c r="Q934" s="1782"/>
      <c r="R934" s="1782"/>
      <c r="S934" s="1783"/>
      <c r="T934" s="1814"/>
      <c r="U934" s="1815"/>
      <c r="V934" s="1815"/>
      <c r="W934" s="1815"/>
      <c r="X934" s="1815"/>
      <c r="Y934" s="1815"/>
      <c r="Z934" s="1816"/>
      <c r="AA934" s="1752"/>
      <c r="AB934" s="1753"/>
      <c r="AC934" s="1753"/>
      <c r="AD934" s="1753"/>
      <c r="AE934" s="1753"/>
      <c r="AF934" s="1753"/>
      <c r="AG934" s="175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52"/>
      <c r="N935" s="1753"/>
      <c r="O935" s="1753"/>
      <c r="P935" s="1753"/>
      <c r="Q935" s="1753"/>
      <c r="R935" s="1753"/>
      <c r="S935" s="1754"/>
      <c r="T935" s="1814"/>
      <c r="U935" s="1815"/>
      <c r="V935" s="1815"/>
      <c r="W935" s="1815"/>
      <c r="X935" s="1815"/>
      <c r="Y935" s="1815"/>
      <c r="Z935" s="1816"/>
      <c r="AA935" s="1752"/>
      <c r="AB935" s="1753"/>
      <c r="AC935" s="1753"/>
      <c r="AD935" s="1753"/>
      <c r="AE935" s="1753"/>
      <c r="AF935" s="1753"/>
      <c r="AG935" s="175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58" t="s">
        <v>531</v>
      </c>
      <c r="P936" s="1759"/>
      <c r="Q936" s="228"/>
      <c r="R936" s="228"/>
      <c r="S936" s="229"/>
      <c r="T936" s="85" t="s">
        <v>311</v>
      </c>
      <c r="U936" s="86"/>
      <c r="V936" s="86"/>
      <c r="W936" s="1745" t="s">
        <v>621</v>
      </c>
      <c r="X936" s="1746"/>
      <c r="Y936" s="1746"/>
      <c r="Z936" s="1746"/>
      <c r="AA936" s="1746"/>
      <c r="AB936" s="1746"/>
      <c r="AC936" s="1746"/>
      <c r="AD936" s="1746"/>
      <c r="AE936" s="1746"/>
      <c r="AF936" s="1746"/>
      <c r="AG936" s="174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37" t="s">
        <v>252</v>
      </c>
      <c r="G937" s="1938"/>
      <c r="H937" s="1938"/>
      <c r="I937" s="1938"/>
      <c r="J937" s="1938"/>
      <c r="K937" s="1938"/>
      <c r="L937" s="1938"/>
      <c r="M937" s="1752"/>
      <c r="N937" s="1753"/>
      <c r="O937" s="1753"/>
      <c r="P937" s="1753"/>
      <c r="Q937" s="1753"/>
      <c r="R937" s="1753"/>
      <c r="S937" s="1754"/>
      <c r="T937" s="93"/>
      <c r="U937" s="94"/>
      <c r="V937" s="94"/>
      <c r="W937" s="94"/>
      <c r="X937" s="94"/>
      <c r="Y937" s="94"/>
      <c r="Z937" s="351" t="s">
        <v>253</v>
      </c>
      <c r="AA937" s="1934"/>
      <c r="AB937" s="1935"/>
      <c r="AC937" s="1935"/>
      <c r="AD937" s="1935"/>
      <c r="AE937" s="1935"/>
      <c r="AF937" s="1935"/>
      <c r="AG937" s="193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51" t="s">
        <v>141</v>
      </c>
      <c r="B941" s="1751"/>
      <c r="C941" s="1751"/>
      <c r="D941" s="1751"/>
      <c r="E941" s="1751"/>
      <c r="F941" s="1751"/>
      <c r="G941" s="1751"/>
      <c r="H941" s="1751"/>
      <c r="I941" s="1751"/>
      <c r="J941" s="1751"/>
      <c r="K941" s="1751"/>
      <c r="L941" s="1751"/>
      <c r="M941" s="1751"/>
      <c r="N941" s="1751"/>
      <c r="O941" s="1751"/>
      <c r="P941" s="1751"/>
      <c r="Q941" s="1751"/>
      <c r="R941" s="1751"/>
      <c r="S941" s="1751"/>
      <c r="T941" s="1751"/>
      <c r="U941" s="1751"/>
      <c r="V941" s="1751"/>
      <c r="W941" s="1751"/>
      <c r="X941" s="1751"/>
      <c r="Y941" s="1751"/>
      <c r="Z941" s="1751"/>
      <c r="AA941" s="1751"/>
      <c r="AB941" s="1751"/>
      <c r="AC941" s="1751"/>
      <c r="AD941" s="1751"/>
      <c r="AE941" s="1751"/>
      <c r="AF941" s="1751"/>
      <c r="AG941" s="1751"/>
      <c r="AH941" s="1751"/>
      <c r="AI941" s="1751"/>
      <c r="AJ941" s="1751"/>
      <c r="AK941" s="1751"/>
      <c r="AL941" s="175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51"/>
      <c r="B942" s="1751"/>
      <c r="C942" s="1751"/>
      <c r="D942" s="1751"/>
      <c r="E942" s="1751"/>
      <c r="F942" s="1751"/>
      <c r="G942" s="1751"/>
      <c r="H942" s="1751"/>
      <c r="I942" s="1751"/>
      <c r="J942" s="1751"/>
      <c r="K942" s="1751"/>
      <c r="L942" s="1751"/>
      <c r="M942" s="1751"/>
      <c r="N942" s="1751"/>
      <c r="O942" s="1751"/>
      <c r="P942" s="1751"/>
      <c r="Q942" s="1751"/>
      <c r="R942" s="1751"/>
      <c r="S942" s="1751"/>
      <c r="T942" s="1751"/>
      <c r="U942" s="1751"/>
      <c r="V942" s="1751"/>
      <c r="W942" s="1751"/>
      <c r="X942" s="1751"/>
      <c r="Y942" s="1751"/>
      <c r="Z942" s="1751"/>
      <c r="AA942" s="1751"/>
      <c r="AB942" s="1751"/>
      <c r="AC942" s="1751"/>
      <c r="AD942" s="1751"/>
      <c r="AE942" s="1751"/>
      <c r="AF942" s="1751"/>
      <c r="AG942" s="1751"/>
      <c r="AH942" s="1751"/>
      <c r="AI942" s="1751"/>
      <c r="AJ942" s="1751"/>
      <c r="AK942" s="1751"/>
      <c r="AL942" s="175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0"/>
      <c r="D946" s="1803" t="s">
        <v>473</v>
      </c>
      <c r="E946" s="1804"/>
      <c r="F946" s="1804"/>
      <c r="G946" s="1804"/>
      <c r="H946" s="1804"/>
      <c r="I946" s="1804"/>
      <c r="J946" s="1804"/>
      <c r="K946" s="1804"/>
      <c r="L946" s="1804"/>
      <c r="M946" s="1804"/>
      <c r="N946" s="1804"/>
      <c r="O946" s="1804"/>
      <c r="P946" s="1804"/>
      <c r="Q946" s="1805"/>
      <c r="R946" s="1803" t="s">
        <v>474</v>
      </c>
      <c r="S946" s="1804"/>
      <c r="T946" s="1804"/>
      <c r="U946" s="1804"/>
      <c r="V946" s="1804"/>
      <c r="W946" s="1804"/>
      <c r="X946" s="1804"/>
      <c r="Y946" s="1804"/>
      <c r="Z946" s="1804"/>
      <c r="AA946" s="1805"/>
      <c r="AB946" s="1803" t="s">
        <v>475</v>
      </c>
      <c r="AC946" s="1804"/>
      <c r="AD946" s="1804"/>
      <c r="AE946" s="1804"/>
      <c r="AF946" s="1804"/>
      <c r="AG946" s="1804"/>
      <c r="AH946" s="1804"/>
      <c r="AI946" s="1805"/>
      <c r="AJ946" s="1803" t="s">
        <v>476</v>
      </c>
      <c r="AK946" s="1804"/>
      <c r="AL946" s="1804"/>
      <c r="AM946" s="1804"/>
      <c r="AN946" s="1804"/>
      <c r="AO946" s="1804"/>
      <c r="AP946" s="1804"/>
      <c r="AQ946" s="1805"/>
      <c r="AR946" s="75"/>
      <c r="AS946" s="75"/>
      <c r="AT946" s="75"/>
      <c r="AU946" s="75"/>
      <c r="AV946" s="75"/>
      <c r="AW946" s="75"/>
      <c r="AX946" s="75"/>
      <c r="AY946" s="75"/>
      <c r="AZ946" s="75"/>
      <c r="BA946" s="561">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1"/>
      <c r="D947" s="1796" t="s">
        <v>468</v>
      </c>
      <c r="E947" s="1797"/>
      <c r="F947" s="1797"/>
      <c r="G947" s="1797"/>
      <c r="H947" s="1797"/>
      <c r="I947" s="1797"/>
      <c r="J947" s="1797"/>
      <c r="K947" s="1797"/>
      <c r="L947" s="1797"/>
      <c r="M947" s="1797"/>
      <c r="N947" s="1797"/>
      <c r="O947" s="1797"/>
      <c r="P947" s="1797"/>
      <c r="Q947" s="1798"/>
      <c r="R947" s="1799">
        <f>IF(ISNA(IF($BA$819="4%",(INDEX($BC$833:$BG$890,MATCH($BO$819,$BB$833:$BB$890,0),MATCH(D947,$BC$831:$BG$831,0))),(INDEX($BJ$833:$BN$890,MATCH($BO$819,$BI$833:$BI$890,0),MATCH(D947,$BJ$831:$BN$831,0))))),0,IF($BA$819="4%",(INDEX($BC$833:$BG$890,MATCH($BO$819,$BB$833:$BB$890,0),MATCH(D947,$BC$831:$BG$831,0))),(INDEX($BJ$833:$BN$890,MATCH($BO$819,$BI$833:$BI$890,0),MATCH(D947,$BJ$831:$BN$831,0)))))</f>
        <v>303706</v>
      </c>
      <c r="S947" s="1799"/>
      <c r="T947" s="1799"/>
      <c r="U947" s="1799"/>
      <c r="V947" s="1799"/>
      <c r="W947" s="1799"/>
      <c r="X947" s="1799"/>
      <c r="Y947" s="1799"/>
      <c r="Z947" s="1799"/>
      <c r="AA947" s="1799"/>
      <c r="AB947" s="1926">
        <f>BN652</f>
        <v>0</v>
      </c>
      <c r="AC947" s="1927"/>
      <c r="AD947" s="1927"/>
      <c r="AE947" s="1927"/>
      <c r="AF947" s="1927"/>
      <c r="AG947" s="1927"/>
      <c r="AH947" s="1927"/>
      <c r="AI947" s="1928"/>
      <c r="AJ947" s="1929">
        <f>IF(ISERROR((R947*AB947)),0,(R947*AB947))</f>
        <v>0</v>
      </c>
      <c r="AK947" s="1930"/>
      <c r="AL947" s="1930"/>
      <c r="AM947" s="1930"/>
      <c r="AN947" s="1930"/>
      <c r="AO947" s="1930"/>
      <c r="AP947" s="1930"/>
      <c r="AQ947" s="1931"/>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2"/>
      <c r="D948" s="1796" t="s">
        <v>491</v>
      </c>
      <c r="E948" s="1797"/>
      <c r="F948" s="1797"/>
      <c r="G948" s="1797"/>
      <c r="H948" s="1797"/>
      <c r="I948" s="1797"/>
      <c r="J948" s="1797"/>
      <c r="K948" s="1797"/>
      <c r="L948" s="1797"/>
      <c r="M948" s="1797"/>
      <c r="N948" s="1797"/>
      <c r="O948" s="1797"/>
      <c r="P948" s="1797"/>
      <c r="Q948" s="1798"/>
      <c r="R948" s="1799">
        <f>IF(ISNA(IF($BA$819="4%",(INDEX($BC$833:$BG$890,MATCH($BO$819,$BB$833:$BB$890,0),MATCH(D948,$BC$831:$BG$831,0))),(INDEX($BJ$833:$BN$890,MATCH($BO$819,$BI$833:$BI$890,0),MATCH(D948,$BJ$831:$BN$831,0))))),0,IF($BA$819="4%",(INDEX($BC$833:$BG$890,MATCH($BO$819,$BB$833:$BB$890,0),MATCH(D948,$BC$831:$BG$831,0))),(INDEX($BJ$833:$BN$890,MATCH($BO$819,$BI$833:$BI$890,0),MATCH(D948,$BJ$831:$BN$831,0)))))</f>
        <v>350170</v>
      </c>
      <c r="S948" s="1799"/>
      <c r="T948" s="1799"/>
      <c r="U948" s="1799"/>
      <c r="V948" s="1799"/>
      <c r="W948" s="1799"/>
      <c r="X948" s="1799"/>
      <c r="Y948" s="1799"/>
      <c r="Z948" s="1799"/>
      <c r="AA948" s="1799"/>
      <c r="AB948" s="1926">
        <f>BS652</f>
        <v>44</v>
      </c>
      <c r="AC948" s="1927"/>
      <c r="AD948" s="1927"/>
      <c r="AE948" s="1927"/>
      <c r="AF948" s="1927"/>
      <c r="AG948" s="1927"/>
      <c r="AH948" s="1927"/>
      <c r="AI948" s="1928"/>
      <c r="AJ948" s="1929">
        <f>IF(ISERROR((R948*AB948)),0,(R948*AB948))</f>
        <v>15407480</v>
      </c>
      <c r="AK948" s="1930"/>
      <c r="AL948" s="1930"/>
      <c r="AM948" s="1930"/>
      <c r="AN948" s="1930"/>
      <c r="AO948" s="1930"/>
      <c r="AP948" s="1930"/>
      <c r="AQ948" s="1931"/>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2"/>
      <c r="D949" s="1796" t="s">
        <v>852</v>
      </c>
      <c r="E949" s="1797"/>
      <c r="F949" s="1797"/>
      <c r="G949" s="1797"/>
      <c r="H949" s="1797"/>
      <c r="I949" s="1797"/>
      <c r="J949" s="1797"/>
      <c r="K949" s="1797"/>
      <c r="L949" s="1797"/>
      <c r="M949" s="1797"/>
      <c r="N949" s="1797"/>
      <c r="O949" s="1797"/>
      <c r="P949" s="1797"/>
      <c r="Q949" s="1798"/>
      <c r="R949" s="1799">
        <f>IF(ISNA(IF($BA$819="4%",(INDEX($BC$833:$BG$890,MATCH($BO$819,$BB$833:$BB$890,0),MATCH(D949,$BC$831:$BG$831,0))),(INDEX($BJ$833:$BN$890,MATCH($BO$819,$BI$833:$BI$890,0),MATCH(D949,$BJ$831:$BN$831,0))))),0,IF($BA$819="4%",(INDEX($BC$833:$BG$890,MATCH($BO$819,$BB$833:$BB$890,0),MATCH(D949,$BC$831:$BG$831,0))),(INDEX($BJ$833:$BN$890,MATCH($BO$819,$BI$833:$BI$890,0),MATCH(D949,$BJ$831:$BN$831,0)))))</f>
        <v>422400</v>
      </c>
      <c r="S949" s="1799"/>
      <c r="T949" s="1799"/>
      <c r="U949" s="1799"/>
      <c r="V949" s="1799"/>
      <c r="W949" s="1799"/>
      <c r="X949" s="1799"/>
      <c r="Y949" s="1799"/>
      <c r="Z949" s="1799"/>
      <c r="AA949" s="1799"/>
      <c r="AB949" s="1926">
        <f>BX652</f>
        <v>6</v>
      </c>
      <c r="AC949" s="1927"/>
      <c r="AD949" s="1927"/>
      <c r="AE949" s="1927"/>
      <c r="AF949" s="1927"/>
      <c r="AG949" s="1927"/>
      <c r="AH949" s="1927"/>
      <c r="AI949" s="1928"/>
      <c r="AJ949" s="1929">
        <f>IF(ISERROR((R949*AB949)),0,(R949*AB949))</f>
        <v>2534400</v>
      </c>
      <c r="AK949" s="1930"/>
      <c r="AL949" s="1930"/>
      <c r="AM949" s="1930"/>
      <c r="AN949" s="1930"/>
      <c r="AO949" s="1930"/>
      <c r="AP949" s="1930"/>
      <c r="AQ949" s="1931"/>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2"/>
      <c r="D950" s="1796" t="s">
        <v>853</v>
      </c>
      <c r="E950" s="1797"/>
      <c r="F950" s="1797"/>
      <c r="G950" s="1797"/>
      <c r="H950" s="1797"/>
      <c r="I950" s="1797"/>
      <c r="J950" s="1797"/>
      <c r="K950" s="1797"/>
      <c r="L950" s="1797"/>
      <c r="M950" s="1797"/>
      <c r="N950" s="1797"/>
      <c r="O950" s="1797"/>
      <c r="P950" s="1797"/>
      <c r="Q950" s="1798"/>
      <c r="R950" s="1799">
        <f>IF(ISNA(IF($BA$819="4%",(INDEX($BC$833:$BG$890,MATCH($BO$819,$BB$833:$BB$890,0),MATCH(D950,$BC$831:$BG$831,0))),(INDEX($BJ$833:$BN$890,MATCH($BO$819,$BI$833:$BI$890,0),MATCH(D950,$BJ$831:$BN$831,0))))),0,IF($BA$819="4%",(INDEX($BC$833:$BG$890,MATCH($BO$819,$BB$833:$BB$890,0),MATCH(D950,$BC$831:$BG$831,0))),(INDEX($BJ$833:$BN$890,MATCH($BO$819,$BI$833:$BI$890,0),MATCH(D950,$BJ$831:$BN$831,0)))))</f>
        <v>540672</v>
      </c>
      <c r="S950" s="1799"/>
      <c r="T950" s="1799"/>
      <c r="U950" s="1799"/>
      <c r="V950" s="1799"/>
      <c r="W950" s="1799"/>
      <c r="X950" s="1799"/>
      <c r="Y950" s="1799"/>
      <c r="Z950" s="1799"/>
      <c r="AA950" s="1799"/>
      <c r="AB950" s="1926">
        <f>CC652</f>
        <v>0</v>
      </c>
      <c r="AC950" s="1927"/>
      <c r="AD950" s="1927"/>
      <c r="AE950" s="1927"/>
      <c r="AF950" s="1927"/>
      <c r="AG950" s="1927"/>
      <c r="AH950" s="1927"/>
      <c r="AI950" s="1928"/>
      <c r="AJ950" s="1929">
        <f>IF(ISERROR((R950*AB950)),0,(R950*AB950))</f>
        <v>0</v>
      </c>
      <c r="AK950" s="1930"/>
      <c r="AL950" s="1930"/>
      <c r="AM950" s="1930"/>
      <c r="AN950" s="1930"/>
      <c r="AO950" s="1930"/>
      <c r="AP950" s="1930"/>
      <c r="AQ950" s="1931"/>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3"/>
      <c r="D951" s="1796" t="s">
        <v>866</v>
      </c>
      <c r="E951" s="1797"/>
      <c r="F951" s="1797"/>
      <c r="G951" s="1797"/>
      <c r="H951" s="1797"/>
      <c r="I951" s="1797"/>
      <c r="J951" s="1797"/>
      <c r="K951" s="1797"/>
      <c r="L951" s="1797"/>
      <c r="M951" s="1797"/>
      <c r="N951" s="1797"/>
      <c r="O951" s="1797"/>
      <c r="P951" s="1797"/>
      <c r="Q951" s="1798"/>
      <c r="R951" s="1799">
        <f>IF(ISNA(IF($BA$819="4%",(INDEX($BC$833:$BG$890,MATCH($BO$819,$BB$833:$BB$890,0),MATCH(D951,$BC$831:$BG$831,0))),(INDEX($BJ$833:$BN$890,MATCH($BO$819,$BI$833:$BI$890,0),MATCH(D951,$BJ$831:$BN$831,0))))),0,IF($BA$819="4%",(INDEX($BC$833:$BG$890,MATCH($BO$819,$BB$833:$BB$890,0),MATCH(D951,$BC$831:$BG$831,0))),(INDEX($BJ$833:$BN$890,MATCH($BO$819,$BI$833:$BI$890,0),MATCH(D951,$BJ$831:$BN$831,0)))))</f>
        <v>602342</v>
      </c>
      <c r="S951" s="1799"/>
      <c r="T951" s="1799"/>
      <c r="U951" s="1799"/>
      <c r="V951" s="1799"/>
      <c r="W951" s="1799"/>
      <c r="X951" s="1799"/>
      <c r="Y951" s="1799"/>
      <c r="Z951" s="1799"/>
      <c r="AA951" s="1799"/>
      <c r="AB951" s="1926">
        <f>CM652+CH652</f>
        <v>0</v>
      </c>
      <c r="AC951" s="1927"/>
      <c r="AD951" s="1927"/>
      <c r="AE951" s="1927"/>
      <c r="AF951" s="1927"/>
      <c r="AG951" s="1927"/>
      <c r="AH951" s="1927"/>
      <c r="AI951" s="1928"/>
      <c r="AJ951" s="1929">
        <f>IF(ISERROR((R951*AB951)),0,(R951*AB951))</f>
        <v>0</v>
      </c>
      <c r="AK951" s="1930"/>
      <c r="AL951" s="1930"/>
      <c r="AM951" s="1930"/>
      <c r="AN951" s="1930"/>
      <c r="AO951" s="1930"/>
      <c r="AP951" s="1930"/>
      <c r="AQ951" s="1931"/>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4" t="s">
        <v>1063</v>
      </c>
      <c r="C952" s="2225"/>
      <c r="D952" s="2225"/>
      <c r="E952" s="2225"/>
      <c r="F952" s="2225"/>
      <c r="G952" s="2225"/>
      <c r="H952" s="2225"/>
      <c r="I952" s="2225"/>
      <c r="J952" s="2225"/>
      <c r="K952" s="2225"/>
      <c r="L952" s="2225"/>
      <c r="M952" s="2225"/>
      <c r="N952" s="2225"/>
      <c r="O952" s="2225"/>
      <c r="P952" s="2225"/>
      <c r="Q952" s="2225"/>
      <c r="R952" s="2225"/>
      <c r="S952" s="2225"/>
      <c r="T952" s="2225"/>
      <c r="U952" s="2225"/>
      <c r="V952" s="2225"/>
      <c r="W952" s="2225"/>
      <c r="X952" s="2225"/>
      <c r="Y952" s="2225"/>
      <c r="Z952" s="2225"/>
      <c r="AA952" s="2226"/>
      <c r="AB952" s="1926">
        <f>SUM(AB947:AI951)</f>
        <v>50</v>
      </c>
      <c r="AC952" s="1927"/>
      <c r="AD952" s="1927"/>
      <c r="AE952" s="1927"/>
      <c r="AF952" s="1927"/>
      <c r="AG952" s="1927"/>
      <c r="AH952" s="1927"/>
      <c r="AI952" s="1928"/>
      <c r="AJ952" s="1929"/>
      <c r="AK952" s="1930"/>
      <c r="AL952" s="1930"/>
      <c r="AM952" s="1930"/>
      <c r="AN952" s="1930"/>
      <c r="AO952" s="1930"/>
      <c r="AP952" s="1930"/>
      <c r="AQ952" s="1931"/>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7" t="s">
        <v>818</v>
      </c>
      <c r="C953" s="2228"/>
      <c r="D953" s="2228"/>
      <c r="E953" s="2228"/>
      <c r="F953" s="2228"/>
      <c r="G953" s="2228"/>
      <c r="H953" s="2228"/>
      <c r="I953" s="2228"/>
      <c r="J953" s="2228"/>
      <c r="K953" s="2228"/>
      <c r="L953" s="2228"/>
      <c r="M953" s="2228"/>
      <c r="N953" s="2228"/>
      <c r="O953" s="2228"/>
      <c r="P953" s="2228"/>
      <c r="Q953" s="2228"/>
      <c r="R953" s="2228"/>
      <c r="S953" s="2228"/>
      <c r="T953" s="2228"/>
      <c r="U953" s="2228"/>
      <c r="V953" s="2228"/>
      <c r="W953" s="2228"/>
      <c r="X953" s="2228"/>
      <c r="Y953" s="2228"/>
      <c r="Z953" s="2228"/>
      <c r="AA953" s="2228"/>
      <c r="AB953" s="2228"/>
      <c r="AC953" s="2228"/>
      <c r="AD953" s="2228"/>
      <c r="AE953" s="2228"/>
      <c r="AF953" s="2228"/>
      <c r="AG953" s="2228"/>
      <c r="AH953" s="2228"/>
      <c r="AI953" s="2229"/>
      <c r="AJ953" s="1929">
        <f>SUM(AJ947:AQ951)</f>
        <v>17941880</v>
      </c>
      <c r="AK953" s="1930"/>
      <c r="AL953" s="1930"/>
      <c r="AM953" s="1930"/>
      <c r="AN953" s="1930"/>
      <c r="AO953" s="1930"/>
      <c r="AP953" s="1930"/>
      <c r="AQ953" s="1931"/>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0"/>
      <c r="C954" s="2231"/>
      <c r="D954" s="2231"/>
      <c r="E954" s="2231"/>
      <c r="F954" s="2231"/>
      <c r="G954" s="2231"/>
      <c r="H954" s="2231"/>
      <c r="I954" s="2231"/>
      <c r="J954" s="2231"/>
      <c r="K954" s="2231"/>
      <c r="L954" s="2231"/>
      <c r="M954" s="2231"/>
      <c r="N954" s="2231"/>
      <c r="O954" s="2231"/>
      <c r="P954" s="2231"/>
      <c r="Q954" s="2231"/>
      <c r="R954" s="2231"/>
      <c r="S954" s="2231"/>
      <c r="T954" s="2231"/>
      <c r="U954" s="2231"/>
      <c r="V954" s="2231"/>
      <c r="W954" s="2231"/>
      <c r="X954" s="2231"/>
      <c r="Y954" s="2231"/>
      <c r="Z954" s="2231"/>
      <c r="AA954" s="2231"/>
      <c r="AB954" s="2231"/>
      <c r="AC954" s="2231"/>
      <c r="AD954" s="2231"/>
      <c r="AE954" s="2232"/>
      <c r="AF954" s="2233" t="s">
        <v>528</v>
      </c>
      <c r="AG954" s="2234"/>
      <c r="AH954" s="2234"/>
      <c r="AI954" s="2235"/>
      <c r="AJ954" s="2230"/>
      <c r="AK954" s="2231"/>
      <c r="AL954" s="2231"/>
      <c r="AM954" s="2231"/>
      <c r="AN954" s="2231"/>
      <c r="AO954" s="2231"/>
      <c r="AP954" s="2231"/>
      <c r="AQ954" s="223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4" t="s">
        <v>530</v>
      </c>
      <c r="D955" s="1765" t="s">
        <v>2156</v>
      </c>
      <c r="E955" s="1766"/>
      <c r="F955" s="1766"/>
      <c r="G955" s="1766"/>
      <c r="H955" s="1766"/>
      <c r="I955" s="1766"/>
      <c r="J955" s="1766"/>
      <c r="K955" s="1766"/>
      <c r="L955" s="1766"/>
      <c r="M955" s="1766"/>
      <c r="N955" s="1766"/>
      <c r="O955" s="1766"/>
      <c r="P955" s="1766"/>
      <c r="Q955" s="1766"/>
      <c r="R955" s="1766"/>
      <c r="S955" s="1766"/>
      <c r="T955" s="1766"/>
      <c r="U955" s="1766"/>
      <c r="V955" s="1766"/>
      <c r="W955" s="1766"/>
      <c r="X955" s="1766"/>
      <c r="Y955" s="1766"/>
      <c r="Z955" s="1766"/>
      <c r="AA955" s="1766"/>
      <c r="AB955" s="1766"/>
      <c r="AC955" s="1766"/>
      <c r="AD955" s="1766"/>
      <c r="AE955" s="1767"/>
      <c r="AF955" s="128"/>
      <c r="AG955" s="2242" t="s">
        <v>119</v>
      </c>
      <c r="AH955" s="2243"/>
      <c r="AI955" s="131"/>
      <c r="AJ955" s="1770">
        <f>ROUND(IF(AND(AG955="yes",D957&gt;0),AJ953*0.2,0),0)</f>
        <v>3588376</v>
      </c>
      <c r="AK955" s="1771"/>
      <c r="AL955" s="1771"/>
      <c r="AM955" s="1771"/>
      <c r="AN955" s="1771"/>
      <c r="AO955" s="1771"/>
      <c r="AP955" s="1771"/>
      <c r="AQ955" s="177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5"/>
      <c r="C956" s="1466"/>
      <c r="D956" s="1790" t="s">
        <v>2291</v>
      </c>
      <c r="E956" s="1791"/>
      <c r="F956" s="1791"/>
      <c r="G956" s="1791"/>
      <c r="H956" s="1791"/>
      <c r="I956" s="1791"/>
      <c r="J956" s="1791"/>
      <c r="K956" s="1791"/>
      <c r="L956" s="1791"/>
      <c r="M956" s="1791"/>
      <c r="N956" s="1791"/>
      <c r="O956" s="1791"/>
      <c r="P956" s="1791"/>
      <c r="Q956" s="1791"/>
      <c r="R956" s="1791"/>
      <c r="S956" s="1791"/>
      <c r="T956" s="1791"/>
      <c r="U956" s="1791"/>
      <c r="V956" s="1791"/>
      <c r="W956" s="1791"/>
      <c r="X956" s="1791"/>
      <c r="Y956" s="1791"/>
      <c r="Z956" s="1791"/>
      <c r="AA956" s="1791"/>
      <c r="AB956" s="1791"/>
      <c r="AC956" s="1791"/>
      <c r="AD956" s="1791"/>
      <c r="AE956" s="1792"/>
      <c r="AF956" s="124"/>
      <c r="AG956" s="125"/>
      <c r="AH956" s="125"/>
      <c r="AI956" s="129"/>
      <c r="AJ956" s="1773"/>
      <c r="AK956" s="1774"/>
      <c r="AL956" s="1774"/>
      <c r="AM956" s="1774"/>
      <c r="AN956" s="1774"/>
      <c r="AO956" s="1774"/>
      <c r="AP956" s="1774"/>
      <c r="AQ956" s="17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5"/>
      <c r="C957" s="1466"/>
      <c r="D957" s="2197" t="s">
        <v>2494</v>
      </c>
      <c r="E957" s="2198"/>
      <c r="F957" s="2198"/>
      <c r="G957" s="2198"/>
      <c r="H957" s="2198"/>
      <c r="I957" s="2198"/>
      <c r="J957" s="2198"/>
      <c r="K957" s="2198"/>
      <c r="L957" s="2198"/>
      <c r="M957" s="2198"/>
      <c r="N957" s="2198"/>
      <c r="O957" s="2198"/>
      <c r="P957" s="2198"/>
      <c r="Q957" s="2198"/>
      <c r="R957" s="2198"/>
      <c r="S957" s="2198"/>
      <c r="T957" s="2198"/>
      <c r="U957" s="2198"/>
      <c r="V957" s="2198"/>
      <c r="W957" s="2198"/>
      <c r="X957" s="2198"/>
      <c r="Y957" s="2198"/>
      <c r="Z957" s="2198"/>
      <c r="AA957" s="2198"/>
      <c r="AB957" s="2198"/>
      <c r="AC957" s="2198"/>
      <c r="AD957" s="2198"/>
      <c r="AE957" s="2199"/>
      <c r="AF957" s="126"/>
      <c r="AG957" s="15"/>
      <c r="AH957" s="15"/>
      <c r="AI957" s="127"/>
      <c r="AJ957" s="1954"/>
      <c r="AK957" s="1955"/>
      <c r="AL957" s="1955"/>
      <c r="AM957" s="1955"/>
      <c r="AN957" s="1955"/>
      <c r="AO957" s="1955"/>
      <c r="AP957" s="1955"/>
      <c r="AQ957" s="195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7"/>
      <c r="C958" s="1468"/>
      <c r="D958" s="1949" t="s">
        <v>2292</v>
      </c>
      <c r="E958" s="1950"/>
      <c r="F958" s="1950"/>
      <c r="G958" s="1950"/>
      <c r="H958" s="1950"/>
      <c r="I958" s="1950"/>
      <c r="J958" s="1950"/>
      <c r="K958" s="1950"/>
      <c r="L958" s="1950"/>
      <c r="M958" s="1950"/>
      <c r="N958" s="1950"/>
      <c r="O958" s="1950"/>
      <c r="P958" s="1950"/>
      <c r="Q958" s="1950"/>
      <c r="R958" s="1950"/>
      <c r="S958" s="1950"/>
      <c r="T958" s="1950"/>
      <c r="U958" s="1950"/>
      <c r="V958" s="1950"/>
      <c r="W958" s="1950"/>
      <c r="X958" s="1950"/>
      <c r="Y958" s="1950"/>
      <c r="Z958" s="1950"/>
      <c r="AA958" s="1950"/>
      <c r="AB958" s="1950"/>
      <c r="AC958" s="1950"/>
      <c r="AD958" s="1950"/>
      <c r="AE958" s="1951"/>
      <c r="AF958" s="128"/>
      <c r="AG958" s="1952" t="s">
        <v>531</v>
      </c>
      <c r="AH958" s="1953"/>
      <c r="AI958" s="131"/>
      <c r="AJ958" s="1770">
        <f>ROUND(IF(AG958="yes",AJ953*0.05,0),0)</f>
        <v>0</v>
      </c>
      <c r="AK958" s="1771"/>
      <c r="AL958" s="1771"/>
      <c r="AM958" s="1771"/>
      <c r="AN958" s="1771"/>
      <c r="AO958" s="1771"/>
      <c r="AP958" s="1771"/>
      <c r="AQ958" s="177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5"/>
      <c r="C959" s="1469"/>
      <c r="D959" s="1790" t="s">
        <v>2157</v>
      </c>
      <c r="E959" s="1791"/>
      <c r="F959" s="1791"/>
      <c r="G959" s="1791"/>
      <c r="H959" s="1791"/>
      <c r="I959" s="1791"/>
      <c r="J959" s="1791"/>
      <c r="K959" s="1791"/>
      <c r="L959" s="1791"/>
      <c r="M959" s="1791"/>
      <c r="N959" s="1791"/>
      <c r="O959" s="1791"/>
      <c r="P959" s="1791"/>
      <c r="Q959" s="1791"/>
      <c r="R959" s="1791"/>
      <c r="S959" s="1791"/>
      <c r="T959" s="1791"/>
      <c r="U959" s="1791"/>
      <c r="V959" s="1791"/>
      <c r="W959" s="1791"/>
      <c r="X959" s="1791"/>
      <c r="Y959" s="1791"/>
      <c r="Z959" s="1791"/>
      <c r="AA959" s="1791"/>
      <c r="AB959" s="1791"/>
      <c r="AC959" s="1791"/>
      <c r="AD959" s="1791"/>
      <c r="AE959" s="1792"/>
      <c r="AF959" s="124"/>
      <c r="AG959" s="125"/>
      <c r="AH959" s="125"/>
      <c r="AI959" s="129"/>
      <c r="AJ959" s="1773"/>
      <c r="AK959" s="1774"/>
      <c r="AL959" s="1774"/>
      <c r="AM959" s="1774"/>
      <c r="AN959" s="1774"/>
      <c r="AO959" s="1774"/>
      <c r="AP959" s="1774"/>
      <c r="AQ959" s="177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5"/>
      <c r="C960" s="1469"/>
      <c r="D960" s="1790"/>
      <c r="E960" s="1791"/>
      <c r="F960" s="1791"/>
      <c r="G960" s="1791"/>
      <c r="H960" s="1791"/>
      <c r="I960" s="1791"/>
      <c r="J960" s="1791"/>
      <c r="K960" s="1791"/>
      <c r="L960" s="1791"/>
      <c r="M960" s="1791"/>
      <c r="N960" s="1791"/>
      <c r="O960" s="1791"/>
      <c r="P960" s="1791"/>
      <c r="Q960" s="1791"/>
      <c r="R960" s="1791"/>
      <c r="S960" s="1791"/>
      <c r="T960" s="1791"/>
      <c r="U960" s="1791"/>
      <c r="V960" s="1791"/>
      <c r="W960" s="1791"/>
      <c r="X960" s="1791"/>
      <c r="Y960" s="1791"/>
      <c r="Z960" s="1791"/>
      <c r="AA960" s="1791"/>
      <c r="AB960" s="1791"/>
      <c r="AC960" s="1791"/>
      <c r="AD960" s="1791"/>
      <c r="AE960" s="1792"/>
      <c r="AF960" s="124"/>
      <c r="AG960" s="125"/>
      <c r="AH960" s="125"/>
      <c r="AI960" s="129"/>
      <c r="AJ960" s="1773"/>
      <c r="AK960" s="1774"/>
      <c r="AL960" s="1774"/>
      <c r="AM960" s="1774"/>
      <c r="AN960" s="1774"/>
      <c r="AO960" s="1774"/>
      <c r="AP960" s="1774"/>
      <c r="AQ960" s="17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5"/>
      <c r="C961" s="1469"/>
      <c r="D961" s="1790"/>
      <c r="E961" s="1791"/>
      <c r="F961" s="1791"/>
      <c r="G961" s="1791"/>
      <c r="H961" s="1791"/>
      <c r="I961" s="1791"/>
      <c r="J961" s="1791"/>
      <c r="K961" s="1791"/>
      <c r="L961" s="1791"/>
      <c r="M961" s="1791"/>
      <c r="N961" s="1791"/>
      <c r="O961" s="1791"/>
      <c r="P961" s="1791"/>
      <c r="Q961" s="1791"/>
      <c r="R961" s="1791"/>
      <c r="S961" s="1791"/>
      <c r="T961" s="1791"/>
      <c r="U961" s="1791"/>
      <c r="V961" s="1791"/>
      <c r="W961" s="1791"/>
      <c r="X961" s="1791"/>
      <c r="Y961" s="1791"/>
      <c r="Z961" s="1791"/>
      <c r="AA961" s="1791"/>
      <c r="AB961" s="1791"/>
      <c r="AC961" s="1791"/>
      <c r="AD961" s="1791"/>
      <c r="AE961" s="1792"/>
      <c r="AF961" s="124"/>
      <c r="AG961" s="125"/>
      <c r="AH961" s="125"/>
      <c r="AI961" s="129"/>
      <c r="AJ961" s="1773"/>
      <c r="AK961" s="1774"/>
      <c r="AL961" s="1774"/>
      <c r="AM961" s="1774"/>
      <c r="AN961" s="1774"/>
      <c r="AO961" s="1774"/>
      <c r="AP961" s="1774"/>
      <c r="AQ961" s="17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5"/>
      <c r="C962" s="1469"/>
      <c r="D962" s="1790"/>
      <c r="E962" s="1791"/>
      <c r="F962" s="1791"/>
      <c r="G962" s="1791"/>
      <c r="H962" s="1791"/>
      <c r="I962" s="1791"/>
      <c r="J962" s="1791"/>
      <c r="K962" s="1791"/>
      <c r="L962" s="1791"/>
      <c r="M962" s="1791"/>
      <c r="N962" s="1791"/>
      <c r="O962" s="1791"/>
      <c r="P962" s="1791"/>
      <c r="Q962" s="1791"/>
      <c r="R962" s="1791"/>
      <c r="S962" s="1791"/>
      <c r="T962" s="1791"/>
      <c r="U962" s="1791"/>
      <c r="V962" s="1791"/>
      <c r="W962" s="1791"/>
      <c r="X962" s="1791"/>
      <c r="Y962" s="1791"/>
      <c r="Z962" s="1791"/>
      <c r="AA962" s="1791"/>
      <c r="AB962" s="1791"/>
      <c r="AC962" s="1791"/>
      <c r="AD962" s="1791"/>
      <c r="AE962" s="1792"/>
      <c r="AF962" s="124"/>
      <c r="AG962" s="125"/>
      <c r="AH962" s="125"/>
      <c r="AI962" s="129"/>
      <c r="AJ962" s="1773"/>
      <c r="AK962" s="1774"/>
      <c r="AL962" s="1774"/>
      <c r="AM962" s="1774"/>
      <c r="AN962" s="1774"/>
      <c r="AO962" s="1774"/>
      <c r="AP962" s="1774"/>
      <c r="AQ962" s="17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0"/>
      <c r="C963" s="1471"/>
      <c r="D963" s="1793"/>
      <c r="E963" s="1794"/>
      <c r="F963" s="1794"/>
      <c r="G963" s="1794"/>
      <c r="H963" s="1794"/>
      <c r="I963" s="1794"/>
      <c r="J963" s="1794"/>
      <c r="K963" s="1794"/>
      <c r="L963" s="1794"/>
      <c r="M963" s="1794"/>
      <c r="N963" s="1794"/>
      <c r="O963" s="1794"/>
      <c r="P963" s="1794"/>
      <c r="Q963" s="1794"/>
      <c r="R963" s="1794"/>
      <c r="S963" s="1794"/>
      <c r="T963" s="1794"/>
      <c r="U963" s="1794"/>
      <c r="V963" s="1794"/>
      <c r="W963" s="1794"/>
      <c r="X963" s="1794"/>
      <c r="Y963" s="1794"/>
      <c r="Z963" s="1794"/>
      <c r="AA963" s="1794"/>
      <c r="AB963" s="1794"/>
      <c r="AC963" s="1794"/>
      <c r="AD963" s="1794"/>
      <c r="AE963" s="1795"/>
      <c r="AF963" s="126"/>
      <c r="AG963" s="15"/>
      <c r="AH963" s="15"/>
      <c r="AI963" s="127"/>
      <c r="AJ963" s="1954"/>
      <c r="AK963" s="1955"/>
      <c r="AL963" s="1955"/>
      <c r="AM963" s="1955"/>
      <c r="AN963" s="1955"/>
      <c r="AO963" s="1955"/>
      <c r="AP963" s="1955"/>
      <c r="AQ963" s="195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7"/>
      <c r="C964" s="883" t="s">
        <v>534</v>
      </c>
      <c r="D964" s="1949" t="s">
        <v>2293</v>
      </c>
      <c r="E964" s="1950"/>
      <c r="F964" s="1950"/>
      <c r="G964" s="1950"/>
      <c r="H964" s="1950"/>
      <c r="I964" s="1950"/>
      <c r="J964" s="1950"/>
      <c r="K964" s="1950"/>
      <c r="L964" s="1950"/>
      <c r="M964" s="1950"/>
      <c r="N964" s="1950"/>
      <c r="O964" s="1950"/>
      <c r="P964" s="1950"/>
      <c r="Q964" s="1950"/>
      <c r="R964" s="1950"/>
      <c r="S964" s="1950"/>
      <c r="T964" s="1950"/>
      <c r="U964" s="1950"/>
      <c r="V964" s="1950"/>
      <c r="W964" s="1950"/>
      <c r="X964" s="1950"/>
      <c r="Y964" s="1950"/>
      <c r="Z964" s="1950"/>
      <c r="AA964" s="1950"/>
      <c r="AB964" s="1950"/>
      <c r="AC964" s="1950"/>
      <c r="AD964" s="1950"/>
      <c r="AE964" s="1951"/>
      <c r="AF964" s="130"/>
      <c r="AG964" s="1952" t="s">
        <v>531</v>
      </c>
      <c r="AH964" s="1953"/>
      <c r="AI964" s="131"/>
      <c r="AJ964" s="1770">
        <f>ROUND(IF(AG964="yes",AJ953*0.1,0),0)</f>
        <v>0</v>
      </c>
      <c r="AK964" s="1771"/>
      <c r="AL964" s="1771"/>
      <c r="AM964" s="1771"/>
      <c r="AN964" s="1771"/>
      <c r="AO964" s="1771"/>
      <c r="AP964" s="1771"/>
      <c r="AQ964" s="177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2194" t="s">
        <v>2294</v>
      </c>
      <c r="E965" s="2195"/>
      <c r="F965" s="2195"/>
      <c r="G965" s="2195"/>
      <c r="H965" s="2195"/>
      <c r="I965" s="2195"/>
      <c r="J965" s="2195"/>
      <c r="K965" s="2195"/>
      <c r="L965" s="2195"/>
      <c r="M965" s="2195"/>
      <c r="N965" s="2195"/>
      <c r="O965" s="2195"/>
      <c r="P965" s="2195"/>
      <c r="Q965" s="2195"/>
      <c r="R965" s="2195"/>
      <c r="S965" s="2195"/>
      <c r="T965" s="2195"/>
      <c r="U965" s="2195"/>
      <c r="V965" s="2195"/>
      <c r="W965" s="2195"/>
      <c r="X965" s="2195"/>
      <c r="Y965" s="2195"/>
      <c r="Z965" s="2195"/>
      <c r="AA965" s="2195"/>
      <c r="AB965" s="2195"/>
      <c r="AC965" s="2195"/>
      <c r="AD965" s="2195"/>
      <c r="AE965" s="2196"/>
      <c r="AF965" s="124"/>
      <c r="AG965" s="35"/>
      <c r="AH965" s="35"/>
      <c r="AI965" s="129"/>
      <c r="AJ965" s="1773"/>
      <c r="AK965" s="1774"/>
      <c r="AL965" s="1774"/>
      <c r="AM965" s="1774"/>
      <c r="AN965" s="1774"/>
      <c r="AO965" s="1774"/>
      <c r="AP965" s="1774"/>
      <c r="AQ965" s="17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2194"/>
      <c r="E966" s="2195"/>
      <c r="F966" s="2195"/>
      <c r="G966" s="2195"/>
      <c r="H966" s="2195"/>
      <c r="I966" s="2195"/>
      <c r="J966" s="2195"/>
      <c r="K966" s="2195"/>
      <c r="L966" s="2195"/>
      <c r="M966" s="2195"/>
      <c r="N966" s="2195"/>
      <c r="O966" s="2195"/>
      <c r="P966" s="2195"/>
      <c r="Q966" s="2195"/>
      <c r="R966" s="2195"/>
      <c r="S966" s="2195"/>
      <c r="T966" s="2195"/>
      <c r="U966" s="2195"/>
      <c r="V966" s="2195"/>
      <c r="W966" s="2195"/>
      <c r="X966" s="2195"/>
      <c r="Y966" s="2195"/>
      <c r="Z966" s="2195"/>
      <c r="AA966" s="2195"/>
      <c r="AB966" s="2195"/>
      <c r="AC966" s="2195"/>
      <c r="AD966" s="2195"/>
      <c r="AE966" s="2196"/>
      <c r="AF966" s="124"/>
      <c r="AG966" s="125"/>
      <c r="AH966" s="125"/>
      <c r="AI966" s="129"/>
      <c r="AJ966" s="1773"/>
      <c r="AK966" s="1774"/>
      <c r="AL966" s="1774"/>
      <c r="AM966" s="1774"/>
      <c r="AN966" s="1774"/>
      <c r="AO966" s="1774"/>
      <c r="AP966" s="1774"/>
      <c r="AQ966" s="17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2"/>
      <c r="C967" s="1471"/>
      <c r="D967" s="1957"/>
      <c r="E967" s="1958"/>
      <c r="F967" s="1958"/>
      <c r="G967" s="1958"/>
      <c r="H967" s="1958"/>
      <c r="I967" s="1958"/>
      <c r="J967" s="1958"/>
      <c r="K967" s="1958"/>
      <c r="L967" s="1958"/>
      <c r="M967" s="1958"/>
      <c r="N967" s="1958"/>
      <c r="O967" s="1958"/>
      <c r="P967" s="1958"/>
      <c r="Q967" s="1958"/>
      <c r="R967" s="1958"/>
      <c r="S967" s="1958"/>
      <c r="T967" s="1958"/>
      <c r="U967" s="1958"/>
      <c r="V967" s="1958"/>
      <c r="W967" s="1958"/>
      <c r="X967" s="1958"/>
      <c r="Y967" s="1958"/>
      <c r="Z967" s="1958"/>
      <c r="AA967" s="1958"/>
      <c r="AB967" s="1958"/>
      <c r="AC967" s="1958"/>
      <c r="AD967" s="1958"/>
      <c r="AE967" s="1959"/>
      <c r="AF967" s="126"/>
      <c r="AG967" s="15"/>
      <c r="AH967" s="15"/>
      <c r="AI967" s="127"/>
      <c r="AJ967" s="1954"/>
      <c r="AK967" s="1955"/>
      <c r="AL967" s="1955"/>
      <c r="AM967" s="1955"/>
      <c r="AN967" s="1955"/>
      <c r="AO967" s="1955"/>
      <c r="AP967" s="1955"/>
      <c r="AQ967" s="195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538</v>
      </c>
      <c r="D968" s="1949" t="s">
        <v>2158</v>
      </c>
      <c r="E968" s="1950"/>
      <c r="F968" s="1950"/>
      <c r="G968" s="1950"/>
      <c r="H968" s="1950"/>
      <c r="I968" s="1950"/>
      <c r="J968" s="1950"/>
      <c r="K968" s="1950"/>
      <c r="L968" s="1950"/>
      <c r="M968" s="1950"/>
      <c r="N968" s="1950"/>
      <c r="O968" s="1950"/>
      <c r="P968" s="1950"/>
      <c r="Q968" s="1950"/>
      <c r="R968" s="1950"/>
      <c r="S968" s="1950"/>
      <c r="T968" s="1950"/>
      <c r="U968" s="1950"/>
      <c r="V968" s="1950"/>
      <c r="W968" s="1950"/>
      <c r="X968" s="1950"/>
      <c r="Y968" s="1950"/>
      <c r="Z968" s="1950"/>
      <c r="AA968" s="1950"/>
      <c r="AB968" s="1950"/>
      <c r="AC968" s="1950"/>
      <c r="AD968" s="1950"/>
      <c r="AE968" s="1951"/>
      <c r="AF968" s="128"/>
      <c r="AG968" s="1952" t="s">
        <v>119</v>
      </c>
      <c r="AH968" s="1953"/>
      <c r="AI968" s="131"/>
      <c r="AJ968" s="1770">
        <f>ROUND(IF(AG968="yes",AJ953*0.02,0),0)</f>
        <v>358838</v>
      </c>
      <c r="AK968" s="1771"/>
      <c r="AL968" s="1771"/>
      <c r="AM968" s="1771"/>
      <c r="AN968" s="1771"/>
      <c r="AO968" s="1771"/>
      <c r="AP968" s="1771"/>
      <c r="AQ968" s="177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957" t="s">
        <v>2159</v>
      </c>
      <c r="E969" s="1958"/>
      <c r="F969" s="1958"/>
      <c r="G969" s="1958"/>
      <c r="H969" s="1958"/>
      <c r="I969" s="1958"/>
      <c r="J969" s="1958"/>
      <c r="K969" s="1958"/>
      <c r="L969" s="1958"/>
      <c r="M969" s="1958"/>
      <c r="N969" s="1958"/>
      <c r="O969" s="1958"/>
      <c r="P969" s="1958"/>
      <c r="Q969" s="1958"/>
      <c r="R969" s="1958"/>
      <c r="S969" s="1958"/>
      <c r="T969" s="1958"/>
      <c r="U969" s="1958"/>
      <c r="V969" s="1958"/>
      <c r="W969" s="1958"/>
      <c r="X969" s="1958"/>
      <c r="Y969" s="1958"/>
      <c r="Z969" s="1958"/>
      <c r="AA969" s="1958"/>
      <c r="AB969" s="1958"/>
      <c r="AC969" s="1958"/>
      <c r="AD969" s="1958"/>
      <c r="AE969" s="1959"/>
      <c r="AF969" s="126"/>
      <c r="AG969" s="15"/>
      <c r="AH969" s="15"/>
      <c r="AI969" s="127"/>
      <c r="AJ969" s="1954"/>
      <c r="AK969" s="1955"/>
      <c r="AL969" s="1955"/>
      <c r="AM969" s="1955"/>
      <c r="AN969" s="1955"/>
      <c r="AO969" s="1955"/>
      <c r="AP969" s="1955"/>
      <c r="AQ969" s="195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541</v>
      </c>
      <c r="D970" s="1949" t="s">
        <v>2160</v>
      </c>
      <c r="E970" s="1950"/>
      <c r="F970" s="1950"/>
      <c r="G970" s="1950"/>
      <c r="H970" s="1950"/>
      <c r="I970" s="1950"/>
      <c r="J970" s="1950"/>
      <c r="K970" s="1950"/>
      <c r="L970" s="1950"/>
      <c r="M970" s="1950"/>
      <c r="N970" s="1950"/>
      <c r="O970" s="1950"/>
      <c r="P970" s="1950"/>
      <c r="Q970" s="1950"/>
      <c r="R970" s="1950"/>
      <c r="S970" s="1950"/>
      <c r="T970" s="1950"/>
      <c r="U970" s="1950"/>
      <c r="V970" s="1950"/>
      <c r="W970" s="1950"/>
      <c r="X970" s="1950"/>
      <c r="Y970" s="1950"/>
      <c r="Z970" s="1950"/>
      <c r="AA970" s="1950"/>
      <c r="AB970" s="1950"/>
      <c r="AC970" s="1950"/>
      <c r="AD970" s="1950"/>
      <c r="AE970" s="1951"/>
      <c r="AF970" s="128"/>
      <c r="AG970" s="1952" t="s">
        <v>531</v>
      </c>
      <c r="AH970" s="1953"/>
      <c r="AI970" s="128"/>
      <c r="AJ970" s="1770">
        <f>ROUND(IF(AG970="yes",AJ953*0.02,0),0)</f>
        <v>0</v>
      </c>
      <c r="AK970" s="1771"/>
      <c r="AL970" s="1771"/>
      <c r="AM970" s="1771"/>
      <c r="AN970" s="1771"/>
      <c r="AO970" s="1771"/>
      <c r="AP970" s="1771"/>
      <c r="AQ970" s="177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2194" t="s">
        <v>2161</v>
      </c>
      <c r="E971" s="2195"/>
      <c r="F971" s="2195"/>
      <c r="G971" s="2195"/>
      <c r="H971" s="2195"/>
      <c r="I971" s="2195"/>
      <c r="J971" s="2195"/>
      <c r="K971" s="2195"/>
      <c r="L971" s="2195"/>
      <c r="M971" s="2195"/>
      <c r="N971" s="2195"/>
      <c r="O971" s="2195"/>
      <c r="P971" s="2195"/>
      <c r="Q971" s="2195"/>
      <c r="R971" s="2195"/>
      <c r="S971" s="2195"/>
      <c r="T971" s="2195"/>
      <c r="U971" s="2195"/>
      <c r="V971" s="2195"/>
      <c r="W971" s="2195"/>
      <c r="X971" s="2195"/>
      <c r="Y971" s="2195"/>
      <c r="Z971" s="2195"/>
      <c r="AA971" s="2195"/>
      <c r="AB971" s="2195"/>
      <c r="AC971" s="2195"/>
      <c r="AD971" s="2195"/>
      <c r="AE971" s="2196"/>
      <c r="AF971" s="124"/>
      <c r="AG971" s="35"/>
      <c r="AH971" s="35"/>
      <c r="AI971" s="125"/>
      <c r="AJ971" s="1773"/>
      <c r="AK971" s="1774"/>
      <c r="AL971" s="1774"/>
      <c r="AM971" s="1774"/>
      <c r="AN971" s="1774"/>
      <c r="AO971" s="1774"/>
      <c r="AP971" s="1774"/>
      <c r="AQ971" s="177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0"/>
      <c r="C972" s="1471"/>
      <c r="D972" s="1957"/>
      <c r="E972" s="1958"/>
      <c r="F972" s="1958"/>
      <c r="G972" s="1958"/>
      <c r="H972" s="1958"/>
      <c r="I972" s="1958"/>
      <c r="J972" s="1958"/>
      <c r="K972" s="1958"/>
      <c r="L972" s="1958"/>
      <c r="M972" s="1958"/>
      <c r="N972" s="1958"/>
      <c r="O972" s="1958"/>
      <c r="P972" s="1958"/>
      <c r="Q972" s="1958"/>
      <c r="R972" s="1958"/>
      <c r="S972" s="1958"/>
      <c r="T972" s="1958"/>
      <c r="U972" s="1958"/>
      <c r="V972" s="1958"/>
      <c r="W972" s="1958"/>
      <c r="X972" s="1958"/>
      <c r="Y972" s="1958"/>
      <c r="Z972" s="1958"/>
      <c r="AA972" s="1958"/>
      <c r="AB972" s="1958"/>
      <c r="AC972" s="1958"/>
      <c r="AD972" s="1958"/>
      <c r="AE972" s="1959"/>
      <c r="AF972" s="126"/>
      <c r="AG972" s="15"/>
      <c r="AH972" s="15"/>
      <c r="AI972" s="127"/>
      <c r="AJ972" s="1954"/>
      <c r="AK972" s="1955"/>
      <c r="AL972" s="1955"/>
      <c r="AM972" s="1955"/>
      <c r="AN972" s="1955"/>
      <c r="AO972" s="1955"/>
      <c r="AP972" s="1955"/>
      <c r="AQ972" s="195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661</v>
      </c>
      <c r="D973" s="1765" t="s">
        <v>2162</v>
      </c>
      <c r="E973" s="1766"/>
      <c r="F973" s="1766"/>
      <c r="G973" s="1766"/>
      <c r="H973" s="1766"/>
      <c r="I973" s="1766"/>
      <c r="J973" s="1766"/>
      <c r="K973" s="1766"/>
      <c r="L973" s="1766"/>
      <c r="M973" s="1766"/>
      <c r="N973" s="1766"/>
      <c r="O973" s="1766"/>
      <c r="P973" s="1766"/>
      <c r="Q973" s="1766"/>
      <c r="R973" s="1766"/>
      <c r="S973" s="1766"/>
      <c r="T973" s="1766"/>
      <c r="U973" s="1766"/>
      <c r="V973" s="1766"/>
      <c r="W973" s="1766"/>
      <c r="X973" s="1766"/>
      <c r="Y973" s="1766"/>
      <c r="Z973" s="1766"/>
      <c r="AA973" s="1766"/>
      <c r="AB973" s="1766"/>
      <c r="AC973" s="1766"/>
      <c r="AD973" s="1766"/>
      <c r="AE973" s="1767"/>
      <c r="AF973" s="128"/>
      <c r="AG973" s="1952" t="s">
        <v>119</v>
      </c>
      <c r="AH973" s="1953"/>
      <c r="AI973" s="131"/>
      <c r="AJ973" s="1770">
        <f>IF(AG973="yes",AJ953*AY932,0)</f>
        <v>1255931.6000000001</v>
      </c>
      <c r="AK973" s="1771"/>
      <c r="AL973" s="1771"/>
      <c r="AM973" s="1771"/>
      <c r="AN973" s="1771"/>
      <c r="AO973" s="1771"/>
      <c r="AP973" s="1771"/>
      <c r="AQ973" s="177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4"/>
      <c r="D974" s="2194" t="s">
        <v>2295</v>
      </c>
      <c r="E974" s="2195"/>
      <c r="F974" s="2195"/>
      <c r="G974" s="2195"/>
      <c r="H974" s="2195"/>
      <c r="I974" s="2195"/>
      <c r="J974" s="2195"/>
      <c r="K974" s="2195"/>
      <c r="L974" s="2195"/>
      <c r="M974" s="2195"/>
      <c r="N974" s="2195"/>
      <c r="O974" s="2195"/>
      <c r="P974" s="2195"/>
      <c r="Q974" s="2195"/>
      <c r="R974" s="2195"/>
      <c r="S974" s="2195"/>
      <c r="T974" s="2195"/>
      <c r="U974" s="2195"/>
      <c r="V974" s="2195"/>
      <c r="W974" s="2195"/>
      <c r="X974" s="2195"/>
      <c r="Y974" s="2195"/>
      <c r="Z974" s="2195"/>
      <c r="AA974" s="2195"/>
      <c r="AB974" s="2195"/>
      <c r="AC974" s="2195"/>
      <c r="AD974" s="2195"/>
      <c r="AE974" s="2196"/>
      <c r="AF974" s="124"/>
      <c r="AG974" s="125"/>
      <c r="AH974" s="125"/>
      <c r="AI974" s="129"/>
      <c r="AJ974" s="1773"/>
      <c r="AK974" s="1774"/>
      <c r="AL974" s="1774"/>
      <c r="AM974" s="1774"/>
      <c r="AN974" s="1774"/>
      <c r="AO974" s="1774"/>
      <c r="AP974" s="1774"/>
      <c r="AQ974" s="17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2194"/>
      <c r="E975" s="2195"/>
      <c r="F975" s="2195"/>
      <c r="G975" s="2195"/>
      <c r="H975" s="2195"/>
      <c r="I975" s="2195"/>
      <c r="J975" s="2195"/>
      <c r="K975" s="2195"/>
      <c r="L975" s="2195"/>
      <c r="M975" s="2195"/>
      <c r="N975" s="2195"/>
      <c r="O975" s="2195"/>
      <c r="P975" s="2195"/>
      <c r="Q975" s="2195"/>
      <c r="R975" s="2195"/>
      <c r="S975" s="2195"/>
      <c r="T975" s="2195"/>
      <c r="U975" s="2195"/>
      <c r="V975" s="2195"/>
      <c r="W975" s="2195"/>
      <c r="X975" s="2195"/>
      <c r="Y975" s="2195"/>
      <c r="Z975" s="2195"/>
      <c r="AA975" s="2195"/>
      <c r="AB975" s="2195"/>
      <c r="AC975" s="2195"/>
      <c r="AD975" s="2195"/>
      <c r="AE975" s="2196"/>
      <c r="AF975" s="124"/>
      <c r="AG975" s="125"/>
      <c r="AH975" s="125"/>
      <c r="AI975" s="129"/>
      <c r="AJ975" s="1773"/>
      <c r="AK975" s="1774"/>
      <c r="AL975" s="1774"/>
      <c r="AM975" s="1774"/>
      <c r="AN975" s="1774"/>
      <c r="AO975" s="1774"/>
      <c r="AP975" s="1774"/>
      <c r="AQ975" s="17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73"/>
      <c r="C976" s="1469"/>
      <c r="D976" s="1957"/>
      <c r="E976" s="1958"/>
      <c r="F976" s="1958"/>
      <c r="G976" s="1958"/>
      <c r="H976" s="1958"/>
      <c r="I976" s="1958"/>
      <c r="J976" s="1958"/>
      <c r="K976" s="1958"/>
      <c r="L976" s="1958"/>
      <c r="M976" s="1958"/>
      <c r="N976" s="1958"/>
      <c r="O976" s="1958"/>
      <c r="P976" s="1958"/>
      <c r="Q976" s="1958"/>
      <c r="R976" s="1958"/>
      <c r="S976" s="1958"/>
      <c r="T976" s="1958"/>
      <c r="U976" s="1958"/>
      <c r="V976" s="1958"/>
      <c r="W976" s="1958"/>
      <c r="X976" s="1958"/>
      <c r="Y976" s="1958"/>
      <c r="Z976" s="1958"/>
      <c r="AA976" s="1958"/>
      <c r="AB976" s="1958"/>
      <c r="AC976" s="1958"/>
      <c r="AD976" s="1958"/>
      <c r="AE976" s="1959"/>
      <c r="AF976" s="126"/>
      <c r="AG976" s="15"/>
      <c r="AH976" s="15"/>
      <c r="AI976" s="127"/>
      <c r="AJ976" s="1954"/>
      <c r="AK976" s="1955"/>
      <c r="AL976" s="1955"/>
      <c r="AM976" s="1955"/>
      <c r="AN976" s="1955"/>
      <c r="AO976" s="1955"/>
      <c r="AP976" s="1955"/>
      <c r="AQ976" s="195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666</v>
      </c>
      <c r="D977" s="2200" t="s">
        <v>2163</v>
      </c>
      <c r="E977" s="2201"/>
      <c r="F977" s="2201"/>
      <c r="G977" s="2201"/>
      <c r="H977" s="2201"/>
      <c r="I977" s="2201"/>
      <c r="J977" s="2201"/>
      <c r="K977" s="2201"/>
      <c r="L977" s="2201"/>
      <c r="M977" s="2201"/>
      <c r="N977" s="2201"/>
      <c r="O977" s="2201"/>
      <c r="P977" s="2201"/>
      <c r="Q977" s="2201"/>
      <c r="R977" s="2201"/>
      <c r="S977" s="2201"/>
      <c r="T977" s="2201"/>
      <c r="U977" s="2201"/>
      <c r="V977" s="2201"/>
      <c r="W977" s="2201"/>
      <c r="X977" s="2201"/>
      <c r="Y977" s="2201"/>
      <c r="Z977" s="2201"/>
      <c r="AA977" s="2201"/>
      <c r="AB977" s="2201"/>
      <c r="AC977" s="2201"/>
      <c r="AD977" s="2201"/>
      <c r="AE977" s="2202"/>
      <c r="AF977" s="128"/>
      <c r="AG977" s="1952" t="s">
        <v>531</v>
      </c>
      <c r="AH977" s="1953"/>
      <c r="AI977" s="131"/>
      <c r="AJ977" s="2206"/>
      <c r="AK977" s="2207"/>
      <c r="AL977" s="2207"/>
      <c r="AM977" s="2207"/>
      <c r="AN977" s="2207"/>
      <c r="AO977" s="2207"/>
      <c r="AP977" s="2207"/>
      <c r="AQ977" s="220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3"/>
      <c r="C978" s="1474"/>
      <c r="D978" s="2203"/>
      <c r="E978" s="2204"/>
      <c r="F978" s="2204"/>
      <c r="G978" s="2204"/>
      <c r="H978" s="2204"/>
      <c r="I978" s="2204"/>
      <c r="J978" s="2204"/>
      <c r="K978" s="2204"/>
      <c r="L978" s="2204"/>
      <c r="M978" s="2204"/>
      <c r="N978" s="2204"/>
      <c r="O978" s="2204"/>
      <c r="P978" s="2204"/>
      <c r="Q978" s="2204"/>
      <c r="R978" s="2204"/>
      <c r="S978" s="2204"/>
      <c r="T978" s="2204"/>
      <c r="U978" s="2204"/>
      <c r="V978" s="2204"/>
      <c r="W978" s="2204"/>
      <c r="X978" s="2204"/>
      <c r="Y978" s="2204"/>
      <c r="Z978" s="2204"/>
      <c r="AA978" s="2204"/>
      <c r="AB978" s="2204"/>
      <c r="AC978" s="2204"/>
      <c r="AD978" s="2204"/>
      <c r="AE978" s="2205"/>
      <c r="AF978" s="2215">
        <f>IF(AG977="yes","Please Select Type and Enter Amount:",0)</f>
        <v>0</v>
      </c>
      <c r="AG978" s="2216"/>
      <c r="AH978" s="2216"/>
      <c r="AI978" s="2217"/>
      <c r="AJ978" s="2209"/>
      <c r="AK978" s="2210"/>
      <c r="AL978" s="2210"/>
      <c r="AM978" s="2210"/>
      <c r="AN978" s="2210"/>
      <c r="AO978" s="2210"/>
      <c r="AP978" s="2210"/>
      <c r="AQ978" s="221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3"/>
      <c r="C979" s="1474"/>
      <c r="D979" s="2194" t="s">
        <v>2164</v>
      </c>
      <c r="E979" s="2195"/>
      <c r="F979" s="2195"/>
      <c r="G979" s="2195"/>
      <c r="H979" s="2195"/>
      <c r="I979" s="2195"/>
      <c r="J979" s="2195"/>
      <c r="K979" s="2195"/>
      <c r="L979" s="2195"/>
      <c r="M979" s="2195"/>
      <c r="N979" s="2195"/>
      <c r="O979" s="2195"/>
      <c r="P979" s="2195"/>
      <c r="Q979" s="2195"/>
      <c r="R979" s="2195"/>
      <c r="S979" s="2195"/>
      <c r="T979" s="2195"/>
      <c r="U979" s="2195"/>
      <c r="V979" s="2195"/>
      <c r="W979" s="2195"/>
      <c r="X979" s="2195"/>
      <c r="Y979" s="2195"/>
      <c r="Z979" s="2195"/>
      <c r="AA979" s="2195"/>
      <c r="AB979" s="2195"/>
      <c r="AC979" s="2195"/>
      <c r="AD979" s="2195"/>
      <c r="AE979" s="2196"/>
      <c r="AF979" s="2215"/>
      <c r="AG979" s="2216"/>
      <c r="AH979" s="2216"/>
      <c r="AI979" s="2217"/>
      <c r="AJ979" s="2209"/>
      <c r="AK979" s="2210"/>
      <c r="AL979" s="2210"/>
      <c r="AM979" s="2210"/>
      <c r="AN979" s="2210"/>
      <c r="AO979" s="2210"/>
      <c r="AP979" s="2210"/>
      <c r="AQ979" s="221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3"/>
      <c r="C980" s="1474"/>
      <c r="D980" s="2194"/>
      <c r="E980" s="2195"/>
      <c r="F980" s="2195"/>
      <c r="G980" s="2195"/>
      <c r="H980" s="2195"/>
      <c r="I980" s="2195"/>
      <c r="J980" s="2195"/>
      <c r="K980" s="2195"/>
      <c r="L980" s="2195"/>
      <c r="M980" s="2195"/>
      <c r="N980" s="2195"/>
      <c r="O980" s="2195"/>
      <c r="P980" s="2195"/>
      <c r="Q980" s="2195"/>
      <c r="R980" s="2195"/>
      <c r="S980" s="2195"/>
      <c r="T980" s="2195"/>
      <c r="U980" s="2195"/>
      <c r="V980" s="2195"/>
      <c r="W980" s="2195"/>
      <c r="X980" s="2195"/>
      <c r="Y980" s="2195"/>
      <c r="Z980" s="2195"/>
      <c r="AA980" s="2195"/>
      <c r="AB980" s="2195"/>
      <c r="AC980" s="2195"/>
      <c r="AD980" s="2195"/>
      <c r="AE980" s="2196"/>
      <c r="AF980" s="2215"/>
      <c r="AG980" s="2216"/>
      <c r="AH980" s="2216"/>
      <c r="AI980" s="2217"/>
      <c r="AJ980" s="2209"/>
      <c r="AK980" s="2210"/>
      <c r="AL980" s="2210"/>
      <c r="AM980" s="2210"/>
      <c r="AN980" s="2210"/>
      <c r="AO980" s="2210"/>
      <c r="AP980" s="2210"/>
      <c r="AQ980" s="221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3"/>
      <c r="C981" s="1474"/>
      <c r="D981" s="1475" t="s">
        <v>981</v>
      </c>
      <c r="E981" s="141"/>
      <c r="F981" s="141"/>
      <c r="G981" s="646"/>
      <c r="H981" s="646"/>
      <c r="I981" s="95"/>
      <c r="J981" s="2221" t="s">
        <v>136</v>
      </c>
      <c r="K981" s="2222"/>
      <c r="L981" s="2222"/>
      <c r="M981" s="2222"/>
      <c r="N981" s="2222"/>
      <c r="O981" s="2222"/>
      <c r="P981" s="2222"/>
      <c r="Q981" s="2222"/>
      <c r="R981" s="2222"/>
      <c r="S981" s="2222"/>
      <c r="T981" s="2222"/>
      <c r="U981" s="2222"/>
      <c r="V981" s="2222"/>
      <c r="W981" s="2222"/>
      <c r="X981" s="2222"/>
      <c r="Y981" s="2222"/>
      <c r="Z981" s="2222"/>
      <c r="AA981" s="2222"/>
      <c r="AB981" s="2222"/>
      <c r="AC981" s="2222"/>
      <c r="AD981" s="2222"/>
      <c r="AE981" s="2223"/>
      <c r="AF981" s="2218"/>
      <c r="AG981" s="2219"/>
      <c r="AH981" s="2219"/>
      <c r="AI981" s="2220"/>
      <c r="AJ981" s="2212"/>
      <c r="AK981" s="2213"/>
      <c r="AL981" s="2213"/>
      <c r="AM981" s="2213"/>
      <c r="AN981" s="2213"/>
      <c r="AO981" s="2213"/>
      <c r="AP981" s="2213"/>
      <c r="AQ981" s="221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632</v>
      </c>
      <c r="D982" s="1949" t="s">
        <v>2165</v>
      </c>
      <c r="E982" s="1950"/>
      <c r="F982" s="1950"/>
      <c r="G982" s="1950"/>
      <c r="H982" s="1950"/>
      <c r="I982" s="1950"/>
      <c r="J982" s="1950"/>
      <c r="K982" s="1950"/>
      <c r="L982" s="1950"/>
      <c r="M982" s="1950"/>
      <c r="N982" s="1950"/>
      <c r="O982" s="1950"/>
      <c r="P982" s="1950"/>
      <c r="Q982" s="1950"/>
      <c r="R982" s="1950"/>
      <c r="S982" s="1950"/>
      <c r="T982" s="1950"/>
      <c r="U982" s="1950"/>
      <c r="V982" s="1950"/>
      <c r="W982" s="1950"/>
      <c r="X982" s="1950"/>
      <c r="Y982" s="1950"/>
      <c r="Z982" s="1950"/>
      <c r="AA982" s="1950"/>
      <c r="AB982" s="1950"/>
      <c r="AC982" s="1950"/>
      <c r="AD982" s="1950"/>
      <c r="AE982" s="1951"/>
      <c r="AF982" s="128"/>
      <c r="AG982" s="1952" t="s">
        <v>119</v>
      </c>
      <c r="AH982" s="1953"/>
      <c r="AI982" s="131"/>
      <c r="AJ982" s="2206">
        <f>'Sources and Uses Budget'!C84</f>
        <v>451563</v>
      </c>
      <c r="AK982" s="2207"/>
      <c r="AL982" s="2207"/>
      <c r="AM982" s="2207"/>
      <c r="AN982" s="2207"/>
      <c r="AO982" s="2207"/>
      <c r="AP982" s="2207"/>
      <c r="AQ982" s="220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2194" t="s">
        <v>2296</v>
      </c>
      <c r="E983" s="2195"/>
      <c r="F983" s="2195"/>
      <c r="G983" s="2195"/>
      <c r="H983" s="2195"/>
      <c r="I983" s="2195"/>
      <c r="J983" s="2195"/>
      <c r="K983" s="2195"/>
      <c r="L983" s="2195"/>
      <c r="M983" s="2195"/>
      <c r="N983" s="2195"/>
      <c r="O983" s="2195"/>
      <c r="P983" s="2195"/>
      <c r="Q983" s="2195"/>
      <c r="R983" s="2195"/>
      <c r="S983" s="2195"/>
      <c r="T983" s="2195"/>
      <c r="U983" s="2195"/>
      <c r="V983" s="2195"/>
      <c r="W983" s="2195"/>
      <c r="X983" s="2195"/>
      <c r="Y983" s="2195"/>
      <c r="Z983" s="2195"/>
      <c r="AA983" s="2195"/>
      <c r="AB983" s="2195"/>
      <c r="AC983" s="2195"/>
      <c r="AD983" s="2195"/>
      <c r="AE983" s="2196"/>
      <c r="AF983" s="2236" t="str">
        <f>IF(AG982="yes","Please Enter Amount:",0)</f>
        <v>Please Enter Amount:</v>
      </c>
      <c r="AG983" s="2237"/>
      <c r="AH983" s="2237"/>
      <c r="AI983" s="2238"/>
      <c r="AJ983" s="2209"/>
      <c r="AK983" s="2210"/>
      <c r="AL983" s="2210"/>
      <c r="AM983" s="2210"/>
      <c r="AN983" s="2210"/>
      <c r="AO983" s="2210"/>
      <c r="AP983" s="2210"/>
      <c r="AQ983" s="221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4"/>
      <c r="D984" s="2194"/>
      <c r="E984" s="2195"/>
      <c r="F984" s="2195"/>
      <c r="G984" s="2195"/>
      <c r="H984" s="2195"/>
      <c r="I984" s="2195"/>
      <c r="J984" s="2195"/>
      <c r="K984" s="2195"/>
      <c r="L984" s="2195"/>
      <c r="M984" s="2195"/>
      <c r="N984" s="2195"/>
      <c r="O984" s="2195"/>
      <c r="P984" s="2195"/>
      <c r="Q984" s="2195"/>
      <c r="R984" s="2195"/>
      <c r="S984" s="2195"/>
      <c r="T984" s="2195"/>
      <c r="U984" s="2195"/>
      <c r="V984" s="2195"/>
      <c r="W984" s="2195"/>
      <c r="X984" s="2195"/>
      <c r="Y984" s="2195"/>
      <c r="Z984" s="2195"/>
      <c r="AA984" s="2195"/>
      <c r="AB984" s="2195"/>
      <c r="AC984" s="2195"/>
      <c r="AD984" s="2195"/>
      <c r="AE984" s="2196"/>
      <c r="AF984" s="2236"/>
      <c r="AG984" s="2237"/>
      <c r="AH984" s="2237"/>
      <c r="AI984" s="2238"/>
      <c r="AJ984" s="2209"/>
      <c r="AK984" s="2210"/>
      <c r="AL984" s="2210"/>
      <c r="AM984" s="2210"/>
      <c r="AN984" s="2210"/>
      <c r="AO984" s="2210"/>
      <c r="AP984" s="2210"/>
      <c r="AQ984" s="221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2"/>
      <c r="C985" s="1474"/>
      <c r="D985" s="1957"/>
      <c r="E985" s="1958"/>
      <c r="F985" s="1958"/>
      <c r="G985" s="1958"/>
      <c r="H985" s="1958"/>
      <c r="I985" s="1958"/>
      <c r="J985" s="1958"/>
      <c r="K985" s="1958"/>
      <c r="L985" s="1958"/>
      <c r="M985" s="1958"/>
      <c r="N985" s="1958"/>
      <c r="O985" s="1958"/>
      <c r="P985" s="1958"/>
      <c r="Q985" s="1958"/>
      <c r="R985" s="1958"/>
      <c r="S985" s="1958"/>
      <c r="T985" s="1958"/>
      <c r="U985" s="1958"/>
      <c r="V985" s="1958"/>
      <c r="W985" s="1958"/>
      <c r="X985" s="1958"/>
      <c r="Y985" s="1958"/>
      <c r="Z985" s="1958"/>
      <c r="AA985" s="1958"/>
      <c r="AB985" s="1958"/>
      <c r="AC985" s="1958"/>
      <c r="AD985" s="1958"/>
      <c r="AE985" s="1959"/>
      <c r="AF985" s="2239"/>
      <c r="AG985" s="2240"/>
      <c r="AH985" s="2240"/>
      <c r="AI985" s="2241"/>
      <c r="AJ985" s="2212"/>
      <c r="AK985" s="2213"/>
      <c r="AL985" s="2213"/>
      <c r="AM985" s="2213"/>
      <c r="AN985" s="2213"/>
      <c r="AO985" s="2213"/>
      <c r="AP985" s="2213"/>
      <c r="AQ985" s="2214"/>
    </row>
    <row r="986" spans="1:97" ht="12.75" customHeight="1">
      <c r="A986" s="65"/>
      <c r="B986" s="128"/>
      <c r="C986" s="883" t="s">
        <v>637</v>
      </c>
      <c r="D986" s="1765" t="s">
        <v>2166</v>
      </c>
      <c r="E986" s="1766"/>
      <c r="F986" s="1766"/>
      <c r="G986" s="1766"/>
      <c r="H986" s="1766"/>
      <c r="I986" s="1766"/>
      <c r="J986" s="1766"/>
      <c r="K986" s="1766"/>
      <c r="L986" s="1766"/>
      <c r="M986" s="1766"/>
      <c r="N986" s="1766"/>
      <c r="O986" s="1766"/>
      <c r="P986" s="1766"/>
      <c r="Q986" s="1766"/>
      <c r="R986" s="1766"/>
      <c r="S986" s="1766"/>
      <c r="T986" s="1766"/>
      <c r="U986" s="1766"/>
      <c r="V986" s="1766"/>
      <c r="W986" s="1766"/>
      <c r="X986" s="1766"/>
      <c r="Y986" s="1766"/>
      <c r="Z986" s="1766"/>
      <c r="AA986" s="1766"/>
      <c r="AB986" s="1766"/>
      <c r="AC986" s="1766"/>
      <c r="AD986" s="1766"/>
      <c r="AE986" s="1767"/>
      <c r="AF986" s="128"/>
      <c r="AG986" s="1952" t="s">
        <v>119</v>
      </c>
      <c r="AH986" s="1953"/>
      <c r="AI986" s="131"/>
      <c r="AJ986" s="1770">
        <f>ROUND(IF(AG986="yes",(AJ953*0.1),0),0)</f>
        <v>1794188</v>
      </c>
      <c r="AK986" s="1771"/>
      <c r="AL986" s="1771"/>
      <c r="AM986" s="1771"/>
      <c r="AN986" s="1771"/>
      <c r="AO986" s="1771"/>
      <c r="AP986" s="1771"/>
      <c r="AQ986" s="1772"/>
    </row>
    <row r="987" spans="1:97" ht="12.75" customHeight="1">
      <c r="A987" s="65"/>
      <c r="B987" s="124"/>
      <c r="C987" s="884"/>
      <c r="D987" s="2194" t="s">
        <v>2167</v>
      </c>
      <c r="E987" s="2195"/>
      <c r="F987" s="2195"/>
      <c r="G987" s="2195"/>
      <c r="H987" s="2195"/>
      <c r="I987" s="2195"/>
      <c r="J987" s="2195"/>
      <c r="K987" s="2195"/>
      <c r="L987" s="2195"/>
      <c r="M987" s="2195"/>
      <c r="N987" s="2195"/>
      <c r="O987" s="2195"/>
      <c r="P987" s="2195"/>
      <c r="Q987" s="2195"/>
      <c r="R987" s="2195"/>
      <c r="S987" s="2195"/>
      <c r="T987" s="2195"/>
      <c r="U987" s="2195"/>
      <c r="V987" s="2195"/>
      <c r="W987" s="2195"/>
      <c r="X987" s="2195"/>
      <c r="Y987" s="2195"/>
      <c r="Z987" s="2195"/>
      <c r="AA987" s="2195"/>
      <c r="AB987" s="2195"/>
      <c r="AC987" s="2195"/>
      <c r="AD987" s="2195"/>
      <c r="AE987" s="2196"/>
      <c r="AF987" s="124"/>
      <c r="AG987" s="125"/>
      <c r="AH987" s="125"/>
      <c r="AI987" s="129"/>
      <c r="AJ987" s="1773"/>
      <c r="AK987" s="1774"/>
      <c r="AL987" s="1774"/>
      <c r="AM987" s="1774"/>
      <c r="AN987" s="1774"/>
      <c r="AO987" s="1774"/>
      <c r="AP987" s="1774"/>
      <c r="AQ987" s="1775"/>
    </row>
    <row r="988" spans="1:97" ht="12.75" customHeight="1">
      <c r="A988" s="882"/>
      <c r="B988" s="126"/>
      <c r="C988" s="884"/>
      <c r="D988" s="1957"/>
      <c r="E988" s="1958"/>
      <c r="F988" s="1958"/>
      <c r="G988" s="1958"/>
      <c r="H988" s="1958"/>
      <c r="I988" s="1958"/>
      <c r="J988" s="1958"/>
      <c r="K988" s="1958"/>
      <c r="L988" s="1958"/>
      <c r="M988" s="1958"/>
      <c r="N988" s="1958"/>
      <c r="O988" s="1958"/>
      <c r="P988" s="1958"/>
      <c r="Q988" s="1958"/>
      <c r="R988" s="1958"/>
      <c r="S988" s="1958"/>
      <c r="T988" s="1958"/>
      <c r="U988" s="1958"/>
      <c r="V988" s="1958"/>
      <c r="W988" s="1958"/>
      <c r="X988" s="1958"/>
      <c r="Y988" s="1958"/>
      <c r="Z988" s="1958"/>
      <c r="AA988" s="1958"/>
      <c r="AB988" s="1958"/>
      <c r="AC988" s="1958"/>
      <c r="AD988" s="1958"/>
      <c r="AE988" s="1959"/>
      <c r="AF988" s="124"/>
      <c r="AG988" s="125"/>
      <c r="AH988" s="125"/>
      <c r="AI988" s="129"/>
      <c r="AJ988" s="1954"/>
      <c r="AK988" s="1955"/>
      <c r="AL988" s="1955"/>
      <c r="AM988" s="1955"/>
      <c r="AN988" s="1955"/>
      <c r="AO988" s="1955"/>
      <c r="AP988" s="1955"/>
      <c r="AQ988" s="1956"/>
    </row>
    <row r="989" spans="1:97" ht="17.75" customHeight="1">
      <c r="A989" s="882"/>
      <c r="B989" s="124"/>
      <c r="C989" s="883" t="s">
        <v>640</v>
      </c>
      <c r="D989" s="1949" t="s">
        <v>2297</v>
      </c>
      <c r="E989" s="1950"/>
      <c r="F989" s="1950"/>
      <c r="G989" s="1950"/>
      <c r="H989" s="1950"/>
      <c r="I989" s="1950"/>
      <c r="J989" s="1950"/>
      <c r="K989" s="1950"/>
      <c r="L989" s="1950"/>
      <c r="M989" s="1950"/>
      <c r="N989" s="1950"/>
      <c r="O989" s="1950"/>
      <c r="P989" s="1950"/>
      <c r="Q989" s="1950"/>
      <c r="R989" s="1950"/>
      <c r="S989" s="1950"/>
      <c r="T989" s="1950"/>
      <c r="U989" s="1950"/>
      <c r="V989" s="1950"/>
      <c r="W989" s="1950"/>
      <c r="X989" s="1950"/>
      <c r="Y989" s="1950"/>
      <c r="Z989" s="1950"/>
      <c r="AA989" s="1950"/>
      <c r="AB989" s="1950"/>
      <c r="AC989" s="1950"/>
      <c r="AD989" s="1950"/>
      <c r="AE989" s="1951"/>
      <c r="AF989" s="128"/>
      <c r="AG989" s="1952" t="s">
        <v>531</v>
      </c>
      <c r="AH989" s="1953"/>
      <c r="AI989" s="131"/>
      <c r="AJ989" s="1770">
        <f>ROUND(IF(AG989="yes",(AJ953*0.15),0),0)</f>
        <v>0</v>
      </c>
      <c r="AK989" s="1771"/>
      <c r="AL989" s="1771"/>
      <c r="AM989" s="1771"/>
      <c r="AN989" s="1771"/>
      <c r="AO989" s="1771"/>
      <c r="AP989" s="1771"/>
      <c r="AQ989" s="1772"/>
    </row>
    <row r="990" spans="1:97" ht="12.75" customHeight="1">
      <c r="A990" s="882"/>
      <c r="B990" s="124"/>
      <c r="C990" s="884"/>
      <c r="D990" s="1776" t="s">
        <v>2298</v>
      </c>
      <c r="E990" s="1563"/>
      <c r="F990" s="1563"/>
      <c r="G990" s="1563"/>
      <c r="H990" s="1563"/>
      <c r="I990" s="1563"/>
      <c r="J990" s="1563"/>
      <c r="K990" s="1563"/>
      <c r="L990" s="1563"/>
      <c r="M990" s="1563"/>
      <c r="N990" s="1563"/>
      <c r="O990" s="1563"/>
      <c r="P990" s="1563"/>
      <c r="Q990" s="1563"/>
      <c r="R990" s="1563"/>
      <c r="S990" s="1563"/>
      <c r="T990" s="1563"/>
      <c r="U990" s="1563"/>
      <c r="V990" s="1563"/>
      <c r="W990" s="1563"/>
      <c r="X990" s="1563"/>
      <c r="Y990" s="1563"/>
      <c r="Z990" s="1563"/>
      <c r="AA990" s="1563"/>
      <c r="AB990" s="1563"/>
      <c r="AC990" s="1563"/>
      <c r="AD990" s="1563"/>
      <c r="AE990" s="1777"/>
      <c r="AF990" s="1476"/>
      <c r="AG990" s="1477"/>
      <c r="AH990" s="1477"/>
      <c r="AI990" s="1478"/>
      <c r="AJ990" s="1773"/>
      <c r="AK990" s="1774"/>
      <c r="AL990" s="1774"/>
      <c r="AM990" s="1774"/>
      <c r="AN990" s="1774"/>
      <c r="AO990" s="1774"/>
      <c r="AP990" s="1774"/>
      <c r="AQ990" s="17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1776"/>
      <c r="E991" s="1563"/>
      <c r="F991" s="1563"/>
      <c r="G991" s="1563"/>
      <c r="H991" s="1563"/>
      <c r="I991" s="1563"/>
      <c r="J991" s="1563"/>
      <c r="K991" s="1563"/>
      <c r="L991" s="1563"/>
      <c r="M991" s="1563"/>
      <c r="N991" s="1563"/>
      <c r="O991" s="1563"/>
      <c r="P991" s="1563"/>
      <c r="Q991" s="1563"/>
      <c r="R991" s="1563"/>
      <c r="S991" s="1563"/>
      <c r="T991" s="1563"/>
      <c r="U991" s="1563"/>
      <c r="V991" s="1563"/>
      <c r="W991" s="1563"/>
      <c r="X991" s="1563"/>
      <c r="Y991" s="1563"/>
      <c r="Z991" s="1563"/>
      <c r="AA991" s="1563"/>
      <c r="AB991" s="1563"/>
      <c r="AC991" s="1563"/>
      <c r="AD991" s="1563"/>
      <c r="AE991" s="1777"/>
      <c r="AF991" s="1476"/>
      <c r="AG991" s="1477"/>
      <c r="AH991" s="1477"/>
      <c r="AI991" s="1478"/>
      <c r="AJ991" s="1773"/>
      <c r="AK991" s="1774"/>
      <c r="AL991" s="1774"/>
      <c r="AM991" s="1774"/>
      <c r="AN991" s="1774"/>
      <c r="AO991" s="1774"/>
      <c r="AP991" s="1774"/>
      <c r="AQ991" s="17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1778"/>
      <c r="E992" s="1779"/>
      <c r="F992" s="1779"/>
      <c r="G992" s="1779"/>
      <c r="H992" s="1779"/>
      <c r="I992" s="1779"/>
      <c r="J992" s="1779"/>
      <c r="K992" s="1779"/>
      <c r="L992" s="1779"/>
      <c r="M992" s="1779"/>
      <c r="N992" s="1779"/>
      <c r="O992" s="1779"/>
      <c r="P992" s="1779"/>
      <c r="Q992" s="1779"/>
      <c r="R992" s="1779"/>
      <c r="S992" s="1779"/>
      <c r="T992" s="1779"/>
      <c r="U992" s="1779"/>
      <c r="V992" s="1779"/>
      <c r="W992" s="1779"/>
      <c r="X992" s="1779"/>
      <c r="Y992" s="1779"/>
      <c r="Z992" s="1779"/>
      <c r="AA992" s="1779"/>
      <c r="AB992" s="1779"/>
      <c r="AC992" s="1779"/>
      <c r="AD992" s="1779"/>
      <c r="AE992" s="1780"/>
      <c r="AF992" s="1479"/>
      <c r="AG992" s="1480"/>
      <c r="AH992" s="1480"/>
      <c r="AI992" s="1481"/>
      <c r="AJ992" s="1954"/>
      <c r="AK992" s="1955"/>
      <c r="AL992" s="1955"/>
      <c r="AM992" s="1955"/>
      <c r="AN992" s="1955"/>
      <c r="AO992" s="1955"/>
      <c r="AP992" s="1955"/>
      <c r="AQ992" s="195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640</v>
      </c>
      <c r="D993" s="1765" t="s">
        <v>2299</v>
      </c>
      <c r="E993" s="1766"/>
      <c r="F993" s="1766"/>
      <c r="G993" s="1766"/>
      <c r="H993" s="1766"/>
      <c r="I993" s="1766"/>
      <c r="J993" s="1766"/>
      <c r="K993" s="1766"/>
      <c r="L993" s="1766"/>
      <c r="M993" s="1766"/>
      <c r="N993" s="1766"/>
      <c r="O993" s="1766"/>
      <c r="P993" s="1766"/>
      <c r="Q993" s="1766"/>
      <c r="R993" s="1766"/>
      <c r="S993" s="1766"/>
      <c r="T993" s="1766"/>
      <c r="U993" s="1766"/>
      <c r="V993" s="1766"/>
      <c r="W993" s="1766"/>
      <c r="X993" s="1766"/>
      <c r="Y993" s="1766"/>
      <c r="Z993" s="1766"/>
      <c r="AA993" s="1766"/>
      <c r="AB993" s="1766"/>
      <c r="AC993" s="1766"/>
      <c r="AD993" s="1766"/>
      <c r="AE993" s="1767"/>
      <c r="AF993" s="124"/>
      <c r="AG993" s="1768" t="s">
        <v>531</v>
      </c>
      <c r="AH993" s="1769"/>
      <c r="AI993" s="129"/>
      <c r="AJ993" s="1770">
        <f>ROUND(IF(AG993="yes",(AJ953*0.1),0),0)</f>
        <v>0</v>
      </c>
      <c r="AK993" s="1771"/>
      <c r="AL993" s="1771"/>
      <c r="AM993" s="1771"/>
      <c r="AN993" s="1771"/>
      <c r="AO993" s="1771"/>
      <c r="AP993" s="1771"/>
      <c r="AQ993" s="177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1776" t="s">
        <v>2300</v>
      </c>
      <c r="E994" s="1563"/>
      <c r="F994" s="1563"/>
      <c r="G994" s="1563"/>
      <c r="H994" s="1563"/>
      <c r="I994" s="1563"/>
      <c r="J994" s="1563"/>
      <c r="K994" s="1563"/>
      <c r="L994" s="1563"/>
      <c r="M994" s="1563"/>
      <c r="N994" s="1563"/>
      <c r="O994" s="1563"/>
      <c r="P994" s="1563"/>
      <c r="Q994" s="1563"/>
      <c r="R994" s="1563"/>
      <c r="S994" s="1563"/>
      <c r="T994" s="1563"/>
      <c r="U994" s="1563"/>
      <c r="V994" s="1563"/>
      <c r="W994" s="1563"/>
      <c r="X994" s="1563"/>
      <c r="Y994" s="1563"/>
      <c r="Z994" s="1563"/>
      <c r="AA994" s="1563"/>
      <c r="AB994" s="1563"/>
      <c r="AC994" s="1563"/>
      <c r="AD994" s="1563"/>
      <c r="AE994" s="1777"/>
      <c r="AF994" s="124"/>
      <c r="AG994" s="125"/>
      <c r="AH994" s="125"/>
      <c r="AI994" s="129"/>
      <c r="AJ994" s="1773"/>
      <c r="AK994" s="1774"/>
      <c r="AL994" s="1774"/>
      <c r="AM994" s="1774"/>
      <c r="AN994" s="1774"/>
      <c r="AO994" s="1774"/>
      <c r="AP994" s="1774"/>
      <c r="AQ994" s="1775"/>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1776"/>
      <c r="E995" s="1563"/>
      <c r="F995" s="1563"/>
      <c r="G995" s="1563"/>
      <c r="H995" s="1563"/>
      <c r="I995" s="1563"/>
      <c r="J995" s="1563"/>
      <c r="K995" s="1563"/>
      <c r="L995" s="1563"/>
      <c r="M995" s="1563"/>
      <c r="N995" s="1563"/>
      <c r="O995" s="1563"/>
      <c r="P995" s="1563"/>
      <c r="Q995" s="1563"/>
      <c r="R995" s="1563"/>
      <c r="S995" s="1563"/>
      <c r="T995" s="1563"/>
      <c r="U995" s="1563"/>
      <c r="V995" s="1563"/>
      <c r="W995" s="1563"/>
      <c r="X995" s="1563"/>
      <c r="Y995" s="1563"/>
      <c r="Z995" s="1563"/>
      <c r="AA995" s="1563"/>
      <c r="AB995" s="1563"/>
      <c r="AC995" s="1563"/>
      <c r="AD995" s="1563"/>
      <c r="AE995" s="1777"/>
      <c r="AF995" s="124"/>
      <c r="AG995" s="125"/>
      <c r="AH995" s="125"/>
      <c r="AI995" s="129"/>
      <c r="AJ995" s="1773"/>
      <c r="AK995" s="1774"/>
      <c r="AL995" s="1774"/>
      <c r="AM995" s="1774"/>
      <c r="AN995" s="1774"/>
      <c r="AO995" s="1774"/>
      <c r="AP995" s="1774"/>
      <c r="AQ995" s="1775"/>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1776"/>
      <c r="E996" s="1563"/>
      <c r="F996" s="1563"/>
      <c r="G996" s="1563"/>
      <c r="H996" s="1563"/>
      <c r="I996" s="1563"/>
      <c r="J996" s="1563"/>
      <c r="K996" s="1563"/>
      <c r="L996" s="1563"/>
      <c r="M996" s="1563"/>
      <c r="N996" s="1563"/>
      <c r="O996" s="1563"/>
      <c r="P996" s="1563"/>
      <c r="Q996" s="1563"/>
      <c r="R996" s="1563"/>
      <c r="S996" s="1563"/>
      <c r="T996" s="1563"/>
      <c r="U996" s="1563"/>
      <c r="V996" s="1563"/>
      <c r="W996" s="1563"/>
      <c r="X996" s="1563"/>
      <c r="Y996" s="1563"/>
      <c r="Z996" s="1563"/>
      <c r="AA996" s="1563"/>
      <c r="AB996" s="1563"/>
      <c r="AC996" s="1563"/>
      <c r="AD996" s="1563"/>
      <c r="AE996" s="1777"/>
      <c r="AF996" s="124"/>
      <c r="AG996" s="125"/>
      <c r="AH996" s="125"/>
      <c r="AI996" s="129"/>
      <c r="AJ996" s="1773"/>
      <c r="AK996" s="1774"/>
      <c r="AL996" s="1774"/>
      <c r="AM996" s="1774"/>
      <c r="AN996" s="1774"/>
      <c r="AO996" s="1774"/>
      <c r="AP996" s="1774"/>
      <c r="AQ996" s="1775"/>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1778"/>
      <c r="E997" s="1779"/>
      <c r="F997" s="1779"/>
      <c r="G997" s="1779"/>
      <c r="H997" s="1779"/>
      <c r="I997" s="1779"/>
      <c r="J997" s="1779"/>
      <c r="K997" s="1779"/>
      <c r="L997" s="1779"/>
      <c r="M997" s="1779"/>
      <c r="N997" s="1779"/>
      <c r="O997" s="1779"/>
      <c r="P997" s="1779"/>
      <c r="Q997" s="1779"/>
      <c r="R997" s="1779"/>
      <c r="S997" s="1779"/>
      <c r="T997" s="1779"/>
      <c r="U997" s="1779"/>
      <c r="V997" s="1779"/>
      <c r="W997" s="1779"/>
      <c r="X997" s="1779"/>
      <c r="Y997" s="1779"/>
      <c r="Z997" s="1779"/>
      <c r="AA997" s="1779"/>
      <c r="AB997" s="1779"/>
      <c r="AC997" s="1779"/>
      <c r="AD997" s="1779"/>
      <c r="AE997" s="1780"/>
      <c r="AF997" s="124"/>
      <c r="AG997" s="125"/>
      <c r="AH997" s="125"/>
      <c r="AI997" s="129"/>
      <c r="AJ997" s="1773"/>
      <c r="AK997" s="1774"/>
      <c r="AL997" s="1774"/>
      <c r="AM997" s="1774"/>
      <c r="AN997" s="1774"/>
      <c r="AO997" s="1774"/>
      <c r="AP997" s="1774"/>
      <c r="AQ997" s="1775"/>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82" t="s">
        <v>2301</v>
      </c>
      <c r="D998" s="1949" t="s">
        <v>2168</v>
      </c>
      <c r="E998" s="1950"/>
      <c r="F998" s="1950"/>
      <c r="G998" s="1950"/>
      <c r="H998" s="1950"/>
      <c r="I998" s="1950"/>
      <c r="J998" s="1950"/>
      <c r="K998" s="1950"/>
      <c r="L998" s="1950"/>
      <c r="M998" s="1950"/>
      <c r="N998" s="1950"/>
      <c r="O998" s="1950"/>
      <c r="P998" s="1950"/>
      <c r="Q998" s="1950"/>
      <c r="R998" s="1950"/>
      <c r="S998" s="1950"/>
      <c r="T998" s="1950"/>
      <c r="U998" s="1950"/>
      <c r="V998" s="1950"/>
      <c r="W998" s="1950"/>
      <c r="X998" s="1950"/>
      <c r="Y998" s="1950"/>
      <c r="Z998" s="1950"/>
      <c r="AA998" s="1950"/>
      <c r="AB998" s="1950"/>
      <c r="AC998" s="1950"/>
      <c r="AD998" s="1950"/>
      <c r="AE998" s="1951"/>
      <c r="AF998" s="128"/>
      <c r="AG998" s="1952" t="s">
        <v>531</v>
      </c>
      <c r="AH998" s="1953"/>
      <c r="AI998" s="131"/>
      <c r="AJ998" s="1770">
        <f>ROUND(IF(AG998="yes",(AJ953*0.1),0),0)</f>
        <v>0</v>
      </c>
      <c r="AK998" s="1771"/>
      <c r="AL998" s="1771"/>
      <c r="AM998" s="1771"/>
      <c r="AN998" s="1771"/>
      <c r="AO998" s="1771"/>
      <c r="AP998" s="1771"/>
      <c r="AQ998" s="1772"/>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2194" t="s">
        <v>2302</v>
      </c>
      <c r="E999" s="2195"/>
      <c r="F999" s="2195"/>
      <c r="G999" s="2195"/>
      <c r="H999" s="2195"/>
      <c r="I999" s="2195"/>
      <c r="J999" s="2195"/>
      <c r="K999" s="2195"/>
      <c r="L999" s="2195"/>
      <c r="M999" s="2195"/>
      <c r="N999" s="2195"/>
      <c r="O999" s="2195"/>
      <c r="P999" s="2195"/>
      <c r="Q999" s="2195"/>
      <c r="R999" s="2195"/>
      <c r="S999" s="2195"/>
      <c r="T999" s="2195"/>
      <c r="U999" s="2195"/>
      <c r="V999" s="2195"/>
      <c r="W999" s="2195"/>
      <c r="X999" s="2195"/>
      <c r="Y999" s="2195"/>
      <c r="Z999" s="2195"/>
      <c r="AA999" s="2195"/>
      <c r="AB999" s="2195"/>
      <c r="AC999" s="2195"/>
      <c r="AD999" s="2195"/>
      <c r="AE999" s="2196"/>
      <c r="AF999" s="124"/>
      <c r="AG999" s="125"/>
      <c r="AH999" s="125"/>
      <c r="AI999" s="129"/>
      <c r="AJ999" s="1773"/>
      <c r="AK999" s="1774"/>
      <c r="AL999" s="1774"/>
      <c r="AM999" s="1774"/>
      <c r="AN999" s="1774"/>
      <c r="AO999" s="1774"/>
      <c r="AP999" s="1774"/>
      <c r="AQ999" s="1775"/>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2194"/>
      <c r="E1000" s="2195"/>
      <c r="F1000" s="2195"/>
      <c r="G1000" s="2195"/>
      <c r="H1000" s="2195"/>
      <c r="I1000" s="2195"/>
      <c r="J1000" s="2195"/>
      <c r="K1000" s="2195"/>
      <c r="L1000" s="2195"/>
      <c r="M1000" s="2195"/>
      <c r="N1000" s="2195"/>
      <c r="O1000" s="2195"/>
      <c r="P1000" s="2195"/>
      <c r="Q1000" s="2195"/>
      <c r="R1000" s="2195"/>
      <c r="S1000" s="2195"/>
      <c r="T1000" s="2195"/>
      <c r="U1000" s="2195"/>
      <c r="V1000" s="2195"/>
      <c r="W1000" s="2195"/>
      <c r="X1000" s="2195"/>
      <c r="Y1000" s="2195"/>
      <c r="Z1000" s="2195"/>
      <c r="AA1000" s="2195"/>
      <c r="AB1000" s="2195"/>
      <c r="AC1000" s="2195"/>
      <c r="AD1000" s="2195"/>
      <c r="AE1000" s="2196"/>
      <c r="AF1000" s="124"/>
      <c r="AG1000" s="125"/>
      <c r="AH1000" s="125"/>
      <c r="AI1000" s="129"/>
      <c r="AJ1000" s="1773"/>
      <c r="AK1000" s="1774"/>
      <c r="AL1000" s="1774"/>
      <c r="AM1000" s="1774"/>
      <c r="AN1000" s="1774"/>
      <c r="AO1000" s="1774"/>
      <c r="AP1000" s="1774"/>
      <c r="AQ1000" s="1775"/>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957"/>
      <c r="E1001" s="1958"/>
      <c r="F1001" s="1958"/>
      <c r="G1001" s="1958"/>
      <c r="H1001" s="1958"/>
      <c r="I1001" s="1958"/>
      <c r="J1001" s="1958"/>
      <c r="K1001" s="1958"/>
      <c r="L1001" s="1958"/>
      <c r="M1001" s="1958"/>
      <c r="N1001" s="1958"/>
      <c r="O1001" s="1958"/>
      <c r="P1001" s="1958"/>
      <c r="Q1001" s="1958"/>
      <c r="R1001" s="1958"/>
      <c r="S1001" s="1958"/>
      <c r="T1001" s="1958"/>
      <c r="U1001" s="1958"/>
      <c r="V1001" s="1958"/>
      <c r="W1001" s="1958"/>
      <c r="X1001" s="1958"/>
      <c r="Y1001" s="1958"/>
      <c r="Z1001" s="1958"/>
      <c r="AA1001" s="1958"/>
      <c r="AB1001" s="1958"/>
      <c r="AC1001" s="1958"/>
      <c r="AD1001" s="1958"/>
      <c r="AE1001" s="1959"/>
      <c r="AF1001" s="124"/>
      <c r="AG1001" s="125"/>
      <c r="AH1001" s="125"/>
      <c r="AI1001" s="129"/>
      <c r="AJ1001" s="1954"/>
      <c r="AK1001" s="1955"/>
      <c r="AL1001" s="1955"/>
      <c r="AM1001" s="1955"/>
      <c r="AN1001" s="1955"/>
      <c r="AO1001" s="1955"/>
      <c r="AP1001" s="1955"/>
      <c r="AQ1001" s="1956"/>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83"/>
      <c r="D1002" s="1760" t="s">
        <v>819</v>
      </c>
      <c r="E1002" s="1760"/>
      <c r="F1002" s="1760"/>
      <c r="G1002" s="1760"/>
      <c r="H1002" s="1760"/>
      <c r="I1002" s="1760"/>
      <c r="J1002" s="1760"/>
      <c r="K1002" s="1760"/>
      <c r="L1002" s="1760"/>
      <c r="M1002" s="1760"/>
      <c r="N1002" s="1760"/>
      <c r="O1002" s="1760"/>
      <c r="P1002" s="1760"/>
      <c r="Q1002" s="1760"/>
      <c r="R1002" s="1760"/>
      <c r="S1002" s="1760"/>
      <c r="T1002" s="1760"/>
      <c r="U1002" s="1760"/>
      <c r="V1002" s="1760"/>
      <c r="W1002" s="1760"/>
      <c r="X1002" s="1760"/>
      <c r="Y1002" s="1760"/>
      <c r="Z1002" s="1760"/>
      <c r="AA1002" s="1760"/>
      <c r="AB1002" s="1760"/>
      <c r="AC1002" s="1760"/>
      <c r="AD1002" s="1760"/>
      <c r="AE1002" s="1760"/>
      <c r="AF1002" s="1760"/>
      <c r="AG1002" s="1760"/>
      <c r="AH1002" s="1760"/>
      <c r="AI1002" s="1761"/>
      <c r="AJ1002" s="1762">
        <f>SUM(AJ953:AQ1001)</f>
        <v>25390776.600000001</v>
      </c>
      <c r="AK1002" s="1763"/>
      <c r="AL1002" s="1763"/>
      <c r="AM1002" s="1763"/>
      <c r="AN1002" s="1763"/>
      <c r="AO1002" s="1763"/>
      <c r="AP1002" s="1763"/>
      <c r="AQ1002" s="1764"/>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43">
        <f>'Sources and Uses Budget'!S106+'Sources and Uses Budget'!T106</f>
        <v>32110281</v>
      </c>
      <c r="Y1006" s="1943"/>
      <c r="Z1006" s="1943"/>
      <c r="AA1006" s="1943"/>
      <c r="AB1006" s="1943"/>
      <c r="AC1006" s="1943"/>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39">
        <f>X1006/AJ1002</f>
        <v>1.2646435162601524</v>
      </c>
      <c r="Y1007" s="1940"/>
      <c r="Z1007" s="1940"/>
      <c r="AA1007" s="1940"/>
      <c r="AB1007" s="1940"/>
      <c r="AC1007" s="1941"/>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4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49"/>
      <c r="F1008" s="1749"/>
      <c r="G1008" s="1749"/>
      <c r="H1008" s="1749"/>
      <c r="I1008" s="1749"/>
      <c r="J1008" s="1749"/>
      <c r="K1008" s="1749"/>
      <c r="L1008" s="1749"/>
      <c r="M1008" s="1749"/>
      <c r="N1008" s="1749"/>
      <c r="O1008" s="1749"/>
      <c r="P1008" s="1749"/>
      <c r="Q1008" s="1749"/>
      <c r="R1008" s="1749"/>
      <c r="S1008" s="1749"/>
      <c r="T1008" s="1749"/>
      <c r="U1008" s="1749"/>
      <c r="V1008" s="1749"/>
      <c r="W1008" s="1749"/>
      <c r="X1008" s="1749"/>
      <c r="Y1008" s="1749"/>
      <c r="Z1008" s="1749"/>
      <c r="AA1008" s="1749"/>
      <c r="AB1008" s="1749"/>
      <c r="AC1008" s="1749"/>
      <c r="AD1008" s="1749"/>
      <c r="AE1008" s="1749"/>
      <c r="AF1008" s="1749"/>
      <c r="AG1008" s="1749"/>
      <c r="AH1008" s="1749"/>
      <c r="AI1008" s="1749"/>
      <c r="AJ1008" s="1749"/>
      <c r="AK1008" s="174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49"/>
      <c r="E1009" s="1749"/>
      <c r="F1009" s="1749"/>
      <c r="G1009" s="1749"/>
      <c r="H1009" s="1749"/>
      <c r="I1009" s="1749"/>
      <c r="J1009" s="1749"/>
      <c r="K1009" s="1749"/>
      <c r="L1009" s="1749"/>
      <c r="M1009" s="1749"/>
      <c r="N1009" s="1749"/>
      <c r="O1009" s="1749"/>
      <c r="P1009" s="1749"/>
      <c r="Q1009" s="1749"/>
      <c r="R1009" s="1749"/>
      <c r="S1009" s="1749"/>
      <c r="T1009" s="1749"/>
      <c r="U1009" s="1749"/>
      <c r="V1009" s="1749"/>
      <c r="W1009" s="1749"/>
      <c r="X1009" s="1749"/>
      <c r="Y1009" s="1749"/>
      <c r="Z1009" s="1749"/>
      <c r="AA1009" s="1749"/>
      <c r="AB1009" s="1749"/>
      <c r="AC1009" s="1749"/>
      <c r="AD1009" s="1749"/>
      <c r="AE1009" s="1749"/>
      <c r="AF1009" s="1749"/>
      <c r="AG1009" s="1749"/>
      <c r="AH1009" s="1749"/>
      <c r="AI1009" s="1749"/>
      <c r="AJ1009" s="1749"/>
      <c r="AK1009" s="174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49"/>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49"/>
      <c r="AF1010" s="1749"/>
      <c r="AG1010" s="1749"/>
      <c r="AH1010" s="1749"/>
      <c r="AI1010" s="1749"/>
      <c r="AJ1010" s="1749"/>
      <c r="AK1010" s="174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4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42"/>
      <c r="D1011" s="1942"/>
      <c r="E1011" s="1942"/>
      <c r="F1011" s="1942"/>
      <c r="G1011" s="1942"/>
      <c r="H1011" s="1942"/>
      <c r="I1011" s="1942"/>
      <c r="J1011" s="1942"/>
      <c r="K1011" s="1942"/>
      <c r="L1011" s="1942"/>
      <c r="M1011" s="1942"/>
      <c r="N1011" s="1942"/>
      <c r="O1011" s="1942"/>
      <c r="P1011" s="1942"/>
      <c r="Q1011" s="1942"/>
      <c r="R1011" s="1942"/>
      <c r="S1011" s="1942"/>
      <c r="T1011" s="1942"/>
      <c r="U1011" s="1942"/>
      <c r="V1011" s="1942"/>
      <c r="W1011" s="1942"/>
      <c r="X1011" s="1942"/>
      <c r="Y1011" s="1942"/>
      <c r="Z1011" s="1942"/>
      <c r="AA1011" s="1942"/>
      <c r="AB1011" s="1942"/>
      <c r="AC1011" s="1942"/>
      <c r="AD1011" s="1942"/>
      <c r="AE1011" s="1942"/>
      <c r="AF1011" s="1942"/>
      <c r="AG1011" s="1942"/>
      <c r="AH1011" s="1942"/>
      <c r="AI1011" s="1942"/>
      <c r="AJ1011" s="1942"/>
      <c r="AK1011" s="194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1942"/>
      <c r="C1012" s="1942"/>
      <c r="D1012" s="1942"/>
      <c r="E1012" s="1942"/>
      <c r="F1012" s="1942"/>
      <c r="G1012" s="1942"/>
      <c r="H1012" s="1942"/>
      <c r="I1012" s="1942"/>
      <c r="J1012" s="1942"/>
      <c r="K1012" s="1942"/>
      <c r="L1012" s="1942"/>
      <c r="M1012" s="1942"/>
      <c r="N1012" s="1942"/>
      <c r="O1012" s="1942"/>
      <c r="P1012" s="1942"/>
      <c r="Q1012" s="1942"/>
      <c r="R1012" s="1942"/>
      <c r="S1012" s="1942"/>
      <c r="T1012" s="1942"/>
      <c r="U1012" s="1942"/>
      <c r="V1012" s="1942"/>
      <c r="W1012" s="1942"/>
      <c r="X1012" s="1942"/>
      <c r="Y1012" s="1942"/>
      <c r="Z1012" s="1942"/>
      <c r="AA1012" s="1942"/>
      <c r="AB1012" s="1942"/>
      <c r="AC1012" s="1942"/>
      <c r="AD1012" s="1942"/>
      <c r="AE1012" s="1942"/>
      <c r="AF1012" s="1942"/>
      <c r="AG1012" s="1942"/>
      <c r="AH1012" s="1942"/>
      <c r="AI1012" s="1942"/>
      <c r="AJ1012" s="1942"/>
      <c r="AK1012" s="194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42">
        <f>IF(ISNA(IF((AD975&gt;(AD953*0.15)),"(f) cannot be greater than 15% of unadjusted eligible basis.",0)),"",(IF((AD975&gt;(AD953*0.15)),"(f) cannot be greater than 15% of unadjusted eligible basis.",0)))</f>
        <v>0</v>
      </c>
      <c r="C1013" s="1942"/>
      <c r="D1013" s="1942"/>
      <c r="E1013" s="1942"/>
      <c r="F1013" s="1942"/>
      <c r="G1013" s="1942"/>
      <c r="H1013" s="1942"/>
      <c r="I1013" s="1942"/>
      <c r="J1013" s="1942"/>
      <c r="K1013" s="1942"/>
      <c r="L1013" s="1942"/>
      <c r="M1013" s="1942"/>
      <c r="N1013" s="1942"/>
      <c r="O1013" s="1942"/>
      <c r="P1013" s="1942"/>
      <c r="Q1013" s="1942"/>
      <c r="R1013" s="1942"/>
      <c r="S1013" s="1942"/>
      <c r="T1013" s="1942"/>
      <c r="U1013" s="1942"/>
      <c r="V1013" s="1942"/>
      <c r="W1013" s="1942"/>
      <c r="X1013" s="1942"/>
      <c r="Y1013" s="1942"/>
      <c r="Z1013" s="1942"/>
      <c r="AA1013" s="1942"/>
      <c r="AB1013" s="1942"/>
      <c r="AC1013" s="1942"/>
      <c r="AD1013" s="1942"/>
      <c r="AE1013" s="1942"/>
      <c r="AF1013" s="1942"/>
      <c r="AG1013" s="1942"/>
      <c r="AH1013" s="1942"/>
      <c r="AI1013" s="1942"/>
      <c r="AJ1013" s="1942"/>
      <c r="AK1013" s="194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50" t="s">
        <v>1092</v>
      </c>
      <c r="B1014" s="1750"/>
      <c r="C1014" s="1750"/>
      <c r="D1014" s="1750"/>
      <c r="E1014" s="1750"/>
      <c r="F1014" s="1750"/>
      <c r="G1014" s="1750"/>
      <c r="H1014" s="1750"/>
      <c r="I1014" s="1750"/>
      <c r="J1014" s="1750"/>
      <c r="K1014" s="1750"/>
      <c r="L1014" s="1750"/>
      <c r="M1014" s="1750"/>
      <c r="N1014" s="1750"/>
      <c r="O1014" s="1750"/>
      <c r="P1014" s="1750"/>
      <c r="Q1014" s="1750"/>
      <c r="R1014" s="1750"/>
      <c r="S1014" s="1750"/>
      <c r="T1014" s="1750"/>
      <c r="U1014" s="1750"/>
      <c r="V1014" s="1750"/>
      <c r="W1014" s="1750"/>
      <c r="X1014" s="1750"/>
      <c r="Y1014" s="1750"/>
      <c r="Z1014" s="1750"/>
      <c r="AA1014" s="1750"/>
      <c r="AB1014" s="1750"/>
      <c r="AC1014" s="1750"/>
      <c r="AD1014" s="1750"/>
      <c r="AE1014" s="1750"/>
      <c r="AF1014" s="1750"/>
      <c r="AG1014" s="1750"/>
      <c r="AH1014" s="1750"/>
      <c r="AI1014" s="1750"/>
      <c r="AJ1014" s="1750"/>
      <c r="AK1014" s="175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9" t="s">
        <v>119</v>
      </c>
      <c r="B1018" s="1699"/>
      <c r="C1018" s="17">
        <v>1</v>
      </c>
      <c r="D1018" s="1617" t="s">
        <v>1703</v>
      </c>
      <c r="E1018" s="1617"/>
      <c r="F1018" s="1617"/>
      <c r="G1018" s="1617"/>
      <c r="H1018" s="1617"/>
      <c r="I1018" s="1617"/>
      <c r="J1018" s="1617"/>
      <c r="K1018" s="1617"/>
      <c r="L1018" s="1617"/>
      <c r="M1018" s="1617"/>
      <c r="N1018" s="1617"/>
      <c r="O1018" s="1617"/>
      <c r="P1018" s="1617"/>
      <c r="Q1018" s="1617"/>
      <c r="R1018" s="1617"/>
      <c r="S1018" s="1617"/>
      <c r="T1018" s="1617"/>
      <c r="U1018" s="1617"/>
      <c r="V1018" s="1617"/>
      <c r="W1018" s="1617"/>
      <c r="X1018" s="1617"/>
      <c r="Y1018" s="1617"/>
      <c r="Z1018" s="1617"/>
      <c r="AA1018" s="1617"/>
      <c r="AB1018" s="1617"/>
      <c r="AC1018" s="1617"/>
      <c r="AD1018" s="1617"/>
      <c r="AE1018" s="1617"/>
      <c r="AF1018" s="1617"/>
      <c r="AG1018" s="1617"/>
      <c r="AH1018" s="1617"/>
      <c r="AI1018" s="1617"/>
      <c r="AJ1018" s="1617"/>
      <c r="AK1018" s="161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7"/>
      <c r="E1019" s="1617"/>
      <c r="F1019" s="1617"/>
      <c r="G1019" s="1617"/>
      <c r="H1019" s="1617"/>
      <c r="I1019" s="1617"/>
      <c r="J1019" s="1617"/>
      <c r="K1019" s="1617"/>
      <c r="L1019" s="1617"/>
      <c r="M1019" s="1617"/>
      <c r="N1019" s="1617"/>
      <c r="O1019" s="1617"/>
      <c r="P1019" s="1617"/>
      <c r="Q1019" s="1617"/>
      <c r="R1019" s="1617"/>
      <c r="S1019" s="1617"/>
      <c r="T1019" s="1617"/>
      <c r="U1019" s="1617"/>
      <c r="V1019" s="1617"/>
      <c r="W1019" s="1617"/>
      <c r="X1019" s="1617"/>
      <c r="Y1019" s="1617"/>
      <c r="Z1019" s="1617"/>
      <c r="AA1019" s="1617"/>
      <c r="AB1019" s="1617"/>
      <c r="AC1019" s="1617"/>
      <c r="AD1019" s="1617"/>
      <c r="AE1019" s="1617"/>
      <c r="AF1019" s="1617"/>
      <c r="AG1019" s="1617"/>
      <c r="AH1019" s="1617"/>
      <c r="AI1019" s="1617"/>
      <c r="AJ1019" s="1617"/>
      <c r="AK1019" s="161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617"/>
      <c r="E1020" s="1617"/>
      <c r="F1020" s="1617"/>
      <c r="G1020" s="1617"/>
      <c r="H1020" s="1617"/>
      <c r="I1020" s="1617"/>
      <c r="J1020" s="1617"/>
      <c r="K1020" s="1617"/>
      <c r="L1020" s="1617"/>
      <c r="M1020" s="1617"/>
      <c r="N1020" s="1617"/>
      <c r="O1020" s="1617"/>
      <c r="P1020" s="1617"/>
      <c r="Q1020" s="1617"/>
      <c r="R1020" s="1617"/>
      <c r="S1020" s="1617"/>
      <c r="T1020" s="1617"/>
      <c r="U1020" s="1617"/>
      <c r="V1020" s="1617"/>
      <c r="W1020" s="1617"/>
      <c r="X1020" s="1617"/>
      <c r="Y1020" s="1617"/>
      <c r="Z1020" s="1617"/>
      <c r="AA1020" s="1617"/>
      <c r="AB1020" s="1617"/>
      <c r="AC1020" s="1617"/>
      <c r="AD1020" s="1617"/>
      <c r="AE1020" s="1617"/>
      <c r="AF1020" s="1617"/>
      <c r="AG1020" s="1617"/>
      <c r="AH1020" s="1617"/>
      <c r="AI1020" s="1617"/>
      <c r="AJ1020" s="1617"/>
      <c r="AK1020" s="1617"/>
      <c r="AL1020" s="16"/>
      <c r="AM1020" s="66"/>
      <c r="AN1020" s="66"/>
      <c r="AO1020" s="30"/>
      <c r="AP1020" s="30"/>
      <c r="AQ1020" s="30"/>
      <c r="AR1020" s="30"/>
      <c r="AS1020" s="30"/>
      <c r="AT1020" s="1789"/>
      <c r="AU1020" s="1789"/>
      <c r="AV1020" s="1789"/>
      <c r="AW1020" s="1789"/>
      <c r="AX1020" s="1789"/>
      <c r="AY1020" s="178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617"/>
      <c r="E1021" s="1617"/>
      <c r="F1021" s="1617"/>
      <c r="G1021" s="1617"/>
      <c r="H1021" s="1617"/>
      <c r="I1021" s="1617"/>
      <c r="J1021" s="1617"/>
      <c r="K1021" s="1617"/>
      <c r="L1021" s="1617"/>
      <c r="M1021" s="1617"/>
      <c r="N1021" s="1617"/>
      <c r="O1021" s="1617"/>
      <c r="P1021" s="1617"/>
      <c r="Q1021" s="1617"/>
      <c r="R1021" s="1617"/>
      <c r="S1021" s="1617"/>
      <c r="T1021" s="1617"/>
      <c r="U1021" s="1617"/>
      <c r="V1021" s="1617"/>
      <c r="W1021" s="1617"/>
      <c r="X1021" s="1617"/>
      <c r="Y1021" s="1617"/>
      <c r="Z1021" s="1617"/>
      <c r="AA1021" s="1617"/>
      <c r="AB1021" s="1617"/>
      <c r="AC1021" s="1617"/>
      <c r="AD1021" s="1617"/>
      <c r="AE1021" s="1617"/>
      <c r="AF1021" s="1617"/>
      <c r="AG1021" s="1617"/>
      <c r="AH1021" s="1617"/>
      <c r="AI1021" s="1617"/>
      <c r="AJ1021" s="1617"/>
      <c r="AK1021" s="161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617"/>
      <c r="E1022" s="1617"/>
      <c r="F1022" s="1617"/>
      <c r="G1022" s="1617"/>
      <c r="H1022" s="1617"/>
      <c r="I1022" s="1617"/>
      <c r="J1022" s="1617"/>
      <c r="K1022" s="1617"/>
      <c r="L1022" s="1617"/>
      <c r="M1022" s="1617"/>
      <c r="N1022" s="1617"/>
      <c r="O1022" s="1617"/>
      <c r="P1022" s="1617"/>
      <c r="Q1022" s="1617"/>
      <c r="R1022" s="1617"/>
      <c r="S1022" s="1617"/>
      <c r="T1022" s="1617"/>
      <c r="U1022" s="1617"/>
      <c r="V1022" s="1617"/>
      <c r="W1022" s="1617"/>
      <c r="X1022" s="1617"/>
      <c r="Y1022" s="1617"/>
      <c r="Z1022" s="1617"/>
      <c r="AA1022" s="1617"/>
      <c r="AB1022" s="1617"/>
      <c r="AC1022" s="1617"/>
      <c r="AD1022" s="1617"/>
      <c r="AE1022" s="1617"/>
      <c r="AF1022" s="1617"/>
      <c r="AG1022" s="1617"/>
      <c r="AH1022" s="1617"/>
      <c r="AI1022" s="1617"/>
      <c r="AJ1022" s="1617"/>
      <c r="AK1022" s="161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617"/>
      <c r="E1023" s="1617"/>
      <c r="F1023" s="1617"/>
      <c r="G1023" s="1617"/>
      <c r="H1023" s="1617"/>
      <c r="I1023" s="1617"/>
      <c r="J1023" s="1617"/>
      <c r="K1023" s="1617"/>
      <c r="L1023" s="1617"/>
      <c r="M1023" s="1617"/>
      <c r="N1023" s="1617"/>
      <c r="O1023" s="1617"/>
      <c r="P1023" s="1617"/>
      <c r="Q1023" s="1617"/>
      <c r="R1023" s="1617"/>
      <c r="S1023" s="1617"/>
      <c r="T1023" s="1617"/>
      <c r="U1023" s="1617"/>
      <c r="V1023" s="1617"/>
      <c r="W1023" s="1617"/>
      <c r="X1023" s="1617"/>
      <c r="Y1023" s="1617"/>
      <c r="Z1023" s="1617"/>
      <c r="AA1023" s="1617"/>
      <c r="AB1023" s="1617"/>
      <c r="AC1023" s="1617"/>
      <c r="AD1023" s="1617"/>
      <c r="AE1023" s="1617"/>
      <c r="AF1023" s="1617"/>
      <c r="AG1023" s="1617"/>
      <c r="AH1023" s="1617"/>
      <c r="AI1023" s="1617"/>
      <c r="AJ1023" s="1617"/>
      <c r="AK1023" s="161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699" t="s">
        <v>119</v>
      </c>
      <c r="B1024" s="1699"/>
      <c r="C1024" s="17">
        <v>2</v>
      </c>
      <c r="D1024" s="1616" t="s">
        <v>1704</v>
      </c>
      <c r="E1024" s="1617"/>
      <c r="F1024" s="1617"/>
      <c r="G1024" s="1617"/>
      <c r="H1024" s="1617"/>
      <c r="I1024" s="1617"/>
      <c r="J1024" s="1617"/>
      <c r="K1024" s="1617"/>
      <c r="L1024" s="1617"/>
      <c r="M1024" s="1617"/>
      <c r="N1024" s="1617"/>
      <c r="O1024" s="1617"/>
      <c r="P1024" s="1617"/>
      <c r="Q1024" s="1617"/>
      <c r="R1024" s="1617"/>
      <c r="S1024" s="1617"/>
      <c r="T1024" s="1617"/>
      <c r="U1024" s="1617"/>
      <c r="V1024" s="1617"/>
      <c r="W1024" s="1617"/>
      <c r="X1024" s="1617"/>
      <c r="Y1024" s="1617"/>
      <c r="Z1024" s="1617"/>
      <c r="AA1024" s="1617"/>
      <c r="AB1024" s="1617"/>
      <c r="AC1024" s="1617"/>
      <c r="AD1024" s="1617"/>
      <c r="AE1024" s="1617"/>
      <c r="AF1024" s="1617"/>
      <c r="AG1024" s="1617"/>
      <c r="AH1024" s="1617"/>
      <c r="AI1024" s="1617"/>
      <c r="AJ1024" s="1617"/>
      <c r="AK1024" s="161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617"/>
      <c r="E1025" s="1617"/>
      <c r="F1025" s="1617"/>
      <c r="G1025" s="1617"/>
      <c r="H1025" s="1617"/>
      <c r="I1025" s="1617"/>
      <c r="J1025" s="1617"/>
      <c r="K1025" s="1617"/>
      <c r="L1025" s="1617"/>
      <c r="M1025" s="1617"/>
      <c r="N1025" s="1617"/>
      <c r="O1025" s="1617"/>
      <c r="P1025" s="1617"/>
      <c r="Q1025" s="1617"/>
      <c r="R1025" s="1617"/>
      <c r="S1025" s="1617"/>
      <c r="T1025" s="1617"/>
      <c r="U1025" s="1617"/>
      <c r="V1025" s="1617"/>
      <c r="W1025" s="1617"/>
      <c r="X1025" s="1617"/>
      <c r="Y1025" s="1617"/>
      <c r="Z1025" s="1617"/>
      <c r="AA1025" s="1617"/>
      <c r="AB1025" s="1617"/>
      <c r="AC1025" s="1617"/>
      <c r="AD1025" s="1617"/>
      <c r="AE1025" s="1617"/>
      <c r="AF1025" s="1617"/>
      <c r="AG1025" s="1617"/>
      <c r="AH1025" s="1617"/>
      <c r="AI1025" s="1617"/>
      <c r="AJ1025" s="1617"/>
      <c r="AK1025" s="161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617"/>
      <c r="E1026" s="1617"/>
      <c r="F1026" s="1617"/>
      <c r="G1026" s="1617"/>
      <c r="H1026" s="1617"/>
      <c r="I1026" s="1617"/>
      <c r="J1026" s="1617"/>
      <c r="K1026" s="1617"/>
      <c r="L1026" s="1617"/>
      <c r="M1026" s="1617"/>
      <c r="N1026" s="1617"/>
      <c r="O1026" s="1617"/>
      <c r="P1026" s="1617"/>
      <c r="Q1026" s="1617"/>
      <c r="R1026" s="1617"/>
      <c r="S1026" s="1617"/>
      <c r="T1026" s="1617"/>
      <c r="U1026" s="1617"/>
      <c r="V1026" s="1617"/>
      <c r="W1026" s="1617"/>
      <c r="X1026" s="1617"/>
      <c r="Y1026" s="1617"/>
      <c r="Z1026" s="1617"/>
      <c r="AA1026" s="1617"/>
      <c r="AB1026" s="1617"/>
      <c r="AC1026" s="1617"/>
      <c r="AD1026" s="1617"/>
      <c r="AE1026" s="1617"/>
      <c r="AF1026" s="1617"/>
      <c r="AG1026" s="1617"/>
      <c r="AH1026" s="1617"/>
      <c r="AI1026" s="1617"/>
      <c r="AJ1026" s="1617"/>
      <c r="AK1026" s="161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617"/>
      <c r="E1027" s="1617"/>
      <c r="F1027" s="1617"/>
      <c r="G1027" s="1617"/>
      <c r="H1027" s="1617"/>
      <c r="I1027" s="1617"/>
      <c r="J1027" s="1617"/>
      <c r="K1027" s="1617"/>
      <c r="L1027" s="1617"/>
      <c r="M1027" s="1617"/>
      <c r="N1027" s="1617"/>
      <c r="O1027" s="1617"/>
      <c r="P1027" s="1617"/>
      <c r="Q1027" s="1617"/>
      <c r="R1027" s="1617"/>
      <c r="S1027" s="1617"/>
      <c r="T1027" s="1617"/>
      <c r="U1027" s="1617"/>
      <c r="V1027" s="1617"/>
      <c r="W1027" s="1617"/>
      <c r="X1027" s="1617"/>
      <c r="Y1027" s="1617"/>
      <c r="Z1027" s="1617"/>
      <c r="AA1027" s="1617"/>
      <c r="AB1027" s="1617"/>
      <c r="AC1027" s="1617"/>
      <c r="AD1027" s="1617"/>
      <c r="AE1027" s="1617"/>
      <c r="AF1027" s="1617"/>
      <c r="AG1027" s="1617"/>
      <c r="AH1027" s="1617"/>
      <c r="AI1027" s="1617"/>
      <c r="AJ1027" s="1617"/>
      <c r="AK1027" s="161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617"/>
      <c r="E1028" s="1617"/>
      <c r="F1028" s="1617"/>
      <c r="G1028" s="1617"/>
      <c r="H1028" s="1617"/>
      <c r="I1028" s="1617"/>
      <c r="J1028" s="1617"/>
      <c r="K1028" s="1617"/>
      <c r="L1028" s="1617"/>
      <c r="M1028" s="1617"/>
      <c r="N1028" s="1617"/>
      <c r="O1028" s="1617"/>
      <c r="P1028" s="1617"/>
      <c r="Q1028" s="1617"/>
      <c r="R1028" s="1617"/>
      <c r="S1028" s="1617"/>
      <c r="T1028" s="1617"/>
      <c r="U1028" s="1617"/>
      <c r="V1028" s="1617"/>
      <c r="W1028" s="1617"/>
      <c r="X1028" s="1617"/>
      <c r="Y1028" s="1617"/>
      <c r="Z1028" s="1617"/>
      <c r="AA1028" s="1617"/>
      <c r="AB1028" s="1617"/>
      <c r="AC1028" s="1617"/>
      <c r="AD1028" s="1617"/>
      <c r="AE1028" s="1617"/>
      <c r="AF1028" s="1617"/>
      <c r="AG1028" s="1617"/>
      <c r="AH1028" s="1617"/>
      <c r="AI1028" s="1617"/>
      <c r="AJ1028" s="1617"/>
      <c r="AK1028" s="161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7"/>
      <c r="E1029" s="1617"/>
      <c r="F1029" s="1617"/>
      <c r="G1029" s="1617"/>
      <c r="H1029" s="1617"/>
      <c r="I1029" s="1617"/>
      <c r="J1029" s="1617"/>
      <c r="K1029" s="1617"/>
      <c r="L1029" s="1617"/>
      <c r="M1029" s="1617"/>
      <c r="N1029" s="1617"/>
      <c r="O1029" s="1617"/>
      <c r="P1029" s="1617"/>
      <c r="Q1029" s="1617"/>
      <c r="R1029" s="1617"/>
      <c r="S1029" s="1617"/>
      <c r="T1029" s="1617"/>
      <c r="U1029" s="1617"/>
      <c r="V1029" s="1617"/>
      <c r="W1029" s="1617"/>
      <c r="X1029" s="1617"/>
      <c r="Y1029" s="1617"/>
      <c r="Z1029" s="1617"/>
      <c r="AA1029" s="1617"/>
      <c r="AB1029" s="1617"/>
      <c r="AC1029" s="1617"/>
      <c r="AD1029" s="1617"/>
      <c r="AE1029" s="1617"/>
      <c r="AF1029" s="1617"/>
      <c r="AG1029" s="1617"/>
      <c r="AH1029" s="1617"/>
      <c r="AI1029" s="1617"/>
      <c r="AJ1029" s="1617"/>
      <c r="AK1029" s="161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9" t="s">
        <v>136</v>
      </c>
      <c r="B1030" s="1699"/>
      <c r="C1030" s="17">
        <v>3</v>
      </c>
      <c r="D1030" s="1616" t="s">
        <v>2360</v>
      </c>
      <c r="E1030" s="1617"/>
      <c r="F1030" s="1617"/>
      <c r="G1030" s="1617"/>
      <c r="H1030" s="1617"/>
      <c r="I1030" s="1617"/>
      <c r="J1030" s="1617"/>
      <c r="K1030" s="1617"/>
      <c r="L1030" s="1617"/>
      <c r="M1030" s="1617"/>
      <c r="N1030" s="1617"/>
      <c r="O1030" s="1617"/>
      <c r="P1030" s="1617"/>
      <c r="Q1030" s="1617"/>
      <c r="R1030" s="1617"/>
      <c r="S1030" s="1617"/>
      <c r="T1030" s="1617"/>
      <c r="U1030" s="1617"/>
      <c r="V1030" s="1617"/>
      <c r="W1030" s="1617"/>
      <c r="X1030" s="1617"/>
      <c r="Y1030" s="1617"/>
      <c r="Z1030" s="1617"/>
      <c r="AA1030" s="1617"/>
      <c r="AB1030" s="1617"/>
      <c r="AC1030" s="1617"/>
      <c r="AD1030" s="1617"/>
      <c r="AE1030" s="1617"/>
      <c r="AF1030" s="1617"/>
      <c r="AG1030" s="1617"/>
      <c r="AH1030" s="1617"/>
      <c r="AI1030" s="1617"/>
      <c r="AJ1030" s="1617"/>
      <c r="AK1030" s="161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7"/>
      <c r="E1031" s="1617"/>
      <c r="F1031" s="1617"/>
      <c r="G1031" s="1617"/>
      <c r="H1031" s="1617"/>
      <c r="I1031" s="1617"/>
      <c r="J1031" s="1617"/>
      <c r="K1031" s="1617"/>
      <c r="L1031" s="1617"/>
      <c r="M1031" s="1617"/>
      <c r="N1031" s="1617"/>
      <c r="O1031" s="1617"/>
      <c r="P1031" s="1617"/>
      <c r="Q1031" s="1617"/>
      <c r="R1031" s="1617"/>
      <c r="S1031" s="1617"/>
      <c r="T1031" s="1617"/>
      <c r="U1031" s="1617"/>
      <c r="V1031" s="1617"/>
      <c r="W1031" s="1617"/>
      <c r="X1031" s="1617"/>
      <c r="Y1031" s="1617"/>
      <c r="Z1031" s="1617"/>
      <c r="AA1031" s="1617"/>
      <c r="AB1031" s="1617"/>
      <c r="AC1031" s="1617"/>
      <c r="AD1031" s="1617"/>
      <c r="AE1031" s="1617"/>
      <c r="AF1031" s="1617"/>
      <c r="AG1031" s="1617"/>
      <c r="AH1031" s="1617"/>
      <c r="AI1031" s="1617"/>
      <c r="AJ1031" s="1617"/>
      <c r="AK1031" s="161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7"/>
      <c r="E1032" s="1617"/>
      <c r="F1032" s="1617"/>
      <c r="G1032" s="1617"/>
      <c r="H1032" s="1617"/>
      <c r="I1032" s="1617"/>
      <c r="J1032" s="1617"/>
      <c r="K1032" s="1617"/>
      <c r="L1032" s="1617"/>
      <c r="M1032" s="1617"/>
      <c r="N1032" s="1617"/>
      <c r="O1032" s="1617"/>
      <c r="P1032" s="1617"/>
      <c r="Q1032" s="1617"/>
      <c r="R1032" s="1617"/>
      <c r="S1032" s="1617"/>
      <c r="T1032" s="1617"/>
      <c r="U1032" s="1617"/>
      <c r="V1032" s="1617"/>
      <c r="W1032" s="1617"/>
      <c r="X1032" s="1617"/>
      <c r="Y1032" s="1617"/>
      <c r="Z1032" s="1617"/>
      <c r="AA1032" s="1617"/>
      <c r="AB1032" s="1617"/>
      <c r="AC1032" s="1617"/>
      <c r="AD1032" s="1617"/>
      <c r="AE1032" s="1617"/>
      <c r="AF1032" s="1617"/>
      <c r="AG1032" s="1617"/>
      <c r="AH1032" s="1617"/>
      <c r="AI1032" s="1617"/>
      <c r="AJ1032" s="1617"/>
      <c r="AK1032" s="161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7"/>
      <c r="E1033" s="1617"/>
      <c r="F1033" s="1617"/>
      <c r="G1033" s="1617"/>
      <c r="H1033" s="1617"/>
      <c r="I1033" s="1617"/>
      <c r="J1033" s="1617"/>
      <c r="K1033" s="1617"/>
      <c r="L1033" s="1617"/>
      <c r="M1033" s="1617"/>
      <c r="N1033" s="1617"/>
      <c r="O1033" s="1617"/>
      <c r="P1033" s="1617"/>
      <c r="Q1033" s="1617"/>
      <c r="R1033" s="1617"/>
      <c r="S1033" s="1617"/>
      <c r="T1033" s="1617"/>
      <c r="U1033" s="1617"/>
      <c r="V1033" s="1617"/>
      <c r="W1033" s="1617"/>
      <c r="X1033" s="1617"/>
      <c r="Y1033" s="1617"/>
      <c r="Z1033" s="1617"/>
      <c r="AA1033" s="1617"/>
      <c r="AB1033" s="1617"/>
      <c r="AC1033" s="1617"/>
      <c r="AD1033" s="1617"/>
      <c r="AE1033" s="1617"/>
      <c r="AF1033" s="1617"/>
      <c r="AG1033" s="1617"/>
      <c r="AH1033" s="1617"/>
      <c r="AI1033" s="1617"/>
      <c r="AJ1033" s="1617"/>
      <c r="AK1033" s="161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7"/>
      <c r="E1034" s="1617"/>
      <c r="F1034" s="1617"/>
      <c r="G1034" s="1617"/>
      <c r="H1034" s="1617"/>
      <c r="I1034" s="1617"/>
      <c r="J1034" s="1617"/>
      <c r="K1034" s="1617"/>
      <c r="L1034" s="1617"/>
      <c r="M1034" s="1617"/>
      <c r="N1034" s="1617"/>
      <c r="O1034" s="1617"/>
      <c r="P1034" s="1617"/>
      <c r="Q1034" s="1617"/>
      <c r="R1034" s="1617"/>
      <c r="S1034" s="1617"/>
      <c r="T1034" s="1617"/>
      <c r="U1034" s="1617"/>
      <c r="V1034" s="1617"/>
      <c r="W1034" s="1617"/>
      <c r="X1034" s="1617"/>
      <c r="Y1034" s="1617"/>
      <c r="Z1034" s="1617"/>
      <c r="AA1034" s="1617"/>
      <c r="AB1034" s="1617"/>
      <c r="AC1034" s="1617"/>
      <c r="AD1034" s="1617"/>
      <c r="AE1034" s="1617"/>
      <c r="AF1034" s="1617"/>
      <c r="AG1034" s="1617"/>
      <c r="AH1034" s="1617"/>
      <c r="AI1034" s="1617"/>
      <c r="AJ1034" s="1617"/>
      <c r="AK1034" s="161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7"/>
      <c r="E1035" s="1617"/>
      <c r="F1035" s="1617"/>
      <c r="G1035" s="1617"/>
      <c r="H1035" s="1617"/>
      <c r="I1035" s="1617"/>
      <c r="J1035" s="1617"/>
      <c r="K1035" s="1617"/>
      <c r="L1035" s="1617"/>
      <c r="M1035" s="1617"/>
      <c r="N1035" s="1617"/>
      <c r="O1035" s="1617"/>
      <c r="P1035" s="1617"/>
      <c r="Q1035" s="1617"/>
      <c r="R1035" s="1617"/>
      <c r="S1035" s="1617"/>
      <c r="T1035" s="1617"/>
      <c r="U1035" s="1617"/>
      <c r="V1035" s="1617"/>
      <c r="W1035" s="1617"/>
      <c r="X1035" s="1617"/>
      <c r="Y1035" s="1617"/>
      <c r="Z1035" s="1617"/>
      <c r="AA1035" s="1617"/>
      <c r="AB1035" s="1617"/>
      <c r="AC1035" s="1617"/>
      <c r="AD1035" s="1617"/>
      <c r="AE1035" s="1617"/>
      <c r="AF1035" s="1617"/>
      <c r="AG1035" s="1617"/>
      <c r="AH1035" s="1617"/>
      <c r="AI1035" s="1617"/>
      <c r="AJ1035" s="1617"/>
      <c r="AK1035" s="161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9" t="s">
        <v>136</v>
      </c>
      <c r="B1036" s="1699"/>
      <c r="C1036" s="17">
        <v>4</v>
      </c>
      <c r="D1036" s="1616" t="s">
        <v>2351</v>
      </c>
      <c r="E1036" s="1617"/>
      <c r="F1036" s="1617"/>
      <c r="G1036" s="1617"/>
      <c r="H1036" s="1617"/>
      <c r="I1036" s="1617"/>
      <c r="J1036" s="1617"/>
      <c r="K1036" s="1617"/>
      <c r="L1036" s="1617"/>
      <c r="M1036" s="1617"/>
      <c r="N1036" s="1617"/>
      <c r="O1036" s="1617"/>
      <c r="P1036" s="1617"/>
      <c r="Q1036" s="1617"/>
      <c r="R1036" s="1617"/>
      <c r="S1036" s="1617"/>
      <c r="T1036" s="1617"/>
      <c r="U1036" s="1617"/>
      <c r="V1036" s="1617"/>
      <c r="W1036" s="1617"/>
      <c r="X1036" s="1617"/>
      <c r="Y1036" s="1617"/>
      <c r="Z1036" s="1617"/>
      <c r="AA1036" s="1617"/>
      <c r="AB1036" s="1617"/>
      <c r="AC1036" s="1617"/>
      <c r="AD1036" s="1617"/>
      <c r="AE1036" s="1617"/>
      <c r="AF1036" s="1617"/>
      <c r="AG1036" s="1617"/>
      <c r="AH1036" s="1617"/>
      <c r="AI1036" s="1617"/>
      <c r="AJ1036" s="1617"/>
      <c r="AK1036" s="161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7"/>
      <c r="E1037" s="1617"/>
      <c r="F1037" s="1617"/>
      <c r="G1037" s="1617"/>
      <c r="H1037" s="1617"/>
      <c r="I1037" s="1617"/>
      <c r="J1037" s="1617"/>
      <c r="K1037" s="1617"/>
      <c r="L1037" s="1617"/>
      <c r="M1037" s="1617"/>
      <c r="N1037" s="1617"/>
      <c r="O1037" s="1617"/>
      <c r="P1037" s="1617"/>
      <c r="Q1037" s="1617"/>
      <c r="R1037" s="1617"/>
      <c r="S1037" s="1617"/>
      <c r="T1037" s="1617"/>
      <c r="U1037" s="1617"/>
      <c r="V1037" s="1617"/>
      <c r="W1037" s="1617"/>
      <c r="X1037" s="1617"/>
      <c r="Y1037" s="1617"/>
      <c r="Z1037" s="1617"/>
      <c r="AA1037" s="1617"/>
      <c r="AB1037" s="1617"/>
      <c r="AC1037" s="1617"/>
      <c r="AD1037" s="1617"/>
      <c r="AE1037" s="1617"/>
      <c r="AF1037" s="1617"/>
      <c r="AG1037" s="1617"/>
      <c r="AH1037" s="1617"/>
      <c r="AI1037" s="1617"/>
      <c r="AJ1037" s="1617"/>
      <c r="AK1037" s="161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7"/>
      <c r="E1038" s="1617"/>
      <c r="F1038" s="1617"/>
      <c r="G1038" s="1617"/>
      <c r="H1038" s="1617"/>
      <c r="I1038" s="1617"/>
      <c r="J1038" s="1617"/>
      <c r="K1038" s="1617"/>
      <c r="L1038" s="1617"/>
      <c r="M1038" s="1617"/>
      <c r="N1038" s="1617"/>
      <c r="O1038" s="1617"/>
      <c r="P1038" s="1617"/>
      <c r="Q1038" s="1617"/>
      <c r="R1038" s="1617"/>
      <c r="S1038" s="1617"/>
      <c r="T1038" s="1617"/>
      <c r="U1038" s="1617"/>
      <c r="V1038" s="1617"/>
      <c r="W1038" s="1617"/>
      <c r="X1038" s="1617"/>
      <c r="Y1038" s="1617"/>
      <c r="Z1038" s="1617"/>
      <c r="AA1038" s="1617"/>
      <c r="AB1038" s="1617"/>
      <c r="AC1038" s="1617"/>
      <c r="AD1038" s="1617"/>
      <c r="AE1038" s="1617"/>
      <c r="AF1038" s="1617"/>
      <c r="AG1038" s="1617"/>
      <c r="AH1038" s="1617"/>
      <c r="AI1038" s="1617"/>
      <c r="AJ1038" s="1617"/>
      <c r="AK1038" s="161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99" t="s">
        <v>136</v>
      </c>
      <c r="B1039" s="1699"/>
      <c r="C1039" s="17">
        <v>5</v>
      </c>
      <c r="D1039" s="1616" t="s">
        <v>1938</v>
      </c>
      <c r="E1039" s="1617"/>
      <c r="F1039" s="1617"/>
      <c r="G1039" s="1617"/>
      <c r="H1039" s="1617"/>
      <c r="I1039" s="1617"/>
      <c r="J1039" s="1617"/>
      <c r="K1039" s="1617"/>
      <c r="L1039" s="1617"/>
      <c r="M1039" s="1617"/>
      <c r="N1039" s="1617"/>
      <c r="O1039" s="1617"/>
      <c r="P1039" s="1617"/>
      <c r="Q1039" s="1617"/>
      <c r="R1039" s="1617"/>
      <c r="S1039" s="1617"/>
      <c r="T1039" s="1617"/>
      <c r="U1039" s="1617"/>
      <c r="V1039" s="1617"/>
      <c r="W1039" s="1617"/>
      <c r="X1039" s="1617"/>
      <c r="Y1039" s="1617"/>
      <c r="Z1039" s="1617"/>
      <c r="AA1039" s="1617"/>
      <c r="AB1039" s="1617"/>
      <c r="AC1039" s="1617"/>
      <c r="AD1039" s="1617"/>
      <c r="AE1039" s="1617"/>
      <c r="AF1039" s="1617"/>
      <c r="AG1039" s="1617"/>
      <c r="AH1039" s="1617"/>
      <c r="AI1039" s="1617"/>
      <c r="AJ1039" s="1617"/>
      <c r="AK1039" s="161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617"/>
      <c r="E1040" s="1617"/>
      <c r="F1040" s="1617"/>
      <c r="G1040" s="1617"/>
      <c r="H1040" s="1617"/>
      <c r="I1040" s="1617"/>
      <c r="J1040" s="1617"/>
      <c r="K1040" s="1617"/>
      <c r="L1040" s="1617"/>
      <c r="M1040" s="1617"/>
      <c r="N1040" s="1617"/>
      <c r="O1040" s="1617"/>
      <c r="P1040" s="1617"/>
      <c r="Q1040" s="1617"/>
      <c r="R1040" s="1617"/>
      <c r="S1040" s="1617"/>
      <c r="T1040" s="1617"/>
      <c r="U1040" s="1617"/>
      <c r="V1040" s="1617"/>
      <c r="W1040" s="1617"/>
      <c r="X1040" s="1617"/>
      <c r="Y1040" s="1617"/>
      <c r="Z1040" s="1617"/>
      <c r="AA1040" s="1617"/>
      <c r="AB1040" s="1617"/>
      <c r="AC1040" s="1617"/>
      <c r="AD1040" s="1617"/>
      <c r="AE1040" s="1617"/>
      <c r="AF1040" s="1617"/>
      <c r="AG1040" s="1617"/>
      <c r="AH1040" s="1617"/>
      <c r="AI1040" s="1617"/>
      <c r="AJ1040" s="1617"/>
      <c r="AK1040" s="161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7"/>
      <c r="E1041" s="1617"/>
      <c r="F1041" s="1617"/>
      <c r="G1041" s="1617"/>
      <c r="H1041" s="1617"/>
      <c r="I1041" s="1617"/>
      <c r="J1041" s="1617"/>
      <c r="K1041" s="1617"/>
      <c r="L1041" s="1617"/>
      <c r="M1041" s="1617"/>
      <c r="N1041" s="1617"/>
      <c r="O1041" s="1617"/>
      <c r="P1041" s="1617"/>
      <c r="Q1041" s="1617"/>
      <c r="R1041" s="1617"/>
      <c r="S1041" s="1617"/>
      <c r="T1041" s="1617"/>
      <c r="U1041" s="1617"/>
      <c r="V1041" s="1617"/>
      <c r="W1041" s="1617"/>
      <c r="X1041" s="1617"/>
      <c r="Y1041" s="1617"/>
      <c r="Z1041" s="1617"/>
      <c r="AA1041" s="1617"/>
      <c r="AB1041" s="1617"/>
      <c r="AC1041" s="1617"/>
      <c r="AD1041" s="1617"/>
      <c r="AE1041" s="1617"/>
      <c r="AF1041" s="1617"/>
      <c r="AG1041" s="1617"/>
      <c r="AH1041" s="1617"/>
      <c r="AI1041" s="1617"/>
      <c r="AJ1041" s="1617"/>
      <c r="AK1041" s="161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7"/>
      <c r="E1042" s="1617"/>
      <c r="F1042" s="1617"/>
      <c r="G1042" s="1617"/>
      <c r="H1042" s="1617"/>
      <c r="I1042" s="1617"/>
      <c r="J1042" s="1617"/>
      <c r="K1042" s="1617"/>
      <c r="L1042" s="1617"/>
      <c r="M1042" s="1617"/>
      <c r="N1042" s="1617"/>
      <c r="O1042" s="1617"/>
      <c r="P1042" s="1617"/>
      <c r="Q1042" s="1617"/>
      <c r="R1042" s="1617"/>
      <c r="S1042" s="1617"/>
      <c r="T1042" s="1617"/>
      <c r="U1042" s="1617"/>
      <c r="V1042" s="1617"/>
      <c r="W1042" s="1617"/>
      <c r="X1042" s="1617"/>
      <c r="Y1042" s="1617"/>
      <c r="Z1042" s="1617"/>
      <c r="AA1042" s="1617"/>
      <c r="AB1042" s="1617"/>
      <c r="AC1042" s="1617"/>
      <c r="AD1042" s="1617"/>
      <c r="AE1042" s="1617"/>
      <c r="AF1042" s="1617"/>
      <c r="AG1042" s="1617"/>
      <c r="AH1042" s="1617"/>
      <c r="AI1042" s="1617"/>
      <c r="AJ1042" s="1617"/>
      <c r="AK1042" s="161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7"/>
      <c r="E1043" s="1617"/>
      <c r="F1043" s="1617"/>
      <c r="G1043" s="1617"/>
      <c r="H1043" s="1617"/>
      <c r="I1043" s="1617"/>
      <c r="J1043" s="1617"/>
      <c r="K1043" s="1617"/>
      <c r="L1043" s="1617"/>
      <c r="M1043" s="1617"/>
      <c r="N1043" s="1617"/>
      <c r="O1043" s="1617"/>
      <c r="P1043" s="1617"/>
      <c r="Q1043" s="1617"/>
      <c r="R1043" s="1617"/>
      <c r="S1043" s="1617"/>
      <c r="T1043" s="1617"/>
      <c r="U1043" s="1617"/>
      <c r="V1043" s="1617"/>
      <c r="W1043" s="1617"/>
      <c r="X1043" s="1617"/>
      <c r="Y1043" s="1617"/>
      <c r="Z1043" s="1617"/>
      <c r="AA1043" s="1617"/>
      <c r="AB1043" s="1617"/>
      <c r="AC1043" s="1617"/>
      <c r="AD1043" s="1617"/>
      <c r="AE1043" s="1617"/>
      <c r="AF1043" s="1617"/>
      <c r="AG1043" s="1617"/>
      <c r="AH1043" s="1617"/>
      <c r="AI1043" s="1617"/>
      <c r="AJ1043" s="1617"/>
      <c r="AK1043" s="161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9" t="s">
        <v>136</v>
      </c>
      <c r="B1044" s="1699"/>
      <c r="C1044" s="17">
        <v>6</v>
      </c>
      <c r="D1044" s="1617" t="s">
        <v>1705</v>
      </c>
      <c r="E1044" s="1617"/>
      <c r="F1044" s="1617"/>
      <c r="G1044" s="1617"/>
      <c r="H1044" s="1617"/>
      <c r="I1044" s="1617"/>
      <c r="J1044" s="1617"/>
      <c r="K1044" s="1617"/>
      <c r="L1044" s="1617"/>
      <c r="M1044" s="1617"/>
      <c r="N1044" s="1617"/>
      <c r="O1044" s="1617"/>
      <c r="P1044" s="1617"/>
      <c r="Q1044" s="1617"/>
      <c r="R1044" s="1617"/>
      <c r="S1044" s="1617"/>
      <c r="T1044" s="1617"/>
      <c r="U1044" s="1617"/>
      <c r="V1044" s="1617"/>
      <c r="W1044" s="1617"/>
      <c r="X1044" s="1617"/>
      <c r="Y1044" s="1617"/>
      <c r="Z1044" s="1617"/>
      <c r="AA1044" s="1617"/>
      <c r="AB1044" s="1617"/>
      <c r="AC1044" s="1617"/>
      <c r="AD1044" s="1617"/>
      <c r="AE1044" s="1617"/>
      <c r="AF1044" s="1617"/>
      <c r="AG1044" s="1617"/>
      <c r="AH1044" s="1617"/>
      <c r="AI1044" s="1617"/>
      <c r="AJ1044" s="1617"/>
      <c r="AK1044" s="161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7"/>
      <c r="E1045" s="1617"/>
      <c r="F1045" s="1617"/>
      <c r="G1045" s="1617"/>
      <c r="H1045" s="1617"/>
      <c r="I1045" s="1617"/>
      <c r="J1045" s="1617"/>
      <c r="K1045" s="1617"/>
      <c r="L1045" s="1617"/>
      <c r="M1045" s="1617"/>
      <c r="N1045" s="1617"/>
      <c r="O1045" s="1617"/>
      <c r="P1045" s="1617"/>
      <c r="Q1045" s="1617"/>
      <c r="R1045" s="1617"/>
      <c r="S1045" s="1617"/>
      <c r="T1045" s="1617"/>
      <c r="U1045" s="1617"/>
      <c r="V1045" s="1617"/>
      <c r="W1045" s="1617"/>
      <c r="X1045" s="1617"/>
      <c r="Y1045" s="1617"/>
      <c r="Z1045" s="1617"/>
      <c r="AA1045" s="1617"/>
      <c r="AB1045" s="1617"/>
      <c r="AC1045" s="1617"/>
      <c r="AD1045" s="1617"/>
      <c r="AE1045" s="1617"/>
      <c r="AF1045" s="1617"/>
      <c r="AG1045" s="1617"/>
      <c r="AH1045" s="1617"/>
      <c r="AI1045" s="1617"/>
      <c r="AJ1045" s="1617"/>
      <c r="AK1045" s="161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7"/>
      <c r="E1046" s="1617"/>
      <c r="F1046" s="1617"/>
      <c r="G1046" s="1617"/>
      <c r="H1046" s="1617"/>
      <c r="I1046" s="1617"/>
      <c r="J1046" s="1617"/>
      <c r="K1046" s="1617"/>
      <c r="L1046" s="1617"/>
      <c r="M1046" s="1617"/>
      <c r="N1046" s="1617"/>
      <c r="O1046" s="1617"/>
      <c r="P1046" s="1617"/>
      <c r="Q1046" s="1617"/>
      <c r="R1046" s="1617"/>
      <c r="S1046" s="1617"/>
      <c r="T1046" s="1617"/>
      <c r="U1046" s="1617"/>
      <c r="V1046" s="1617"/>
      <c r="W1046" s="1617"/>
      <c r="X1046" s="1617"/>
      <c r="Y1046" s="1617"/>
      <c r="Z1046" s="1617"/>
      <c r="AA1046" s="1617"/>
      <c r="AB1046" s="1617"/>
      <c r="AC1046" s="1617"/>
      <c r="AD1046" s="1617"/>
      <c r="AE1046" s="1617"/>
      <c r="AF1046" s="1617"/>
      <c r="AG1046" s="1617"/>
      <c r="AH1046" s="1617"/>
      <c r="AI1046" s="1617"/>
      <c r="AJ1046" s="1617"/>
      <c r="AK1046" s="161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9" t="s">
        <v>136</v>
      </c>
      <c r="B1047" s="1699"/>
      <c r="C1047" s="559">
        <v>7</v>
      </c>
      <c r="D1047" s="1617" t="s">
        <v>1707</v>
      </c>
      <c r="E1047" s="1617"/>
      <c r="F1047" s="1617"/>
      <c r="G1047" s="1617"/>
      <c r="H1047" s="1617"/>
      <c r="I1047" s="1617"/>
      <c r="J1047" s="1617"/>
      <c r="K1047" s="1617"/>
      <c r="L1047" s="1617"/>
      <c r="M1047" s="1617"/>
      <c r="N1047" s="1617"/>
      <c r="O1047" s="1617"/>
      <c r="P1047" s="1617"/>
      <c r="Q1047" s="1617"/>
      <c r="R1047" s="1617"/>
      <c r="S1047" s="1617"/>
      <c r="T1047" s="1617"/>
      <c r="U1047" s="1617"/>
      <c r="V1047" s="1617"/>
      <c r="W1047" s="1617"/>
      <c r="X1047" s="1617"/>
      <c r="Y1047" s="1617"/>
      <c r="Z1047" s="1617"/>
      <c r="AA1047" s="1617"/>
      <c r="AB1047" s="1617"/>
      <c r="AC1047" s="1617"/>
      <c r="AD1047" s="1617"/>
      <c r="AE1047" s="1617"/>
      <c r="AF1047" s="1617"/>
      <c r="AG1047" s="1617"/>
      <c r="AH1047" s="1617"/>
      <c r="AI1047" s="1617"/>
      <c r="AJ1047" s="1617"/>
      <c r="AK1047" s="161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7"/>
      <c r="E1048" s="1617"/>
      <c r="F1048" s="1617"/>
      <c r="G1048" s="1617"/>
      <c r="H1048" s="1617"/>
      <c r="I1048" s="1617"/>
      <c r="J1048" s="1617"/>
      <c r="K1048" s="1617"/>
      <c r="L1048" s="1617"/>
      <c r="M1048" s="1617"/>
      <c r="N1048" s="1617"/>
      <c r="O1048" s="1617"/>
      <c r="P1048" s="1617"/>
      <c r="Q1048" s="1617"/>
      <c r="R1048" s="1617"/>
      <c r="S1048" s="1617"/>
      <c r="T1048" s="1617"/>
      <c r="U1048" s="1617"/>
      <c r="V1048" s="1617"/>
      <c r="W1048" s="1617"/>
      <c r="X1048" s="1617"/>
      <c r="Y1048" s="1617"/>
      <c r="Z1048" s="1617"/>
      <c r="AA1048" s="1617"/>
      <c r="AB1048" s="1617"/>
      <c r="AC1048" s="1617"/>
      <c r="AD1048" s="1617"/>
      <c r="AE1048" s="1617"/>
      <c r="AF1048" s="1617"/>
      <c r="AG1048" s="1617"/>
      <c r="AH1048" s="1617"/>
      <c r="AI1048" s="1617"/>
      <c r="AJ1048" s="1617"/>
      <c r="AK1048" s="161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7"/>
      <c r="E1049" s="1617"/>
      <c r="F1049" s="1617"/>
      <c r="G1049" s="1617"/>
      <c r="H1049" s="1617"/>
      <c r="I1049" s="1617"/>
      <c r="J1049" s="1617"/>
      <c r="K1049" s="1617"/>
      <c r="L1049" s="1617"/>
      <c r="M1049" s="1617"/>
      <c r="N1049" s="1617"/>
      <c r="O1049" s="1617"/>
      <c r="P1049" s="1617"/>
      <c r="Q1049" s="1617"/>
      <c r="R1049" s="1617"/>
      <c r="S1049" s="1617"/>
      <c r="T1049" s="1617"/>
      <c r="U1049" s="1617"/>
      <c r="V1049" s="1617"/>
      <c r="W1049" s="1617"/>
      <c r="X1049" s="1617"/>
      <c r="Y1049" s="1617"/>
      <c r="Z1049" s="1617"/>
      <c r="AA1049" s="1617"/>
      <c r="AB1049" s="1617"/>
      <c r="AC1049" s="1617"/>
      <c r="AD1049" s="1617"/>
      <c r="AE1049" s="1617"/>
      <c r="AF1049" s="1617"/>
      <c r="AG1049" s="1617"/>
      <c r="AH1049" s="1617"/>
      <c r="AI1049" s="1617"/>
      <c r="AJ1049" s="1617"/>
      <c r="AK1049" s="161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7"/>
      <c r="E1050" s="1617"/>
      <c r="F1050" s="1617"/>
      <c r="G1050" s="1617"/>
      <c r="H1050" s="1617"/>
      <c r="I1050" s="1617"/>
      <c r="J1050" s="1617"/>
      <c r="K1050" s="1617"/>
      <c r="L1050" s="1617"/>
      <c r="M1050" s="1617"/>
      <c r="N1050" s="1617"/>
      <c r="O1050" s="1617"/>
      <c r="P1050" s="1617"/>
      <c r="Q1050" s="1617"/>
      <c r="R1050" s="1617"/>
      <c r="S1050" s="1617"/>
      <c r="T1050" s="1617"/>
      <c r="U1050" s="1617"/>
      <c r="V1050" s="1617"/>
      <c r="W1050" s="1617"/>
      <c r="X1050" s="1617"/>
      <c r="Y1050" s="1617"/>
      <c r="Z1050" s="1617"/>
      <c r="AA1050" s="1617"/>
      <c r="AB1050" s="1617"/>
      <c r="AC1050" s="1617"/>
      <c r="AD1050" s="1617"/>
      <c r="AE1050" s="1617"/>
      <c r="AF1050" s="1617"/>
      <c r="AG1050" s="1617"/>
      <c r="AH1050" s="1617"/>
      <c r="AI1050" s="1617"/>
      <c r="AJ1050" s="1617"/>
      <c r="AK1050" s="161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9" t="s">
        <v>136</v>
      </c>
      <c r="B1051" s="1699"/>
      <c r="C1051" s="559">
        <v>8</v>
      </c>
      <c r="D1051" s="1616" t="s">
        <v>2320</v>
      </c>
      <c r="E1051" s="1617"/>
      <c r="F1051" s="1617"/>
      <c r="G1051" s="1617"/>
      <c r="H1051" s="1617"/>
      <c r="I1051" s="1617"/>
      <c r="J1051" s="1617"/>
      <c r="K1051" s="1617"/>
      <c r="L1051" s="1617"/>
      <c r="M1051" s="1617"/>
      <c r="N1051" s="1617"/>
      <c r="O1051" s="1617"/>
      <c r="P1051" s="1617"/>
      <c r="Q1051" s="1617"/>
      <c r="R1051" s="1617"/>
      <c r="S1051" s="1617"/>
      <c r="T1051" s="1617"/>
      <c r="U1051" s="1617"/>
      <c r="V1051" s="1617"/>
      <c r="W1051" s="1617"/>
      <c r="X1051" s="1617"/>
      <c r="Y1051" s="1617"/>
      <c r="Z1051" s="1617"/>
      <c r="AA1051" s="1617"/>
      <c r="AB1051" s="1617"/>
      <c r="AC1051" s="1617"/>
      <c r="AD1051" s="1617"/>
      <c r="AE1051" s="1617"/>
      <c r="AF1051" s="1617"/>
      <c r="AG1051" s="1617"/>
      <c r="AH1051" s="1617"/>
      <c r="AI1051" s="1617"/>
      <c r="AJ1051" s="1617"/>
      <c r="AK1051" s="1617"/>
      <c r="AL1051" s="16"/>
      <c r="CE1051" s="1393"/>
    </row>
    <row r="1052" spans="1:97" ht="12.75" customHeight="1">
      <c r="A1052" s="1089"/>
      <c r="B1052" s="1089"/>
      <c r="C1052" s="559"/>
      <c r="D1052" s="1617"/>
      <c r="E1052" s="1617"/>
      <c r="F1052" s="1617"/>
      <c r="G1052" s="1617"/>
      <c r="H1052" s="1617"/>
      <c r="I1052" s="1617"/>
      <c r="J1052" s="1617"/>
      <c r="K1052" s="1617"/>
      <c r="L1052" s="1617"/>
      <c r="M1052" s="1617"/>
      <c r="N1052" s="1617"/>
      <c r="O1052" s="1617"/>
      <c r="P1052" s="1617"/>
      <c r="Q1052" s="1617"/>
      <c r="R1052" s="1617"/>
      <c r="S1052" s="1617"/>
      <c r="T1052" s="1617"/>
      <c r="U1052" s="1617"/>
      <c r="V1052" s="1617"/>
      <c r="W1052" s="1617"/>
      <c r="X1052" s="1617"/>
      <c r="Y1052" s="1617"/>
      <c r="Z1052" s="1617"/>
      <c r="AA1052" s="1617"/>
      <c r="AB1052" s="1617"/>
      <c r="AC1052" s="1617"/>
      <c r="AD1052" s="1617"/>
      <c r="AE1052" s="1617"/>
      <c r="AF1052" s="1617"/>
      <c r="AG1052" s="1617"/>
      <c r="AH1052" s="1617"/>
      <c r="AI1052" s="1617"/>
      <c r="AJ1052" s="1617"/>
      <c r="AK1052" s="1617"/>
    </row>
    <row r="1053" spans="1:97" ht="12.75" customHeight="1">
      <c r="A1053" s="390"/>
      <c r="B1053" s="390"/>
      <c r="C1053" s="559"/>
      <c r="D1053" s="1617"/>
      <c r="E1053" s="1617"/>
      <c r="F1053" s="1617"/>
      <c r="G1053" s="1617"/>
      <c r="H1053" s="1617"/>
      <c r="I1053" s="1617"/>
      <c r="J1053" s="1617"/>
      <c r="K1053" s="1617"/>
      <c r="L1053" s="1617"/>
      <c r="M1053" s="1617"/>
      <c r="N1053" s="1617"/>
      <c r="O1053" s="1617"/>
      <c r="P1053" s="1617"/>
      <c r="Q1053" s="1617"/>
      <c r="R1053" s="1617"/>
      <c r="S1053" s="1617"/>
      <c r="T1053" s="1617"/>
      <c r="U1053" s="1617"/>
      <c r="V1053" s="1617"/>
      <c r="W1053" s="1617"/>
      <c r="X1053" s="1617"/>
      <c r="Y1053" s="1617"/>
      <c r="Z1053" s="1617"/>
      <c r="AA1053" s="1617"/>
      <c r="AB1053" s="1617"/>
      <c r="AC1053" s="1617"/>
      <c r="AD1053" s="1617"/>
      <c r="AE1053" s="1617"/>
      <c r="AF1053" s="1617"/>
      <c r="AG1053" s="1617"/>
      <c r="AH1053" s="1617"/>
      <c r="AI1053" s="1617"/>
      <c r="AJ1053" s="1617"/>
      <c r="AK1053" s="1617"/>
    </row>
    <row r="1054" spans="1:97" ht="12.75" customHeight="1">
      <c r="A1054" s="76"/>
      <c r="B1054" s="80"/>
      <c r="C1054" s="559"/>
      <c r="D1054" s="1617"/>
      <c r="E1054" s="1617"/>
      <c r="F1054" s="1617"/>
      <c r="G1054" s="1617"/>
      <c r="H1054" s="1617"/>
      <c r="I1054" s="1617"/>
      <c r="J1054" s="1617"/>
      <c r="K1054" s="1617"/>
      <c r="L1054" s="1617"/>
      <c r="M1054" s="1617"/>
      <c r="N1054" s="1617"/>
      <c r="O1054" s="1617"/>
      <c r="P1054" s="1617"/>
      <c r="Q1054" s="1617"/>
      <c r="R1054" s="1617"/>
      <c r="S1054" s="1617"/>
      <c r="T1054" s="1617"/>
      <c r="U1054" s="1617"/>
      <c r="V1054" s="1617"/>
      <c r="W1054" s="1617"/>
      <c r="X1054" s="1617"/>
      <c r="Y1054" s="1617"/>
      <c r="Z1054" s="1617"/>
      <c r="AA1054" s="1617"/>
      <c r="AB1054" s="1617"/>
      <c r="AC1054" s="1617"/>
      <c r="AD1054" s="1617"/>
      <c r="AE1054" s="1617"/>
      <c r="AF1054" s="1617"/>
      <c r="AG1054" s="1617"/>
      <c r="AH1054" s="1617"/>
      <c r="AI1054" s="1617"/>
      <c r="AJ1054" s="1617"/>
      <c r="AK1054" s="1617"/>
    </row>
    <row r="1055" spans="1:97" ht="29.25" customHeight="1">
      <c r="A1055" s="1748" t="s">
        <v>136</v>
      </c>
      <c r="B1055" s="1748"/>
      <c r="C1055" s="559">
        <v>9</v>
      </c>
      <c r="D1055" s="1617" t="s">
        <v>1706</v>
      </c>
      <c r="E1055" s="1617"/>
      <c r="F1055" s="1617"/>
      <c r="G1055" s="1617"/>
      <c r="H1055" s="1617"/>
      <c r="I1055" s="1617"/>
      <c r="J1055" s="1617"/>
      <c r="K1055" s="1617"/>
      <c r="L1055" s="1617"/>
      <c r="M1055" s="1617"/>
      <c r="N1055" s="1617"/>
      <c r="O1055" s="1617"/>
      <c r="P1055" s="1617"/>
      <c r="Q1055" s="1617"/>
      <c r="R1055" s="1617"/>
      <c r="S1055" s="1617"/>
      <c r="T1055" s="1617"/>
      <c r="U1055" s="1617"/>
      <c r="V1055" s="1617"/>
      <c r="W1055" s="1617"/>
      <c r="X1055" s="1617"/>
      <c r="Y1055" s="1617"/>
      <c r="Z1055" s="1617"/>
      <c r="AA1055" s="1617"/>
      <c r="AB1055" s="1617"/>
      <c r="AC1055" s="1617"/>
      <c r="AD1055" s="1617"/>
      <c r="AE1055" s="1617"/>
      <c r="AF1055" s="1617"/>
      <c r="AG1055" s="1617"/>
      <c r="AH1055" s="1617"/>
      <c r="AI1055" s="1617"/>
      <c r="AJ1055" s="1617"/>
      <c r="AK1055" s="1617"/>
    </row>
    <row r="1056" spans="1:97" ht="12.75" hidden="1" customHeight="1">
      <c r="A1056" s="76"/>
      <c r="B1056" s="80"/>
      <c r="C1056" s="559"/>
      <c r="D1056" s="1617"/>
      <c r="E1056" s="1617"/>
      <c r="F1056" s="1617"/>
      <c r="G1056" s="1617"/>
      <c r="H1056" s="1617"/>
      <c r="I1056" s="1617"/>
      <c r="J1056" s="1617"/>
      <c r="K1056" s="1617"/>
      <c r="L1056" s="1617"/>
      <c r="M1056" s="1617"/>
      <c r="N1056" s="1617"/>
      <c r="O1056" s="1617"/>
      <c r="P1056" s="1617"/>
      <c r="Q1056" s="1617"/>
      <c r="R1056" s="1617"/>
      <c r="S1056" s="1617"/>
      <c r="T1056" s="1617"/>
      <c r="U1056" s="1617"/>
      <c r="V1056" s="1617"/>
      <c r="W1056" s="1617"/>
      <c r="X1056" s="1617"/>
      <c r="Y1056" s="1617"/>
      <c r="Z1056" s="1617"/>
      <c r="AA1056" s="1617"/>
      <c r="AB1056" s="1617"/>
      <c r="AC1056" s="1617"/>
      <c r="AD1056" s="1617"/>
      <c r="AE1056" s="1617"/>
      <c r="AF1056" s="1617"/>
      <c r="AG1056" s="1617"/>
      <c r="AH1056" s="1617"/>
      <c r="AI1056" s="1617"/>
      <c r="AJ1056" s="1617"/>
      <c r="AK1056" s="1617"/>
    </row>
    <row r="1057" spans="1:38" ht="12.75" hidden="1" customHeight="1">
      <c r="D1057" s="1617"/>
      <c r="E1057" s="1617"/>
      <c r="F1057" s="1617"/>
      <c r="G1057" s="1617"/>
      <c r="H1057" s="1617"/>
      <c r="I1057" s="1617"/>
      <c r="J1057" s="1617"/>
      <c r="K1057" s="1617"/>
      <c r="L1057" s="1617"/>
      <c r="M1057" s="1617"/>
      <c r="N1057" s="1617"/>
      <c r="O1057" s="1617"/>
      <c r="P1057" s="1617"/>
      <c r="Q1057" s="1617"/>
      <c r="R1057" s="1617"/>
      <c r="S1057" s="1617"/>
      <c r="T1057" s="1617"/>
      <c r="U1057" s="1617"/>
      <c r="V1057" s="1617"/>
      <c r="W1057" s="1617"/>
      <c r="X1057" s="1617"/>
      <c r="Y1057" s="1617"/>
      <c r="Z1057" s="1617"/>
      <c r="AA1057" s="1617"/>
      <c r="AB1057" s="1617"/>
      <c r="AC1057" s="1617"/>
      <c r="AD1057" s="1617"/>
      <c r="AE1057" s="1617"/>
      <c r="AF1057" s="1617"/>
      <c r="AG1057" s="1617"/>
      <c r="AH1057" s="1617"/>
      <c r="AI1057" s="1617"/>
      <c r="AJ1057" s="1617"/>
      <c r="AK1057" s="161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D982:AE982"/>
    <mergeCell ref="AG982:AH982"/>
    <mergeCell ref="AJ982:AQ985"/>
    <mergeCell ref="D983:AE985"/>
    <mergeCell ref="AF983:AI985"/>
    <mergeCell ref="D986:AE986"/>
    <mergeCell ref="AG986:AH986"/>
    <mergeCell ref="AJ986:AQ988"/>
    <mergeCell ref="D987:AE988"/>
    <mergeCell ref="AG970:AH970"/>
    <mergeCell ref="AJ970:AQ972"/>
    <mergeCell ref="D971:AE97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AJ955:AQ957"/>
    <mergeCell ref="D974:AE976"/>
    <mergeCell ref="D957:AE957"/>
    <mergeCell ref="D958:AE958"/>
    <mergeCell ref="AG958:AH958"/>
    <mergeCell ref="AJ958:AQ963"/>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D989:AE989"/>
    <mergeCell ref="AG989:AH989"/>
    <mergeCell ref="AJ989:AQ992"/>
    <mergeCell ref="D990:AE992"/>
    <mergeCell ref="D964:AE964"/>
    <mergeCell ref="AG964:AH964"/>
    <mergeCell ref="AJ964:AQ967"/>
    <mergeCell ref="D965:AE967"/>
    <mergeCell ref="L917:S917"/>
    <mergeCell ref="U909:Z909"/>
    <mergeCell ref="AE924:AK924"/>
    <mergeCell ref="AA929:AG929"/>
    <mergeCell ref="L921:S921"/>
    <mergeCell ref="AE921:AK921"/>
    <mergeCell ref="AE923:AK923"/>
    <mergeCell ref="U907:Z907"/>
    <mergeCell ref="AA905:AF905"/>
    <mergeCell ref="AA894:AF894"/>
    <mergeCell ref="W832:AC832"/>
    <mergeCell ref="W825:AC825"/>
    <mergeCell ref="E872:AB872"/>
    <mergeCell ref="AN874:AO874"/>
    <mergeCell ref="AA895:AF895"/>
    <mergeCell ref="AA897:AF897"/>
    <mergeCell ref="U897:Z897"/>
    <mergeCell ref="AA912:AF912"/>
    <mergeCell ref="U898:Z898"/>
    <mergeCell ref="AC867:AH867"/>
    <mergeCell ref="AC871:AH871"/>
    <mergeCell ref="I912:T912"/>
    <mergeCell ref="AA910:AF910"/>
    <mergeCell ref="I909:T909"/>
    <mergeCell ref="J827:V827"/>
    <mergeCell ref="W855:AC855"/>
    <mergeCell ref="U908:Z908"/>
    <mergeCell ref="AA908:AF908"/>
    <mergeCell ref="I910:T910"/>
    <mergeCell ref="U904:Z904"/>
    <mergeCell ref="AA904:AF904"/>
    <mergeCell ref="U899:Z899"/>
    <mergeCell ref="W820:AC820"/>
    <mergeCell ref="W839:AC839"/>
    <mergeCell ref="AG810:AJ810"/>
    <mergeCell ref="AC863:AH863"/>
    <mergeCell ref="W850:AC850"/>
    <mergeCell ref="J772:N772"/>
    <mergeCell ref="O772:S772"/>
    <mergeCell ref="Z877:AE877"/>
    <mergeCell ref="AG809:AJ809"/>
    <mergeCell ref="Z795:AE795"/>
    <mergeCell ref="Y805:AB805"/>
    <mergeCell ref="U809:X809"/>
    <mergeCell ref="Z876:AE876"/>
    <mergeCell ref="AC872:AH872"/>
    <mergeCell ref="W856:AC856"/>
    <mergeCell ref="T836:V836"/>
    <mergeCell ref="T838:V838"/>
    <mergeCell ref="AC868:AH868"/>
    <mergeCell ref="AC869:AH869"/>
    <mergeCell ref="AC866:AH866"/>
    <mergeCell ref="M856:V856"/>
    <mergeCell ref="AC865:AH865"/>
    <mergeCell ref="W824:AC824"/>
    <mergeCell ref="C815:AJ815"/>
    <mergeCell ref="M824:V824"/>
    <mergeCell ref="M810:P810"/>
    <mergeCell ref="W822:AC822"/>
    <mergeCell ref="W837:AC837"/>
    <mergeCell ref="M854:V854"/>
    <mergeCell ref="AC873:AH873"/>
    <mergeCell ref="AC864:AH864"/>
    <mergeCell ref="C810:L810"/>
    <mergeCell ref="AG806:AJ806"/>
    <mergeCell ref="Z796:AE796"/>
    <mergeCell ref="Z791:AE791"/>
    <mergeCell ref="Q810:T810"/>
    <mergeCell ref="AC809:AF809"/>
    <mergeCell ref="Y778:AC778"/>
    <mergeCell ref="P794:Y794"/>
    <mergeCell ref="AG805:AJ805"/>
    <mergeCell ref="AG808:AJ808"/>
    <mergeCell ref="Q808:T808"/>
    <mergeCell ref="U807:X807"/>
    <mergeCell ref="AG807:AJ807"/>
    <mergeCell ref="J773:N773"/>
    <mergeCell ref="O773:S773"/>
    <mergeCell ref="M805:P805"/>
    <mergeCell ref="Z786:AE786"/>
    <mergeCell ref="U804:X804"/>
    <mergeCell ref="AC804:AF804"/>
    <mergeCell ref="Y804:AB804"/>
    <mergeCell ref="M809:P809"/>
    <mergeCell ref="Y803:AB803"/>
    <mergeCell ref="Q806:T806"/>
    <mergeCell ref="AC808:AF808"/>
    <mergeCell ref="Q807:T807"/>
    <mergeCell ref="Q805:T805"/>
    <mergeCell ref="AG801:AJ802"/>
    <mergeCell ref="M806:P806"/>
    <mergeCell ref="X775:AB775"/>
    <mergeCell ref="AC775:AG775"/>
    <mergeCell ref="AC776:AG776"/>
    <mergeCell ref="M808:P808"/>
    <mergeCell ref="AC801:AF802"/>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X768:AB76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AM730:AO730"/>
    <mergeCell ref="K729:N729"/>
    <mergeCell ref="T727:X727"/>
    <mergeCell ref="Y727:AB727"/>
    <mergeCell ref="AC727:AG727"/>
    <mergeCell ref="AH727:AL727"/>
    <mergeCell ref="AM727:AO727"/>
    <mergeCell ref="K728:N72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4:N724"/>
    <mergeCell ref="O724:S724"/>
    <mergeCell ref="T724:X724"/>
    <mergeCell ref="Y724:AB724"/>
    <mergeCell ref="AC724:AG724"/>
    <mergeCell ref="AH724:AL724"/>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T712:X712"/>
    <mergeCell ref="Y712:AB712"/>
    <mergeCell ref="AC712:AG712"/>
    <mergeCell ref="AH712:AL712"/>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T708:X708"/>
    <mergeCell ref="Y708:AB708"/>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A677:AK677"/>
    <mergeCell ref="P684:R684"/>
    <mergeCell ref="Z690:AK690"/>
    <mergeCell ref="AG678:AH678"/>
    <mergeCell ref="AI684:AK684"/>
    <mergeCell ref="Z683:AK683"/>
    <mergeCell ref="AI692:AK692"/>
    <mergeCell ref="AG694:AH694"/>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R639:T639"/>
    <mergeCell ref="U639:W639"/>
    <mergeCell ref="X639:AB639"/>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4:BR644"/>
    <mergeCell ref="BS644:BW644"/>
    <mergeCell ref="BX644:CB644"/>
    <mergeCell ref="CC644:CG644"/>
    <mergeCell ref="CH644:CL644"/>
    <mergeCell ref="CM644:CQ644"/>
    <mergeCell ref="BX640:CB640"/>
    <mergeCell ref="CC640:CG640"/>
    <mergeCell ref="CH640:CL640"/>
    <mergeCell ref="CM640:CQ640"/>
    <mergeCell ref="BN641:BR641"/>
    <mergeCell ref="BS641:BW641"/>
    <mergeCell ref="BX641:CB641"/>
    <mergeCell ref="CC641:CG641"/>
    <mergeCell ref="CH641:CL641"/>
    <mergeCell ref="CM641:CQ641"/>
    <mergeCell ref="BN639:BR639"/>
    <mergeCell ref="BS639:BW639"/>
    <mergeCell ref="BX639:CB639"/>
    <mergeCell ref="CC639:CG639"/>
    <mergeCell ref="CH639:CL639"/>
    <mergeCell ref="CM639:CQ639"/>
    <mergeCell ref="BN645:BR645"/>
    <mergeCell ref="BS645:BW645"/>
    <mergeCell ref="BX645:CB645"/>
    <mergeCell ref="CC645:CG645"/>
    <mergeCell ref="CH645:CL645"/>
    <mergeCell ref="CM645:CQ645"/>
    <mergeCell ref="BN643:BR643"/>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S640:BW64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24:CW624"/>
    <mergeCell ref="CS625:CW625"/>
    <mergeCell ref="CS626:CW626"/>
    <mergeCell ref="CS627:CW627"/>
    <mergeCell ref="CS608:CW608"/>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DR611:DV611"/>
    <mergeCell ref="DR612:DV612"/>
    <mergeCell ref="DR613:DV613"/>
    <mergeCell ref="DR614:DV614"/>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BX609:CB609"/>
    <mergeCell ref="CC609:CG609"/>
    <mergeCell ref="CH609:CL609"/>
    <mergeCell ref="CM609:CQ609"/>
    <mergeCell ref="BS610:BW610"/>
    <mergeCell ref="BX610:CB610"/>
    <mergeCell ref="CC610:CG610"/>
    <mergeCell ref="CH610:CL610"/>
    <mergeCell ref="BS611:BW611"/>
    <mergeCell ref="BX611:CB611"/>
    <mergeCell ref="CC611:CG611"/>
    <mergeCell ref="CH611:CL611"/>
    <mergeCell ref="CM611:CQ611"/>
    <mergeCell ref="BS612:BW612"/>
    <mergeCell ref="BX612:CB612"/>
    <mergeCell ref="DR603:DV603"/>
    <mergeCell ref="DR604:DV604"/>
    <mergeCell ref="DR605:DV605"/>
    <mergeCell ref="DR606:DV606"/>
    <mergeCell ref="DR607:DV607"/>
    <mergeCell ref="DR608:DV608"/>
    <mergeCell ref="DR609:DV609"/>
    <mergeCell ref="DR610:DV610"/>
    <mergeCell ref="BN602:BR602"/>
    <mergeCell ref="BN603:BR603"/>
    <mergeCell ref="BN604:BR604"/>
    <mergeCell ref="BN605:BR605"/>
    <mergeCell ref="BN606:BR606"/>
    <mergeCell ref="BN607:BR607"/>
    <mergeCell ref="BN608:BR608"/>
    <mergeCell ref="BN609:BR609"/>
    <mergeCell ref="BN610:BR610"/>
    <mergeCell ref="CM610:CQ610"/>
    <mergeCell ref="CS609:CW609"/>
    <mergeCell ref="CS610:CW610"/>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W562:Y562"/>
    <mergeCell ref="Z562:AD562"/>
    <mergeCell ref="AE562:AH562"/>
    <mergeCell ref="AI562:AL562"/>
    <mergeCell ref="AM562:AS562"/>
    <mergeCell ref="C561:P561"/>
    <mergeCell ref="Q561:S561"/>
    <mergeCell ref="T561:V561"/>
    <mergeCell ref="W561:Y561"/>
    <mergeCell ref="Z561:AD561"/>
    <mergeCell ref="AE561:AH561"/>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E568:AH568"/>
    <mergeCell ref="AI568:AL568"/>
    <mergeCell ref="AM568:AS568"/>
    <mergeCell ref="C569:P569"/>
    <mergeCell ref="Q569:S569"/>
    <mergeCell ref="T569:V569"/>
    <mergeCell ref="AM570:AS570"/>
    <mergeCell ref="C571:P571"/>
    <mergeCell ref="Q571:S571"/>
    <mergeCell ref="C568:P568"/>
    <mergeCell ref="Q568:S568"/>
    <mergeCell ref="T568:V568"/>
    <mergeCell ref="W568:Y568"/>
    <mergeCell ref="Z568:AD568"/>
    <mergeCell ref="AM566:AS566"/>
    <mergeCell ref="C567:P567"/>
    <mergeCell ref="Q567:S567"/>
    <mergeCell ref="T567:V567"/>
    <mergeCell ref="W567:Y567"/>
    <mergeCell ref="Z567:AD567"/>
    <mergeCell ref="AE567:AH567"/>
    <mergeCell ref="AM569:AS569"/>
    <mergeCell ref="AI571:AL571"/>
    <mergeCell ref="AM571:AS57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AM561:AS561"/>
    <mergeCell ref="AG436:AJ436"/>
    <mergeCell ref="AH534:AK534"/>
    <mergeCell ref="AC548:AF548"/>
    <mergeCell ref="AC531:AF531"/>
    <mergeCell ref="AC539:AF539"/>
    <mergeCell ref="AH540:AK540"/>
    <mergeCell ref="AC544:AF544"/>
    <mergeCell ref="AH531:AK531"/>
    <mergeCell ref="AH532:AK532"/>
    <mergeCell ref="AC536:AF536"/>
    <mergeCell ref="AH537:AK537"/>
    <mergeCell ref="AH539:AK539"/>
    <mergeCell ref="AM565:AS565"/>
    <mergeCell ref="AI560:AL560"/>
    <mergeCell ref="AM560:AS560"/>
    <mergeCell ref="D464:V464"/>
    <mergeCell ref="F420:AH421"/>
    <mergeCell ref="AG431:AJ431"/>
    <mergeCell ref="AG435:AJ435"/>
    <mergeCell ref="AG432:AJ432"/>
    <mergeCell ref="D440:AF440"/>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C560:P560"/>
    <mergeCell ref="Q560:S560"/>
    <mergeCell ref="T560:V560"/>
    <mergeCell ref="Y487:AC487"/>
    <mergeCell ref="AD482:AH482"/>
    <mergeCell ref="T481:X481"/>
    <mergeCell ref="AH516:AK516"/>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B523:H525"/>
    <mergeCell ref="AI561:AL561"/>
    <mergeCell ref="C562:P562"/>
    <mergeCell ref="Q562:S562"/>
    <mergeCell ref="T562:V562"/>
    <mergeCell ref="AH533:AK533"/>
    <mergeCell ref="AC535:AF535"/>
    <mergeCell ref="AH535:AK535"/>
    <mergeCell ref="AC515:AF515"/>
    <mergeCell ref="AH515:AK515"/>
    <mergeCell ref="AC516:AF516"/>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AF638:AJ638"/>
    <mergeCell ref="C639:N639"/>
    <mergeCell ref="O639:Q639"/>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J755:N755"/>
    <mergeCell ref="O754:S754"/>
    <mergeCell ref="O755:S755"/>
    <mergeCell ref="C738:AK746"/>
    <mergeCell ref="T731:X731"/>
    <mergeCell ref="AH731:AL731"/>
    <mergeCell ref="G728:J728"/>
    <mergeCell ref="G730:J730"/>
    <mergeCell ref="G729:J729"/>
    <mergeCell ref="J754:N754"/>
    <mergeCell ref="J768:N768"/>
    <mergeCell ref="T775:W77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C803:H803"/>
    <mergeCell ref="C804:H804"/>
    <mergeCell ref="W823:AC823"/>
    <mergeCell ref="Y809:AB809"/>
    <mergeCell ref="U805:X805"/>
    <mergeCell ref="AG804:AJ804"/>
    <mergeCell ref="F809:L809"/>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BK606:BL606"/>
    <mergeCell ref="BI625:BJ625"/>
    <mergeCell ref="BG613:BH613"/>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G608:BH608"/>
    <mergeCell ref="BK608:BL608"/>
    <mergeCell ref="BK607:BL607"/>
    <mergeCell ref="BG607:BH607"/>
    <mergeCell ref="BE613:BF613"/>
    <mergeCell ref="BG614:BH614"/>
    <mergeCell ref="AI610:AK610"/>
    <mergeCell ref="AA619:AK619"/>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AC534:AF534"/>
    <mergeCell ref="AH547:AK547"/>
    <mergeCell ref="Z583:AK583"/>
    <mergeCell ref="G575:R575"/>
    <mergeCell ref="G574:R57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3:F713"/>
    <mergeCell ref="B712:F712"/>
    <mergeCell ref="J762:N765"/>
    <mergeCell ref="G731:J731"/>
    <mergeCell ref="B731:F731"/>
    <mergeCell ref="B729:F729"/>
    <mergeCell ref="J756:N756"/>
    <mergeCell ref="B725:F725"/>
    <mergeCell ref="J748:N751"/>
    <mergeCell ref="O752:S752"/>
    <mergeCell ref="K730:N730"/>
    <mergeCell ref="O730:S730"/>
    <mergeCell ref="J758:K758"/>
    <mergeCell ref="K727:N727"/>
    <mergeCell ref="O727:S727"/>
    <mergeCell ref="O729:S729"/>
    <mergeCell ref="B730:F730"/>
    <mergeCell ref="B728:F7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1018:AK1023"/>
    <mergeCell ref="D968:AE968"/>
    <mergeCell ref="AG968:AH968"/>
    <mergeCell ref="AJ968:AQ969"/>
    <mergeCell ref="D969:AE969"/>
    <mergeCell ref="D970:AE97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F937:L937"/>
    <mergeCell ref="AJ946:AQ946"/>
    <mergeCell ref="L920:S920"/>
    <mergeCell ref="G722:J722"/>
    <mergeCell ref="AA330:AK330"/>
    <mergeCell ref="AJ351:AK351"/>
    <mergeCell ref="A345:AL346"/>
    <mergeCell ref="AA343:AK343"/>
    <mergeCell ref="M351:N351"/>
    <mergeCell ref="Y808:AB808"/>
    <mergeCell ref="Y806:AB806"/>
    <mergeCell ref="C808:H808"/>
    <mergeCell ref="J775:N775"/>
    <mergeCell ref="J776:N776"/>
    <mergeCell ref="O776:S776"/>
    <mergeCell ref="U808:X808"/>
    <mergeCell ref="O768:S768"/>
    <mergeCell ref="J769:N769"/>
    <mergeCell ref="B722:F722"/>
    <mergeCell ref="B727:F727"/>
    <mergeCell ref="B724:F724"/>
    <mergeCell ref="B720:F720"/>
    <mergeCell ref="B723:F723"/>
    <mergeCell ref="O756:S756"/>
    <mergeCell ref="J753:N753"/>
    <mergeCell ref="O753:S753"/>
    <mergeCell ref="J752:N752"/>
    <mergeCell ref="O748:S751"/>
    <mergeCell ref="B726:F726"/>
    <mergeCell ref="O766:S766"/>
    <mergeCell ref="J767:N767"/>
    <mergeCell ref="AI382:AJ382"/>
    <mergeCell ref="Y807:AB807"/>
    <mergeCell ref="O762:S765"/>
    <mergeCell ref="AE557:AH559"/>
    <mergeCell ref="AI557:AL559"/>
    <mergeCell ref="M350:N350"/>
    <mergeCell ref="Q557:S559"/>
    <mergeCell ref="T557:V559"/>
    <mergeCell ref="H339:R339"/>
    <mergeCell ref="AC807:AF807"/>
    <mergeCell ref="Q803:T803"/>
    <mergeCell ref="M803:P803"/>
    <mergeCell ref="G723:J723"/>
    <mergeCell ref="G724:J724"/>
    <mergeCell ref="Z692:AE692"/>
    <mergeCell ref="G711:J711"/>
    <mergeCell ref="G718:J718"/>
    <mergeCell ref="J766:N766"/>
    <mergeCell ref="G721:J721"/>
    <mergeCell ref="AA693:AK693"/>
    <mergeCell ref="Y801:AB802"/>
    <mergeCell ref="Z794:AE794"/>
    <mergeCell ref="Z787:AE787"/>
    <mergeCell ref="Q383:U383"/>
    <mergeCell ref="AG383:AJ383"/>
    <mergeCell ref="AJ349:AK349"/>
    <mergeCell ref="O769:S769"/>
    <mergeCell ref="AG803:AJ803"/>
    <mergeCell ref="T770:W770"/>
    <mergeCell ref="X770:AB770"/>
    <mergeCell ref="N366:AF367"/>
    <mergeCell ref="AC378:AJ378"/>
    <mergeCell ref="V375:W375"/>
    <mergeCell ref="G715:J715"/>
    <mergeCell ref="G692:L692"/>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AD370:AE370"/>
    <mergeCell ref="S370:T370"/>
    <mergeCell ref="AC363:AF363"/>
    <mergeCell ref="Q384:U384"/>
    <mergeCell ref="M352:N352"/>
    <mergeCell ref="H333:M333"/>
    <mergeCell ref="AA338:AK338"/>
    <mergeCell ref="J360:K360"/>
    <mergeCell ref="AG430:AJ430"/>
    <mergeCell ref="D434:AF434"/>
    <mergeCell ref="D435:AF435"/>
    <mergeCell ref="D436:AF436"/>
    <mergeCell ref="AG437:AJ437"/>
    <mergeCell ref="AG434:AJ434"/>
    <mergeCell ref="D446:AJ446"/>
    <mergeCell ref="J379:U379"/>
    <mergeCell ref="AC379:AJ37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11:AK311"/>
    <mergeCell ref="P301:R301"/>
    <mergeCell ref="AI301:AK301"/>
    <mergeCell ref="L277:AD277"/>
    <mergeCell ref="L278:S278"/>
    <mergeCell ref="AA295:AK295"/>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W263:X263"/>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U902:Z902"/>
    <mergeCell ref="AA902:AF902"/>
    <mergeCell ref="F892:T893"/>
    <mergeCell ref="AC862:AH862"/>
    <mergeCell ref="AB893:AE893"/>
    <mergeCell ref="W830:AC830"/>
    <mergeCell ref="M849:V849"/>
    <mergeCell ref="W833:AC833"/>
    <mergeCell ref="W848:AC848"/>
    <mergeCell ref="W847:AC847"/>
    <mergeCell ref="W854:AC854"/>
    <mergeCell ref="F891:T891"/>
    <mergeCell ref="AA901:AF901"/>
    <mergeCell ref="U894:Z894"/>
    <mergeCell ref="AA898:AF898"/>
    <mergeCell ref="B718:F718"/>
    <mergeCell ref="C807:H807"/>
    <mergeCell ref="AC806:AF806"/>
    <mergeCell ref="AC805:AF805"/>
    <mergeCell ref="J774:N774"/>
    <mergeCell ref="O774:S774"/>
    <mergeCell ref="C806:H806"/>
    <mergeCell ref="O767:S767"/>
    <mergeCell ref="U806:X806"/>
    <mergeCell ref="G726:J726"/>
    <mergeCell ref="G727:J727"/>
    <mergeCell ref="G725:J725"/>
    <mergeCell ref="B721:F721"/>
    <mergeCell ref="Q809:T809"/>
    <mergeCell ref="Y779:AC779"/>
    <mergeCell ref="U801:X802"/>
    <mergeCell ref="U810:X810"/>
    <mergeCell ref="G714:J71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K717:N717"/>
    <mergeCell ref="O717:S717"/>
    <mergeCell ref="I403:AD403"/>
    <mergeCell ref="G665:R665"/>
    <mergeCell ref="Z615:AK615"/>
    <mergeCell ref="G702:J705"/>
    <mergeCell ref="G716:J716"/>
    <mergeCell ref="K706:N706"/>
    <mergeCell ref="O706:S706"/>
    <mergeCell ref="T706:X706"/>
    <mergeCell ref="Y706:AB706"/>
    <mergeCell ref="AC706:AG706"/>
    <mergeCell ref="AH706:AL706"/>
    <mergeCell ref="K708:N708"/>
    <mergeCell ref="O708:S708"/>
    <mergeCell ref="Z557:AD559"/>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AY919:AZ919"/>
    <mergeCell ref="AP874:AS874"/>
    <mergeCell ref="W857:AC857"/>
    <mergeCell ref="T934:Z934"/>
    <mergeCell ref="M935:S935"/>
    <mergeCell ref="M931:S931"/>
    <mergeCell ref="AV875:AY875"/>
    <mergeCell ref="U891:Z893"/>
    <mergeCell ref="AP875:AS875"/>
    <mergeCell ref="E863:AB863"/>
    <mergeCell ref="W844:AC844"/>
    <mergeCell ref="W845:AC845"/>
    <mergeCell ref="W853:AC853"/>
    <mergeCell ref="A1055:B1055"/>
    <mergeCell ref="A1051:B1051"/>
    <mergeCell ref="A1018:B1018"/>
    <mergeCell ref="D1008:AK1010"/>
    <mergeCell ref="A1047:B1047"/>
    <mergeCell ref="A1014:AK1014"/>
    <mergeCell ref="W852:AC852"/>
    <mergeCell ref="A941:AL942"/>
    <mergeCell ref="A1024:B1024"/>
    <mergeCell ref="A1039:B1039"/>
    <mergeCell ref="M937:S937"/>
    <mergeCell ref="AA931:AG931"/>
    <mergeCell ref="Z879:AE879"/>
    <mergeCell ref="O936:P936"/>
    <mergeCell ref="U906:Z906"/>
    <mergeCell ref="A1036:B1036"/>
    <mergeCell ref="A1044:B1044"/>
    <mergeCell ref="A1030:B1030"/>
    <mergeCell ref="D1044:AK1046"/>
    <mergeCell ref="D1002:AI1002"/>
    <mergeCell ref="AJ1002:AQ1002"/>
    <mergeCell ref="D993:AE993"/>
    <mergeCell ref="AG993:AH993"/>
    <mergeCell ref="AJ993:AQ997"/>
    <mergeCell ref="D994:AE997"/>
    <mergeCell ref="D1047:AK1050"/>
    <mergeCell ref="D1051:AK1054"/>
    <mergeCell ref="D1055:AK1057"/>
    <mergeCell ref="D1024:AK1029"/>
    <mergeCell ref="D1030:AK1035"/>
    <mergeCell ref="M853:V853"/>
    <mergeCell ref="M934:S934"/>
    <mergeCell ref="AA907:AF907"/>
    <mergeCell ref="AA903:AF903"/>
    <mergeCell ref="AA906:AF906"/>
    <mergeCell ref="U903:Z903"/>
    <mergeCell ref="Y810:AB810"/>
    <mergeCell ref="W557:Y559"/>
    <mergeCell ref="AA335:AK335"/>
    <mergeCell ref="AA333:AF333"/>
    <mergeCell ref="AA321:AK321"/>
    <mergeCell ref="H327:R327"/>
    <mergeCell ref="H325:M325"/>
    <mergeCell ref="AA326:AF326"/>
    <mergeCell ref="H340:R340"/>
    <mergeCell ref="H342:M342"/>
    <mergeCell ref="AA331:AK331"/>
    <mergeCell ref="U905:Z905"/>
    <mergeCell ref="AA900:AF900"/>
    <mergeCell ref="AC770:AG770"/>
    <mergeCell ref="T771:W771"/>
    <mergeCell ref="X771:AB771"/>
    <mergeCell ref="AC771:AG771"/>
    <mergeCell ref="W846:AC846"/>
    <mergeCell ref="W843:AC843"/>
    <mergeCell ref="AC810:AF810"/>
    <mergeCell ref="M855:V855"/>
    <mergeCell ref="H323:R323"/>
    <mergeCell ref="P325:R325"/>
    <mergeCell ref="AA323:AK323"/>
    <mergeCell ref="H326:M326"/>
    <mergeCell ref="AA332:AK332"/>
    <mergeCell ref="H321:R321"/>
    <mergeCell ref="AA329:AK329"/>
    <mergeCell ref="AA909:AF909"/>
    <mergeCell ref="AE918:AK918"/>
    <mergeCell ref="W840:AC840"/>
    <mergeCell ref="W827:AC827"/>
    <mergeCell ref="W829:AC829"/>
    <mergeCell ref="W835:AC835"/>
    <mergeCell ref="W821:AC821"/>
    <mergeCell ref="W831:AC831"/>
    <mergeCell ref="U910:Z910"/>
    <mergeCell ref="W849:AC849"/>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267:AK267"/>
    <mergeCell ref="H290:R290"/>
    <mergeCell ref="AA317:AF317"/>
    <mergeCell ref="H314:R314"/>
    <mergeCell ref="AI317:AK317"/>
    <mergeCell ref="AA315:AK315"/>
    <mergeCell ref="M259:T259"/>
    <mergeCell ref="H300:R300"/>
    <mergeCell ref="H313:R313"/>
    <mergeCell ref="A284:AL285"/>
    <mergeCell ref="M266:AE266"/>
    <mergeCell ref="L280:Q280"/>
    <mergeCell ref="M261:AE261"/>
    <mergeCell ref="T269:X269"/>
    <mergeCell ref="AC263:AE263"/>
    <mergeCell ref="M258:AE258"/>
    <mergeCell ref="Y280:AD280"/>
    <mergeCell ref="M265:R265"/>
    <mergeCell ref="AI309:AK309"/>
    <mergeCell ref="AA308:AK308"/>
    <mergeCell ref="H318:M318"/>
    <mergeCell ref="AA314:AK314"/>
    <mergeCell ref="H334:M334"/>
    <mergeCell ref="AA337:AK337"/>
    <mergeCell ref="H337:R337"/>
    <mergeCell ref="AI325:AK325"/>
    <mergeCell ref="T197:U197"/>
    <mergeCell ref="Z239:AE239"/>
    <mergeCell ref="H292:R292"/>
    <mergeCell ref="AA302:AF302"/>
    <mergeCell ref="L276:AJ276"/>
    <mergeCell ref="V278:W278"/>
    <mergeCell ref="H307:R307"/>
    <mergeCell ref="AA303:AK303"/>
    <mergeCell ref="M267:T267"/>
    <mergeCell ref="AA325:AF325"/>
    <mergeCell ref="AF261:AK261"/>
    <mergeCell ref="H293:M293"/>
    <mergeCell ref="P317:R317"/>
    <mergeCell ref="H331:R331"/>
    <mergeCell ref="M263:T263"/>
    <mergeCell ref="D272:H272"/>
    <mergeCell ref="L282:AD282"/>
  </mergeCells>
  <phoneticPr fontId="0" type="noConversion"/>
  <conditionalFormatting sqref="AF990">
    <cfRule type="cellIs" dxfId="140" priority="2" stopIfTrue="1" operator="equal">
      <formula>"Please Enter Amount:"</formula>
    </cfRule>
  </conditionalFormatting>
  <conditionalFormatting sqref="B1013 B1011">
    <cfRule type="cellIs" dxfId="139" priority="7" stopIfTrue="1" operator="equal">
      <formula>#N/A</formula>
    </cfRule>
  </conditionalFormatting>
  <conditionalFormatting sqref="AG434:AJ434">
    <cfRule type="expression" dxfId="138" priority="9" stopIfTrue="1">
      <formula>"iserror(d31)"</formula>
    </cfRule>
  </conditionalFormatting>
  <conditionalFormatting sqref="AF978">
    <cfRule type="cellIs" dxfId="137" priority="3" stopIfTrue="1" operator="equal">
      <formula>"Please Enter Amount:"</formula>
    </cfRule>
  </conditionalFormatting>
  <conditionalFormatting sqref="AF983">
    <cfRule type="cellIs" dxfId="13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90" zoomScaleNormal="90" zoomScaleSheetLayoutView="100" workbookViewId="0">
      <pane xSplit="2" ySplit="3" topLeftCell="C4" activePane="bottomRight" state="frozen"/>
      <selection pane="topRight" activeCell="C1" sqref="C1"/>
      <selection pane="bottomLeft" activeCell="A4" sqref="A4"/>
      <selection pane="bottomRight" activeCell="C31" sqref="C31"/>
    </sheetView>
  </sheetViews>
  <sheetFormatPr defaultColWidth="8.81640625" defaultRowHeight="11.5" zeroHeight="1"/>
  <cols>
    <col min="1" max="1" width="32.453125" style="767" customWidth="1"/>
    <col min="2" max="12" width="12.1796875" style="765" customWidth="1"/>
    <col min="13" max="17" width="11.453125" style="765" customWidth="1"/>
    <col min="18" max="18" width="12.453125" style="765" customWidth="1"/>
    <col min="19" max="20" width="12.1796875" style="765" customWidth="1"/>
    <col min="21" max="21" width="0.453125" style="766" customWidth="1"/>
    <col min="22" max="16384" width="8.81640625" style="765"/>
  </cols>
  <sheetData>
    <row r="1" spans="1:21" s="312" customFormat="1" ht="13.5">
      <c r="A1" s="399" t="s">
        <v>146</v>
      </c>
      <c r="B1" s="352"/>
      <c r="C1" s="352"/>
      <c r="D1" s="352"/>
      <c r="E1" s="353"/>
      <c r="F1" s="2244" t="s">
        <v>201</v>
      </c>
      <c r="G1" s="2245"/>
      <c r="H1" s="2245"/>
      <c r="I1" s="2245"/>
      <c r="J1" s="2245"/>
      <c r="K1" s="2245"/>
      <c r="L1" s="2245"/>
      <c r="M1" s="2245"/>
      <c r="N1" s="2245"/>
      <c r="O1" s="2245"/>
      <c r="P1" s="2245"/>
      <c r="Q1" s="2245"/>
      <c r="R1" s="2246"/>
      <c r="S1" s="314"/>
      <c r="T1" s="313"/>
      <c r="U1" s="315"/>
    </row>
    <row r="2" spans="1:21" s="362" customFormat="1" ht="60" customHeight="1">
      <c r="A2" s="361"/>
      <c r="B2" s="362" t="s">
        <v>875</v>
      </c>
      <c r="C2" s="362" t="s">
        <v>565</v>
      </c>
      <c r="D2" s="432" t="s">
        <v>564</v>
      </c>
      <c r="E2" s="362" t="s">
        <v>876</v>
      </c>
      <c r="F2" s="363" t="str">
        <f>Application!B632&amp;Application!C632</f>
        <v>1)Permanent Loan</v>
      </c>
      <c r="G2" s="363" t="str">
        <f>Application!B633&amp;Application!C633</f>
        <v>2)HACSB - Seller Note</v>
      </c>
      <c r="H2" s="363" t="str">
        <f>Application!B634&amp;Application!C634</f>
        <v>3)HACSB - Development Loan</v>
      </c>
      <c r="I2" s="363" t="str">
        <f>Application!B635&amp;Application!C635</f>
        <v>4)County of Ventura HOME</v>
      </c>
      <c r="J2" s="363" t="str">
        <f>Application!B636&amp;Application!C636</f>
        <v>5)County of Ventura CDBG-DR</v>
      </c>
      <c r="K2" s="363" t="str">
        <f>Application!B637&amp;Application!C637</f>
        <v>6)HCD Infill Infrastructure Grant Program</v>
      </c>
      <c r="L2" s="363" t="str">
        <f>Application!B638&amp;Application!C638</f>
        <v>7)City of Ventura CDBG-DR</v>
      </c>
      <c r="M2" s="363" t="str">
        <f>Application!B639&amp;Application!C639</f>
        <v>8)Deferred Developer Fee</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ht="12">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1614460</v>
      </c>
      <c r="C4" s="371">
        <v>1614460</v>
      </c>
      <c r="D4" s="371"/>
      <c r="E4" s="371"/>
      <c r="F4" s="371"/>
      <c r="G4" s="371">
        <f>C4</f>
        <v>1614460</v>
      </c>
      <c r="H4" s="371"/>
      <c r="I4" s="371"/>
      <c r="J4" s="371"/>
      <c r="K4" s="371"/>
      <c r="L4" s="371"/>
      <c r="M4" s="371"/>
      <c r="N4" s="371"/>
      <c r="O4" s="371"/>
      <c r="P4" s="371"/>
      <c r="Q4" s="371"/>
      <c r="R4" s="371">
        <f>SUM(E4:Q4)</f>
        <v>1614460</v>
      </c>
      <c r="S4" s="372"/>
      <c r="T4" s="372"/>
      <c r="U4" s="367"/>
    </row>
    <row r="5" spans="1:21" s="368" customFormat="1" ht="13.5">
      <c r="A5" s="481" t="s">
        <v>75</v>
      </c>
      <c r="B5" s="370">
        <f>SUM(C5+D5)</f>
        <v>265683</v>
      </c>
      <c r="C5" s="371">
        <v>265683</v>
      </c>
      <c r="D5" s="371"/>
      <c r="E5" s="371">
        <f>C5-F5</f>
        <v>265683</v>
      </c>
      <c r="F5" s="371"/>
      <c r="G5" s="371"/>
      <c r="H5" s="371"/>
      <c r="I5" s="371"/>
      <c r="J5" s="371"/>
      <c r="K5" s="371"/>
      <c r="L5" s="371"/>
      <c r="M5" s="371"/>
      <c r="N5" s="371"/>
      <c r="O5" s="371"/>
      <c r="P5" s="371"/>
      <c r="Q5" s="371"/>
      <c r="R5" s="371">
        <f>SUM(E5:Q5)</f>
        <v>265683</v>
      </c>
      <c r="S5" s="372"/>
      <c r="T5" s="372"/>
      <c r="U5" s="367"/>
    </row>
    <row r="6" spans="1:21" s="368" customFormat="1">
      <c r="A6" s="369" t="s">
        <v>382</v>
      </c>
      <c r="B6" s="370">
        <f>SUM(C6+D6)</f>
        <v>29018</v>
      </c>
      <c r="C6" s="371">
        <v>29018</v>
      </c>
      <c r="D6" s="371"/>
      <c r="E6" s="371">
        <f>C6</f>
        <v>29018</v>
      </c>
      <c r="F6" s="371"/>
      <c r="G6" s="371"/>
      <c r="H6" s="371"/>
      <c r="I6" s="371"/>
      <c r="J6" s="371"/>
      <c r="K6" s="371"/>
      <c r="L6" s="371"/>
      <c r="M6" s="371"/>
      <c r="N6" s="371"/>
      <c r="O6" s="371"/>
      <c r="P6" s="371"/>
      <c r="Q6" s="371"/>
      <c r="R6" s="371">
        <f>SUM(E6:Q6)</f>
        <v>29018</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1909161</v>
      </c>
      <c r="C8" s="370">
        <f t="shared" ref="C8:R8" si="0">SUM(C4:C7)</f>
        <v>1909161</v>
      </c>
      <c r="D8" s="370">
        <f t="shared" si="0"/>
        <v>0</v>
      </c>
      <c r="E8" s="370">
        <f t="shared" si="0"/>
        <v>294701</v>
      </c>
      <c r="F8" s="370">
        <f t="shared" si="0"/>
        <v>0</v>
      </c>
      <c r="G8" s="370">
        <f t="shared" si="0"/>
        <v>1614460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1909161</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1487296</v>
      </c>
      <c r="C10" s="371">
        <v>1487296</v>
      </c>
      <c r="D10" s="371"/>
      <c r="E10" s="371">
        <f>C10-F10</f>
        <v>1487296</v>
      </c>
      <c r="F10" s="371"/>
      <c r="G10" s="371"/>
      <c r="H10" s="371"/>
      <c r="I10" s="371"/>
      <c r="J10" s="371"/>
      <c r="K10" s="371"/>
      <c r="L10" s="371"/>
      <c r="M10" s="371"/>
      <c r="N10" s="371"/>
      <c r="O10" s="371"/>
      <c r="P10" s="371"/>
      <c r="Q10" s="371"/>
      <c r="R10" s="371">
        <f>SUM(E10:Q10)</f>
        <v>1487296</v>
      </c>
      <c r="S10" s="371">
        <f>C10</f>
        <v>1487296</v>
      </c>
      <c r="T10" s="371"/>
      <c r="U10" s="367"/>
    </row>
    <row r="11" spans="1:21" s="368" customFormat="1">
      <c r="A11" s="373" t="s">
        <v>645</v>
      </c>
      <c r="B11" s="370">
        <f>SUM(C11:D11)</f>
        <v>1487296</v>
      </c>
      <c r="C11" s="370">
        <f t="shared" ref="C11:T11" si="1">SUM(C9:C10)</f>
        <v>1487296</v>
      </c>
      <c r="D11" s="370">
        <f t="shared" si="1"/>
        <v>0</v>
      </c>
      <c r="E11" s="370">
        <f t="shared" si="1"/>
        <v>1487296</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1487296</v>
      </c>
      <c r="S11" s="372"/>
      <c r="T11" s="370">
        <f t="shared" si="1"/>
        <v>0</v>
      </c>
      <c r="U11" s="367"/>
    </row>
    <row r="12" spans="1:21" s="368" customFormat="1">
      <c r="A12" s="373" t="s">
        <v>777</v>
      </c>
      <c r="B12" s="370">
        <f t="shared" ref="B12:R12" si="2">SUM(B8+B11)</f>
        <v>3396457</v>
      </c>
      <c r="C12" s="370">
        <f t="shared" si="2"/>
        <v>3396457</v>
      </c>
      <c r="D12" s="370">
        <f t="shared" si="2"/>
        <v>0</v>
      </c>
      <c r="E12" s="370">
        <f t="shared" si="2"/>
        <v>1781997</v>
      </c>
      <c r="F12" s="370">
        <f t="shared" si="2"/>
        <v>0</v>
      </c>
      <c r="G12" s="370">
        <f t="shared" si="2"/>
        <v>1614460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3396457</v>
      </c>
      <c r="S12" s="372"/>
      <c r="T12" s="372"/>
      <c r="U12" s="367"/>
    </row>
    <row r="13" spans="1:21" s="368" customFormat="1">
      <c r="A13" s="721" t="s">
        <v>1228</v>
      </c>
      <c r="B13" s="370">
        <f>SUM(C13+D13)</f>
        <v>170000</v>
      </c>
      <c r="C13" s="371">
        <v>170000</v>
      </c>
      <c r="D13" s="371"/>
      <c r="E13" s="371">
        <f>C13</f>
        <v>170000</v>
      </c>
      <c r="F13" s="371"/>
      <c r="G13" s="371"/>
      <c r="H13" s="371"/>
      <c r="I13" s="371"/>
      <c r="J13" s="371"/>
      <c r="K13" s="371"/>
      <c r="L13" s="371"/>
      <c r="M13" s="371"/>
      <c r="N13" s="371"/>
      <c r="O13" s="371"/>
      <c r="P13" s="371"/>
      <c r="Q13" s="371"/>
      <c r="R13" s="371">
        <f>SUM(E13:Q13)</f>
        <v>170000</v>
      </c>
      <c r="S13" s="371"/>
      <c r="T13" s="371"/>
      <c r="U13" s="367"/>
    </row>
    <row r="14" spans="1:21" s="368" customFormat="1" ht="23">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3581863</v>
      </c>
      <c r="C29" s="371">
        <v>3581863</v>
      </c>
      <c r="D29" s="371"/>
      <c r="E29" s="371"/>
      <c r="F29" s="371"/>
      <c r="G29" s="371"/>
      <c r="H29" s="371"/>
      <c r="I29" s="371">
        <v>660011</v>
      </c>
      <c r="J29" s="371">
        <v>805549</v>
      </c>
      <c r="K29" s="371">
        <f>C29-SUM(I29:J29)</f>
        <v>2116303</v>
      </c>
      <c r="L29" s="371"/>
      <c r="M29" s="371"/>
      <c r="N29" s="371"/>
      <c r="O29" s="371"/>
      <c r="P29" s="371"/>
      <c r="Q29" s="371"/>
      <c r="R29" s="371">
        <f t="shared" ref="R29:R37" si="7">SUM(E29:Q29)</f>
        <v>3581863</v>
      </c>
      <c r="S29" s="371">
        <f>C29</f>
        <v>3581863</v>
      </c>
      <c r="T29" s="371"/>
      <c r="U29" s="367"/>
    </row>
    <row r="30" spans="1:21" s="368" customFormat="1">
      <c r="A30" s="369" t="s">
        <v>1014</v>
      </c>
      <c r="B30" s="370">
        <f t="shared" si="6"/>
        <v>15533819</v>
      </c>
      <c r="C30" s="371">
        <f>15796994-263175</f>
        <v>15533819</v>
      </c>
      <c r="D30" s="371"/>
      <c r="E30" s="371">
        <f>C30-SUM(F30:L30)</f>
        <v>4286160</v>
      </c>
      <c r="F30" s="371">
        <f>Application!AO632</f>
        <v>4341500</v>
      </c>
      <c r="G30" s="371"/>
      <c r="H30" s="371">
        <v>2000000</v>
      </c>
      <c r="I30" s="371"/>
      <c r="J30" s="371"/>
      <c r="K30" s="371">
        <f>2492956-K29</f>
        <v>376653</v>
      </c>
      <c r="L30" s="371">
        <v>4529506</v>
      </c>
      <c r="M30" s="371"/>
      <c r="N30" s="371"/>
      <c r="O30" s="371"/>
      <c r="P30" s="371"/>
      <c r="Q30" s="371"/>
      <c r="R30" s="371">
        <f t="shared" si="7"/>
        <v>15533819</v>
      </c>
      <c r="S30" s="371">
        <f>C30</f>
        <v>15533819</v>
      </c>
      <c r="T30" s="371"/>
      <c r="U30" s="367"/>
    </row>
    <row r="31" spans="1:21" s="368" customFormat="1">
      <c r="A31" s="369" t="s">
        <v>1015</v>
      </c>
      <c r="B31" s="370">
        <f t="shared" si="6"/>
        <v>1457171</v>
      </c>
      <c r="C31" s="371">
        <v>1457171</v>
      </c>
      <c r="D31" s="371"/>
      <c r="E31" s="371">
        <f>C31</f>
        <v>1457171</v>
      </c>
      <c r="F31" s="371"/>
      <c r="G31" s="371"/>
      <c r="H31" s="371"/>
      <c r="I31" s="371"/>
      <c r="J31" s="371"/>
      <c r="K31" s="371"/>
      <c r="L31" s="371"/>
      <c r="M31" s="371"/>
      <c r="N31" s="371"/>
      <c r="O31" s="371"/>
      <c r="P31" s="371"/>
      <c r="Q31" s="371"/>
      <c r="R31" s="371">
        <f t="shared" si="7"/>
        <v>1457171</v>
      </c>
      <c r="S31" s="371">
        <f>C31</f>
        <v>1457171</v>
      </c>
      <c r="T31" s="371"/>
      <c r="U31" s="367"/>
    </row>
    <row r="32" spans="1:21" s="368" customFormat="1">
      <c r="A32" s="369" t="s">
        <v>1016</v>
      </c>
      <c r="B32" s="370">
        <f t="shared" si="6"/>
        <v>436164.5</v>
      </c>
      <c r="C32" s="371">
        <v>436164.5</v>
      </c>
      <c r="D32" s="371"/>
      <c r="E32" s="371">
        <f>C32</f>
        <v>436164.5</v>
      </c>
      <c r="F32" s="371"/>
      <c r="G32" s="371"/>
      <c r="H32" s="371"/>
      <c r="I32" s="371"/>
      <c r="J32" s="371"/>
      <c r="K32" s="371"/>
      <c r="L32" s="371"/>
      <c r="M32" s="371"/>
      <c r="N32" s="371"/>
      <c r="O32" s="371"/>
      <c r="P32" s="371"/>
      <c r="Q32" s="371"/>
      <c r="R32" s="371">
        <f t="shared" si="7"/>
        <v>436164.5</v>
      </c>
      <c r="S32" s="371">
        <f>C32</f>
        <v>436164.5</v>
      </c>
      <c r="T32" s="371"/>
      <c r="U32" s="367"/>
    </row>
    <row r="33" spans="1:21" s="368" customFormat="1">
      <c r="A33" s="369" t="s">
        <v>1017</v>
      </c>
      <c r="B33" s="370">
        <f t="shared" si="6"/>
        <v>436164.5</v>
      </c>
      <c r="C33" s="371">
        <v>436164.5</v>
      </c>
      <c r="D33" s="371"/>
      <c r="E33" s="371">
        <f>C33</f>
        <v>436164.5</v>
      </c>
      <c r="F33" s="371"/>
      <c r="G33" s="371"/>
      <c r="H33" s="371"/>
      <c r="I33" s="371"/>
      <c r="J33" s="371"/>
      <c r="K33" s="371"/>
      <c r="L33" s="371"/>
      <c r="M33" s="371"/>
      <c r="N33" s="371"/>
      <c r="O33" s="371"/>
      <c r="P33" s="371"/>
      <c r="Q33" s="371"/>
      <c r="R33" s="371">
        <f t="shared" si="7"/>
        <v>436164.5</v>
      </c>
      <c r="S33" s="371">
        <f t="shared" ref="S33:S37" si="8">C33</f>
        <v>436164.5</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1019</v>
      </c>
      <c r="B35" s="370">
        <f t="shared" si="6"/>
        <v>208677</v>
      </c>
      <c r="C35" s="371">
        <v>208677</v>
      </c>
      <c r="D35" s="371"/>
      <c r="E35" s="371">
        <f>C35</f>
        <v>208677</v>
      </c>
      <c r="F35" s="371"/>
      <c r="G35" s="371"/>
      <c r="H35" s="371"/>
      <c r="I35" s="371"/>
      <c r="J35" s="371"/>
      <c r="K35" s="371"/>
      <c r="L35" s="371"/>
      <c r="M35" s="371"/>
      <c r="N35" s="371"/>
      <c r="O35" s="371"/>
      <c r="P35" s="371"/>
      <c r="Q35" s="371"/>
      <c r="R35" s="371">
        <f t="shared" si="7"/>
        <v>208677</v>
      </c>
      <c r="S35" s="371">
        <f t="shared" si="8"/>
        <v>208677</v>
      </c>
      <c r="T35" s="371"/>
      <c r="U35" s="367"/>
    </row>
    <row r="36" spans="1:21" s="368" customFormat="1">
      <c r="A36" s="380" t="s">
        <v>2238</v>
      </c>
      <c r="B36" s="370">
        <f t="shared" si="6"/>
        <v>0</v>
      </c>
      <c r="C36" s="371">
        <v>0</v>
      </c>
      <c r="D36" s="371"/>
      <c r="E36" s="371">
        <f>C36</f>
        <v>0</v>
      </c>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592</v>
      </c>
      <c r="B37" s="370">
        <f t="shared" si="6"/>
        <v>0</v>
      </c>
      <c r="C37" s="371">
        <v>0</v>
      </c>
      <c r="D37" s="371"/>
      <c r="E37" s="371">
        <f>C37</f>
        <v>0</v>
      </c>
      <c r="F37" s="371"/>
      <c r="G37" s="371"/>
      <c r="H37" s="371"/>
      <c r="I37" s="371"/>
      <c r="J37" s="371"/>
      <c r="K37" s="371"/>
      <c r="L37" s="371"/>
      <c r="M37" s="371"/>
      <c r="N37" s="371"/>
      <c r="O37" s="371"/>
      <c r="P37" s="371"/>
      <c r="Q37" s="371"/>
      <c r="R37" s="371">
        <f t="shared" si="7"/>
        <v>0</v>
      </c>
      <c r="S37" s="371">
        <f t="shared" si="8"/>
        <v>0</v>
      </c>
      <c r="T37" s="371"/>
      <c r="U37" s="367"/>
    </row>
    <row r="38" spans="1:21" s="368" customFormat="1">
      <c r="A38" s="373" t="s">
        <v>1022</v>
      </c>
      <c r="B38" s="370">
        <f t="shared" si="6"/>
        <v>21653859</v>
      </c>
      <c r="C38" s="370">
        <f>SUM(C29:C37)</f>
        <v>21653859</v>
      </c>
      <c r="D38" s="370">
        <f>SUM(D29:D37)</f>
        <v>0</v>
      </c>
      <c r="E38" s="370">
        <f>SUM(E29:E37)</f>
        <v>6824337</v>
      </c>
      <c r="F38" s="370">
        <f t="shared" ref="F38:T38" si="9">SUM(F29:F37)</f>
        <v>4341500</v>
      </c>
      <c r="G38" s="370">
        <f t="shared" si="9"/>
        <v>0</v>
      </c>
      <c r="H38" s="370">
        <f t="shared" si="9"/>
        <v>2000000</v>
      </c>
      <c r="I38" s="370">
        <f t="shared" si="9"/>
        <v>660011</v>
      </c>
      <c r="J38" s="370">
        <f t="shared" si="9"/>
        <v>805549</v>
      </c>
      <c r="K38" s="370">
        <f t="shared" si="9"/>
        <v>2492956</v>
      </c>
      <c r="L38" s="370">
        <f t="shared" si="9"/>
        <v>4529506</v>
      </c>
      <c r="M38" s="370">
        <f t="shared" si="9"/>
        <v>0</v>
      </c>
      <c r="N38" s="370">
        <f t="shared" si="9"/>
        <v>0</v>
      </c>
      <c r="O38" s="370">
        <f t="shared" si="9"/>
        <v>0</v>
      </c>
      <c r="P38" s="370">
        <f t="shared" si="9"/>
        <v>0</v>
      </c>
      <c r="Q38" s="370">
        <f t="shared" si="9"/>
        <v>0</v>
      </c>
      <c r="R38" s="370">
        <f t="shared" si="9"/>
        <v>21653859</v>
      </c>
      <c r="S38" s="374">
        <f t="shared" si="9"/>
        <v>21653859</v>
      </c>
      <c r="T38" s="374">
        <f t="shared" si="9"/>
        <v>0</v>
      </c>
      <c r="U38" s="367"/>
    </row>
    <row r="39" spans="1:21" s="368" customFormat="1" ht="12">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924480</v>
      </c>
      <c r="C40" s="371">
        <v>924480</v>
      </c>
      <c r="D40" s="371"/>
      <c r="E40" s="371">
        <f>C40</f>
        <v>924480</v>
      </c>
      <c r="F40" s="371"/>
      <c r="G40" s="371"/>
      <c r="H40" s="371"/>
      <c r="I40" s="371"/>
      <c r="J40" s="371"/>
      <c r="K40" s="371"/>
      <c r="L40" s="371"/>
      <c r="M40" s="371"/>
      <c r="N40" s="371"/>
      <c r="O40" s="371"/>
      <c r="P40" s="371"/>
      <c r="Q40" s="371"/>
      <c r="R40" s="371">
        <f>SUM(E40:Q40)</f>
        <v>924480</v>
      </c>
      <c r="S40" s="371">
        <f>C40</f>
        <v>924480</v>
      </c>
      <c r="T40" s="371"/>
      <c r="U40" s="367"/>
    </row>
    <row r="41" spans="1:21" s="368" customFormat="1">
      <c r="A41" s="369" t="s">
        <v>1025</v>
      </c>
      <c r="B41" s="370">
        <f>SUM(C41+D41)</f>
        <v>0</v>
      </c>
      <c r="C41" s="371">
        <v>0</v>
      </c>
      <c r="D41" s="371"/>
      <c r="E41" s="371">
        <f>C41</f>
        <v>0</v>
      </c>
      <c r="F41" s="371"/>
      <c r="G41" s="371"/>
      <c r="H41" s="371"/>
      <c r="I41" s="371"/>
      <c r="J41" s="371"/>
      <c r="K41" s="371"/>
      <c r="L41" s="371"/>
      <c r="M41" s="371"/>
      <c r="N41" s="371"/>
      <c r="O41" s="371"/>
      <c r="P41" s="371"/>
      <c r="Q41" s="371"/>
      <c r="R41" s="371">
        <f>SUM(E41:Q41)</f>
        <v>0</v>
      </c>
      <c r="S41" s="371">
        <f>C41</f>
        <v>0</v>
      </c>
      <c r="T41" s="371"/>
      <c r="U41" s="367"/>
    </row>
    <row r="42" spans="1:21" s="368" customFormat="1">
      <c r="A42" s="373" t="s">
        <v>1026</v>
      </c>
      <c r="B42" s="370">
        <f>SUM(C42:D42)</f>
        <v>924480</v>
      </c>
      <c r="C42" s="370">
        <f>SUM(C39:C41)</f>
        <v>924480</v>
      </c>
      <c r="D42" s="370">
        <f>SUM(D39:D41)</f>
        <v>0</v>
      </c>
      <c r="E42" s="370">
        <f t="shared" ref="E42:T42" si="10">SUM(E40:E41)</f>
        <v>924480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924480</v>
      </c>
      <c r="S42" s="374">
        <f t="shared" si="10"/>
        <v>924480</v>
      </c>
      <c r="T42" s="374">
        <f t="shared" si="10"/>
        <v>0</v>
      </c>
      <c r="U42" s="367"/>
    </row>
    <row r="43" spans="1:21" s="368" customFormat="1">
      <c r="A43" s="373" t="s">
        <v>1027</v>
      </c>
      <c r="B43" s="370">
        <f>SUM(C43:D43)</f>
        <v>328800</v>
      </c>
      <c r="C43" s="371">
        <v>328800</v>
      </c>
      <c r="D43" s="371"/>
      <c r="E43" s="371">
        <f>C43</f>
        <v>328800</v>
      </c>
      <c r="F43" s="371">
        <v>0</v>
      </c>
      <c r="G43" s="371"/>
      <c r="H43" s="371"/>
      <c r="I43" s="371"/>
      <c r="J43" s="371"/>
      <c r="K43" s="371"/>
      <c r="L43" s="371"/>
      <c r="M43" s="371"/>
      <c r="N43" s="371"/>
      <c r="O43" s="371"/>
      <c r="P43" s="371"/>
      <c r="Q43" s="371"/>
      <c r="R43" s="371">
        <f>SUM(E43:Q43)</f>
        <v>328800</v>
      </c>
      <c r="S43" s="371">
        <f>C43</f>
        <v>328800</v>
      </c>
      <c r="T43" s="371"/>
      <c r="U43" s="367"/>
    </row>
    <row r="44" spans="1:21" s="368" customFormat="1" ht="12">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1185800</v>
      </c>
      <c r="C45" s="371">
        <v>1185800</v>
      </c>
      <c r="D45" s="371"/>
      <c r="E45" s="371">
        <f>C45</f>
        <v>1185800</v>
      </c>
      <c r="F45" s="371"/>
      <c r="G45" s="371"/>
      <c r="H45" s="371"/>
      <c r="I45" s="371"/>
      <c r="J45" s="371"/>
      <c r="K45" s="371"/>
      <c r="L45" s="371"/>
      <c r="M45" s="371"/>
      <c r="N45" s="371"/>
      <c r="O45" s="371"/>
      <c r="P45" s="371"/>
      <c r="Q45" s="371"/>
      <c r="R45" s="371">
        <f t="shared" ref="R45:R52" si="12">SUM(E45:Q45)</f>
        <v>1185800</v>
      </c>
      <c r="S45" s="371">
        <v>889099</v>
      </c>
      <c r="T45" s="371"/>
      <c r="U45" s="367"/>
    </row>
    <row r="46" spans="1:21" s="368" customFormat="1">
      <c r="A46" s="369" t="s">
        <v>1030</v>
      </c>
      <c r="B46" s="370">
        <f t="shared" si="11"/>
        <v>0</v>
      </c>
      <c r="C46" s="371"/>
      <c r="D46" s="371"/>
      <c r="E46" s="371"/>
      <c r="F46" s="371"/>
      <c r="G46" s="371"/>
      <c r="H46" s="371"/>
      <c r="I46" s="371"/>
      <c r="J46" s="371"/>
      <c r="K46" s="371"/>
      <c r="L46" s="371"/>
      <c r="M46" s="371"/>
      <c r="N46" s="371"/>
      <c r="O46" s="371"/>
      <c r="P46" s="371"/>
      <c r="Q46" s="371"/>
      <c r="R46" s="371">
        <f t="shared" si="12"/>
        <v>0</v>
      </c>
      <c r="S46" s="371"/>
      <c r="T46" s="371"/>
      <c r="U46" s="367"/>
    </row>
    <row r="47" spans="1:21" s="368" customFormat="1" ht="12" customHeight="1">
      <c r="A47" s="369" t="s">
        <v>1031</v>
      </c>
      <c r="B47" s="370">
        <f t="shared" si="11"/>
        <v>247000</v>
      </c>
      <c r="C47" s="371">
        <v>247000</v>
      </c>
      <c r="D47" s="371"/>
      <c r="E47" s="371">
        <f>C47</f>
        <v>247000</v>
      </c>
      <c r="F47" s="371"/>
      <c r="G47" s="371"/>
      <c r="H47" s="371"/>
      <c r="I47" s="371"/>
      <c r="J47" s="371"/>
      <c r="K47" s="371"/>
      <c r="L47" s="371"/>
      <c r="M47" s="371"/>
      <c r="N47" s="371"/>
      <c r="O47" s="371"/>
      <c r="P47" s="371"/>
      <c r="Q47" s="371"/>
      <c r="R47" s="371">
        <f t="shared" si="12"/>
        <v>247000</v>
      </c>
      <c r="S47" s="371">
        <f>C47</f>
        <v>247000</v>
      </c>
      <c r="T47" s="371"/>
      <c r="U47" s="367"/>
    </row>
    <row r="48" spans="1:21" s="368" customFormat="1">
      <c r="A48" s="369" t="s">
        <v>1032</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1035</v>
      </c>
      <c r="B49" s="370">
        <f t="shared" si="11"/>
        <v>100000</v>
      </c>
      <c r="C49" s="371">
        <v>100000</v>
      </c>
      <c r="D49" s="371"/>
      <c r="E49" s="371">
        <f>C49</f>
        <v>100000</v>
      </c>
      <c r="F49" s="371"/>
      <c r="G49" s="371"/>
      <c r="H49" s="371"/>
      <c r="I49" s="371"/>
      <c r="J49" s="371"/>
      <c r="K49" s="371"/>
      <c r="L49" s="371"/>
      <c r="M49" s="371"/>
      <c r="N49" s="371"/>
      <c r="O49" s="371"/>
      <c r="P49" s="371"/>
      <c r="Q49" s="371"/>
      <c r="R49" s="371">
        <f t="shared" si="12"/>
        <v>100000</v>
      </c>
      <c r="S49" s="371">
        <f>C49</f>
        <v>100000</v>
      </c>
      <c r="T49" s="371"/>
      <c r="U49" s="367"/>
    </row>
    <row r="50" spans="1:21" s="368" customFormat="1">
      <c r="A50" s="369" t="s">
        <v>1033</v>
      </c>
      <c r="B50" s="370">
        <f t="shared" si="11"/>
        <v>50000</v>
      </c>
      <c r="C50" s="371">
        <v>50000</v>
      </c>
      <c r="D50" s="371"/>
      <c r="E50" s="371">
        <f>C50</f>
        <v>50000</v>
      </c>
      <c r="F50" s="371"/>
      <c r="G50" s="371"/>
      <c r="H50" s="371"/>
      <c r="I50" s="371"/>
      <c r="J50" s="371"/>
      <c r="K50" s="371"/>
      <c r="L50" s="371"/>
      <c r="M50" s="371"/>
      <c r="N50" s="371"/>
      <c r="O50" s="371"/>
      <c r="P50" s="371"/>
      <c r="Q50" s="371"/>
      <c r="R50" s="371">
        <f t="shared" si="12"/>
        <v>50000</v>
      </c>
      <c r="S50" s="371">
        <f>C50</f>
        <v>50000</v>
      </c>
      <c r="T50" s="371"/>
      <c r="U50" s="367"/>
    </row>
    <row r="51" spans="1:21" s="368" customFormat="1">
      <c r="A51" s="369" t="s">
        <v>1034</v>
      </c>
      <c r="B51" s="370">
        <f t="shared" si="11"/>
        <v>400000</v>
      </c>
      <c r="C51" s="371">
        <v>400000</v>
      </c>
      <c r="D51" s="371"/>
      <c r="E51" s="371">
        <f>C51</f>
        <v>400000</v>
      </c>
      <c r="F51" s="371"/>
      <c r="G51" s="371"/>
      <c r="H51" s="371"/>
      <c r="I51" s="371"/>
      <c r="J51" s="371"/>
      <c r="K51" s="371"/>
      <c r="L51" s="371"/>
      <c r="M51" s="371"/>
      <c r="N51" s="371"/>
      <c r="O51" s="371"/>
      <c r="P51" s="371"/>
      <c r="Q51" s="371"/>
      <c r="R51" s="371">
        <f t="shared" si="12"/>
        <v>400000</v>
      </c>
      <c r="S51" s="371">
        <f>C51</f>
        <v>400000</v>
      </c>
      <c r="T51" s="371"/>
      <c r="U51" s="367"/>
    </row>
    <row r="52" spans="1:21" s="368" customFormat="1">
      <c r="A52" s="376" t="s">
        <v>2542</v>
      </c>
      <c r="B52" s="370">
        <f t="shared" si="11"/>
        <v>232400</v>
      </c>
      <c r="C52" s="371">
        <f>52400+180000</f>
        <v>232400</v>
      </c>
      <c r="D52" s="371"/>
      <c r="E52" s="371">
        <f>C52</f>
        <v>232400</v>
      </c>
      <c r="F52" s="371"/>
      <c r="G52" s="371"/>
      <c r="H52" s="371"/>
      <c r="I52" s="371"/>
      <c r="J52" s="371"/>
      <c r="K52" s="371"/>
      <c r="L52" s="371"/>
      <c r="M52" s="371"/>
      <c r="N52" s="371"/>
      <c r="O52" s="371"/>
      <c r="P52" s="371"/>
      <c r="Q52" s="371"/>
      <c r="R52" s="371">
        <f t="shared" si="12"/>
        <v>232400</v>
      </c>
      <c r="S52" s="371">
        <f>C52</f>
        <v>232400</v>
      </c>
      <c r="T52" s="371"/>
      <c r="U52" s="367"/>
    </row>
    <row r="53" spans="1:21" s="378" customFormat="1">
      <c r="A53" s="373" t="s">
        <v>1036</v>
      </c>
      <c r="B53" s="374">
        <f>SUM(C53:D53)</f>
        <v>2215200</v>
      </c>
      <c r="C53" s="374">
        <f t="shared" ref="C53:T53" si="13">SUM(C45:C52)</f>
        <v>2215200</v>
      </c>
      <c r="D53" s="374">
        <f t="shared" si="13"/>
        <v>0</v>
      </c>
      <c r="E53" s="374">
        <f t="shared" si="13"/>
        <v>2215200</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2215200</v>
      </c>
      <c r="S53" s="374">
        <f t="shared" si="13"/>
        <v>1918499</v>
      </c>
      <c r="T53" s="374">
        <f t="shared" si="13"/>
        <v>0</v>
      </c>
      <c r="U53" s="377"/>
    </row>
    <row r="54" spans="1:21" s="368" customFormat="1" ht="12">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4">SUM(C55+D55)</f>
        <v>0</v>
      </c>
      <c r="C55" s="371"/>
      <c r="D55" s="371"/>
      <c r="E55" s="371">
        <f>C55</f>
        <v>0</v>
      </c>
      <c r="F55" s="371"/>
      <c r="G55" s="371"/>
      <c r="H55" s="371"/>
      <c r="I55" s="371"/>
      <c r="J55" s="371"/>
      <c r="K55" s="371"/>
      <c r="L55" s="371"/>
      <c r="M55" s="371"/>
      <c r="N55" s="371"/>
      <c r="O55" s="371"/>
      <c r="P55" s="371"/>
      <c r="Q55" s="371"/>
      <c r="R55" s="371">
        <f t="shared" ref="R55:R60" si="15">SUM(E55:Q55)</f>
        <v>0</v>
      </c>
      <c r="S55" s="372"/>
      <c r="T55" s="372"/>
      <c r="U55" s="367"/>
    </row>
    <row r="56" spans="1:21" s="368" customFormat="1" ht="12" customHeight="1">
      <c r="A56" s="369" t="s">
        <v>1031</v>
      </c>
      <c r="B56" s="370">
        <f t="shared" si="14"/>
        <v>32600</v>
      </c>
      <c r="C56" s="371">
        <v>32600</v>
      </c>
      <c r="D56" s="371"/>
      <c r="E56" s="371">
        <f>C56</f>
        <v>32600</v>
      </c>
      <c r="F56" s="371"/>
      <c r="G56" s="371"/>
      <c r="H56" s="371"/>
      <c r="I56" s="371"/>
      <c r="J56" s="371"/>
      <c r="K56" s="371"/>
      <c r="L56" s="371"/>
      <c r="M56" s="371"/>
      <c r="N56" s="371"/>
      <c r="O56" s="371"/>
      <c r="P56" s="371"/>
      <c r="Q56" s="371"/>
      <c r="R56" s="371">
        <f t="shared" si="15"/>
        <v>32600</v>
      </c>
      <c r="S56" s="372"/>
      <c r="T56" s="372"/>
      <c r="U56" s="367"/>
    </row>
    <row r="57" spans="1:21" s="368" customFormat="1">
      <c r="A57" s="369" t="s">
        <v>1035</v>
      </c>
      <c r="B57" s="370">
        <f t="shared" si="14"/>
        <v>25000</v>
      </c>
      <c r="C57" s="371">
        <v>25000</v>
      </c>
      <c r="D57" s="371"/>
      <c r="E57" s="371">
        <f>C57</f>
        <v>25000</v>
      </c>
      <c r="F57" s="371"/>
      <c r="G57" s="371"/>
      <c r="H57" s="371"/>
      <c r="I57" s="371"/>
      <c r="J57" s="371"/>
      <c r="K57" s="371"/>
      <c r="L57" s="371"/>
      <c r="M57" s="371"/>
      <c r="N57" s="371"/>
      <c r="O57" s="371"/>
      <c r="P57" s="371"/>
      <c r="Q57" s="371"/>
      <c r="R57" s="371">
        <f t="shared" si="15"/>
        <v>25000</v>
      </c>
      <c r="S57" s="372"/>
      <c r="T57" s="372"/>
      <c r="U57" s="367"/>
    </row>
    <row r="58" spans="1:21" s="368" customFormat="1">
      <c r="A58" s="369" t="s">
        <v>1033</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1034</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2543</v>
      </c>
      <c r="B60" s="370">
        <f t="shared" si="14"/>
        <v>40000</v>
      </c>
      <c r="C60" s="371">
        <f>10000+30000</f>
        <v>40000</v>
      </c>
      <c r="D60" s="371"/>
      <c r="E60" s="371">
        <f>C60</f>
        <v>40000</v>
      </c>
      <c r="F60" s="371"/>
      <c r="G60" s="371"/>
      <c r="H60" s="371"/>
      <c r="I60" s="371"/>
      <c r="J60" s="371"/>
      <c r="K60" s="371"/>
      <c r="L60" s="371"/>
      <c r="M60" s="371"/>
      <c r="N60" s="371"/>
      <c r="O60" s="371"/>
      <c r="P60" s="371"/>
      <c r="Q60" s="371"/>
      <c r="R60" s="371">
        <f t="shared" si="15"/>
        <v>40000</v>
      </c>
      <c r="S60" s="372"/>
      <c r="T60" s="372"/>
      <c r="U60" s="367"/>
    </row>
    <row r="61" spans="1:21" s="368" customFormat="1" ht="14" customHeight="1">
      <c r="A61" s="373" t="s">
        <v>549</v>
      </c>
      <c r="B61" s="370">
        <f>SUM(C61:D61)</f>
        <v>97600</v>
      </c>
      <c r="C61" s="370">
        <f t="shared" ref="C61:R61" si="16">SUM(C55:C60)</f>
        <v>97600</v>
      </c>
      <c r="D61" s="370">
        <f t="shared" si="16"/>
        <v>0</v>
      </c>
      <c r="E61" s="370">
        <f t="shared" si="16"/>
        <v>97600</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97600</v>
      </c>
      <c r="S61" s="372"/>
      <c r="T61" s="372"/>
      <c r="U61" s="367"/>
    </row>
    <row r="62" spans="1:21" s="368" customFormat="1">
      <c r="A62" s="379" t="s">
        <v>550</v>
      </c>
      <c r="B62" s="370">
        <f>SUM(C62:D62)</f>
        <v>28786396</v>
      </c>
      <c r="C62" s="370">
        <f t="shared" ref="C62:R62" si="17">SUM(C8+C11+C13+C14+C15+C26+C27+C38+C42+C43+C53+C61)</f>
        <v>28786396</v>
      </c>
      <c r="D62" s="370">
        <f t="shared" si="17"/>
        <v>0</v>
      </c>
      <c r="E62" s="370">
        <f t="shared" si="17"/>
        <v>12342414</v>
      </c>
      <c r="F62" s="370">
        <f t="shared" si="17"/>
        <v>4341500</v>
      </c>
      <c r="G62" s="370">
        <f t="shared" si="17"/>
        <v>1614460</v>
      </c>
      <c r="H62" s="370">
        <f t="shared" si="17"/>
        <v>2000000</v>
      </c>
      <c r="I62" s="370">
        <f t="shared" si="17"/>
        <v>660011</v>
      </c>
      <c r="J62" s="370">
        <f t="shared" si="17"/>
        <v>805549</v>
      </c>
      <c r="K62" s="370">
        <f t="shared" si="17"/>
        <v>2492956</v>
      </c>
      <c r="L62" s="370">
        <f t="shared" si="17"/>
        <v>4529506</v>
      </c>
      <c r="M62" s="370">
        <f t="shared" si="17"/>
        <v>0</v>
      </c>
      <c r="N62" s="370">
        <f t="shared" si="17"/>
        <v>0</v>
      </c>
      <c r="O62" s="370">
        <f t="shared" si="17"/>
        <v>0</v>
      </c>
      <c r="P62" s="370">
        <f t="shared" si="17"/>
        <v>0</v>
      </c>
      <c r="Q62" s="370">
        <f t="shared" si="17"/>
        <v>0</v>
      </c>
      <c r="R62" s="370">
        <f t="shared" si="17"/>
        <v>28786396</v>
      </c>
      <c r="S62" s="370">
        <f>SUM(S10+S13+S14+S15+S26+S27+S38+S42+S43+S53)</f>
        <v>26312934</v>
      </c>
      <c r="T62" s="370">
        <f>SUM(T11+T13+T14+T15+T26+T27+T38+T42+T43+T53)</f>
        <v>0</v>
      </c>
      <c r="U62" s="367"/>
    </row>
    <row r="63" spans="1:21" s="368" customFormat="1" ht="24">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f>C64</f>
        <v>50000</v>
      </c>
      <c r="F64" s="371"/>
      <c r="G64" s="371"/>
      <c r="H64" s="371"/>
      <c r="I64" s="371"/>
      <c r="J64" s="371"/>
      <c r="K64" s="371"/>
      <c r="L64" s="371"/>
      <c r="M64" s="371"/>
      <c r="N64" s="371"/>
      <c r="O64" s="371"/>
      <c r="P64" s="371"/>
      <c r="Q64" s="371"/>
      <c r="R64" s="371">
        <f>SUM(E64:Q64)</f>
        <v>50000</v>
      </c>
      <c r="S64" s="371">
        <f>C64</f>
        <v>50000</v>
      </c>
      <c r="T64" s="371"/>
      <c r="U64" s="367"/>
    </row>
    <row r="65" spans="1:21" s="368" customFormat="1" ht="23">
      <c r="A65" s="369" t="s">
        <v>2240</v>
      </c>
      <c r="B65" s="370">
        <f>SUM(C65+D65)</f>
        <v>0</v>
      </c>
      <c r="C65" s="371"/>
      <c r="D65" s="371"/>
      <c r="E65" s="371">
        <f>C65</f>
        <v>0</v>
      </c>
      <c r="F65" s="371"/>
      <c r="G65" s="371"/>
      <c r="H65" s="371"/>
      <c r="I65" s="371"/>
      <c r="J65" s="371"/>
      <c r="K65" s="371"/>
      <c r="L65" s="371"/>
      <c r="M65" s="371"/>
      <c r="N65" s="371"/>
      <c r="O65" s="371"/>
      <c r="P65" s="371"/>
      <c r="Q65" s="371"/>
      <c r="R65" s="371">
        <f>SUM(E65:Q65)</f>
        <v>0</v>
      </c>
      <c r="S65" s="371"/>
      <c r="T65" s="371"/>
      <c r="U65" s="367"/>
    </row>
    <row r="66" spans="1:21" s="368" customFormat="1" ht="23">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23">
      <c r="A68" s="376" t="s">
        <v>2534</v>
      </c>
      <c r="B68" s="370">
        <f>SUM(C68+D68)</f>
        <v>590661</v>
      </c>
      <c r="C68" s="371">
        <v>590661</v>
      </c>
      <c r="D68" s="371"/>
      <c r="E68" s="371">
        <f>C68</f>
        <v>590661</v>
      </c>
      <c r="F68" s="371"/>
      <c r="G68" s="371"/>
      <c r="H68" s="371"/>
      <c r="I68" s="371"/>
      <c r="J68" s="371"/>
      <c r="K68" s="371"/>
      <c r="L68" s="371"/>
      <c r="M68" s="371"/>
      <c r="N68" s="371"/>
      <c r="O68" s="371"/>
      <c r="P68" s="371"/>
      <c r="Q68" s="371"/>
      <c r="R68" s="371">
        <f>SUM(E68:Q68)</f>
        <v>590661</v>
      </c>
      <c r="S68" s="371">
        <f>C68</f>
        <v>590661</v>
      </c>
      <c r="T68" s="371"/>
      <c r="U68" s="367"/>
    </row>
    <row r="69" spans="1:21" s="368" customFormat="1">
      <c r="A69" s="373" t="s">
        <v>2243</v>
      </c>
      <c r="B69" s="370">
        <f>SUM(C69:D69)</f>
        <v>640661</v>
      </c>
      <c r="C69" s="370">
        <f>SUM(C63:C68)</f>
        <v>640661</v>
      </c>
      <c r="D69" s="370">
        <f>SUM(D63:D68)</f>
        <v>0</v>
      </c>
      <c r="E69" s="370">
        <f t="shared" ref="E69:T69" si="18">SUM(E64:E68)</f>
        <v>640661</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640661</v>
      </c>
      <c r="S69" s="374">
        <f t="shared" si="18"/>
        <v>640661</v>
      </c>
      <c r="T69" s="374">
        <f t="shared" si="18"/>
        <v>0</v>
      </c>
      <c r="U69" s="367"/>
    </row>
    <row r="70" spans="1:21" s="368" customFormat="1" ht="12">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151575</v>
      </c>
      <c r="C74" s="371">
        <v>151575</v>
      </c>
      <c r="D74" s="371"/>
      <c r="E74" s="371">
        <f>C74</f>
        <v>151575</v>
      </c>
      <c r="F74" s="371"/>
      <c r="G74" s="371"/>
      <c r="H74" s="371"/>
      <c r="I74" s="371"/>
      <c r="J74" s="371"/>
      <c r="K74" s="371"/>
      <c r="L74" s="371"/>
      <c r="M74" s="371"/>
      <c r="N74" s="371"/>
      <c r="O74" s="371"/>
      <c r="P74" s="371"/>
      <c r="Q74" s="371"/>
      <c r="R74" s="371">
        <f>SUM(E74:Q74)</f>
        <v>151575</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151575</v>
      </c>
      <c r="C76" s="370">
        <f t="shared" ref="C76:Q76" si="19">SUM(C71:C75)</f>
        <v>151575</v>
      </c>
      <c r="D76" s="370">
        <f t="shared" si="19"/>
        <v>0</v>
      </c>
      <c r="E76" s="370">
        <f>SUM(E71:E75)</f>
        <v>151575</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151575</v>
      </c>
      <c r="S76" s="372"/>
      <c r="T76" s="372"/>
      <c r="U76" s="367"/>
    </row>
    <row r="77" spans="1:21" s="368" customFormat="1" ht="12"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1170342</v>
      </c>
      <c r="C78" s="371">
        <v>1170342</v>
      </c>
      <c r="D78" s="371"/>
      <c r="E78" s="371">
        <f>C78</f>
        <v>1170342</v>
      </c>
      <c r="F78" s="371"/>
      <c r="G78" s="371"/>
      <c r="H78" s="371"/>
      <c r="I78" s="371"/>
      <c r="J78" s="371"/>
      <c r="K78" s="371"/>
      <c r="L78" s="371"/>
      <c r="M78" s="371"/>
      <c r="N78" s="371"/>
      <c r="O78" s="371"/>
      <c r="P78" s="371"/>
      <c r="Q78" s="371"/>
      <c r="R78" s="371">
        <f>SUM(E78:Q78)</f>
        <v>1170342</v>
      </c>
      <c r="S78" s="371">
        <f>C78</f>
        <v>1170342</v>
      </c>
      <c r="T78" s="371"/>
      <c r="U78" s="367"/>
    </row>
    <row r="79" spans="1:21" s="368" customFormat="1">
      <c r="A79" s="369" t="s">
        <v>597</v>
      </c>
      <c r="B79" s="370">
        <f>SUM(C79+D79)</f>
        <v>300554</v>
      </c>
      <c r="C79" s="371">
        <v>300554</v>
      </c>
      <c r="D79" s="371"/>
      <c r="E79" s="371">
        <f>C79</f>
        <v>300554</v>
      </c>
      <c r="F79" s="371"/>
      <c r="G79" s="371"/>
      <c r="H79" s="371"/>
      <c r="I79" s="371"/>
      <c r="J79" s="371"/>
      <c r="K79" s="371"/>
      <c r="L79" s="371"/>
      <c r="M79" s="371">
        <f>C79-E79</f>
        <v>0</v>
      </c>
      <c r="N79" s="371"/>
      <c r="O79" s="371"/>
      <c r="P79" s="371"/>
      <c r="Q79" s="371"/>
      <c r="R79" s="371">
        <f>SUM(E79:Q79)</f>
        <v>300554</v>
      </c>
      <c r="S79" s="371">
        <f>C79</f>
        <v>300554</v>
      </c>
      <c r="T79" s="371"/>
      <c r="U79" s="367"/>
    </row>
    <row r="80" spans="1:21" s="368" customFormat="1">
      <c r="A80" s="373" t="s">
        <v>1967</v>
      </c>
      <c r="B80" s="370">
        <f>SUM(C80:D80)</f>
        <v>1470896</v>
      </c>
      <c r="C80" s="1124">
        <f>SUM(C78:C79)</f>
        <v>1470896</v>
      </c>
      <c r="D80" s="1124">
        <f t="shared" ref="D80:R80" si="20">SUM(D78:D79)</f>
        <v>0</v>
      </c>
      <c r="E80" s="1124">
        <f t="shared" si="20"/>
        <v>1470896</v>
      </c>
      <c r="F80" s="1124">
        <f t="shared" si="20"/>
        <v>0</v>
      </c>
      <c r="G80" s="1124">
        <f t="shared" si="20"/>
        <v>0</v>
      </c>
      <c r="H80" s="1124">
        <f t="shared" si="20"/>
        <v>0</v>
      </c>
      <c r="I80" s="1124">
        <f t="shared" si="20"/>
        <v>0</v>
      </c>
      <c r="J80" s="1124">
        <f t="shared" si="20"/>
        <v>0</v>
      </c>
      <c r="K80" s="1124">
        <f t="shared" si="20"/>
        <v>0</v>
      </c>
      <c r="L80" s="1124">
        <f t="shared" si="20"/>
        <v>0</v>
      </c>
      <c r="M80" s="1124">
        <f t="shared" si="20"/>
        <v>0</v>
      </c>
      <c r="N80" s="1124">
        <f t="shared" si="20"/>
        <v>0</v>
      </c>
      <c r="O80" s="1124">
        <f t="shared" si="20"/>
        <v>0</v>
      </c>
      <c r="P80" s="1124">
        <f t="shared" si="20"/>
        <v>0</v>
      </c>
      <c r="Q80" s="1124">
        <f t="shared" si="20"/>
        <v>0</v>
      </c>
      <c r="R80" s="1124">
        <f t="shared" si="20"/>
        <v>1470896</v>
      </c>
      <c r="S80" s="1124">
        <f>SUM(S78:S79)</f>
        <v>1470896</v>
      </c>
      <c r="T80" s="1124">
        <f>SUM(T78:T79)</f>
        <v>0</v>
      </c>
      <c r="U80" s="367"/>
    </row>
    <row r="81" spans="1:21" s="368" customFormat="1" ht="12">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574</v>
      </c>
      <c r="B82" s="370">
        <f>SUM(C82+D82)</f>
        <v>102800</v>
      </c>
      <c r="C82" s="371">
        <v>102800</v>
      </c>
      <c r="D82" s="371"/>
      <c r="E82" s="371">
        <f>C82</f>
        <v>102800</v>
      </c>
      <c r="F82" s="371"/>
      <c r="G82" s="371"/>
      <c r="H82" s="371"/>
      <c r="I82" s="371"/>
      <c r="J82" s="371"/>
      <c r="K82" s="371"/>
      <c r="L82" s="371"/>
      <c r="M82" s="371"/>
      <c r="N82" s="371"/>
      <c r="O82" s="371"/>
      <c r="P82" s="371"/>
      <c r="Q82" s="371"/>
      <c r="R82" s="371">
        <f>SUM(E82:Q82)</f>
        <v>102800</v>
      </c>
      <c r="S82" s="372"/>
      <c r="T82" s="372"/>
      <c r="U82" s="367"/>
    </row>
    <row r="83" spans="1:21" s="368" customFormat="1">
      <c r="A83" s="369" t="s">
        <v>575</v>
      </c>
      <c r="B83" s="370">
        <f t="shared" ref="B83:B93" si="21">SUM(C83+D83)</f>
        <v>15000</v>
      </c>
      <c r="C83" s="371">
        <v>15000</v>
      </c>
      <c r="D83" s="371"/>
      <c r="E83" s="371">
        <f t="shared" ref="E83:E93" si="22">C83</f>
        <v>15000</v>
      </c>
      <c r="F83" s="371"/>
      <c r="G83" s="371"/>
      <c r="H83" s="371"/>
      <c r="I83" s="371"/>
      <c r="J83" s="371"/>
      <c r="K83" s="371"/>
      <c r="L83" s="371"/>
      <c r="M83" s="371"/>
      <c r="N83" s="371"/>
      <c r="O83" s="371"/>
      <c r="P83" s="371"/>
      <c r="Q83" s="371"/>
      <c r="R83" s="371">
        <f t="shared" ref="R83:R93" si="23">SUM(E83:Q83)</f>
        <v>15000</v>
      </c>
      <c r="S83" s="371">
        <f>C83</f>
        <v>15000</v>
      </c>
      <c r="T83" s="371"/>
      <c r="U83" s="367"/>
    </row>
    <row r="84" spans="1:21" s="368" customFormat="1">
      <c r="A84" s="369" t="s">
        <v>576</v>
      </c>
      <c r="B84" s="370">
        <f t="shared" si="21"/>
        <v>451563</v>
      </c>
      <c r="C84" s="371">
        <v>451563</v>
      </c>
      <c r="D84" s="371"/>
      <c r="E84" s="371">
        <f t="shared" si="22"/>
        <v>451563</v>
      </c>
      <c r="F84" s="371"/>
      <c r="G84" s="371"/>
      <c r="H84" s="371"/>
      <c r="I84" s="371"/>
      <c r="J84" s="371"/>
      <c r="K84" s="371"/>
      <c r="L84" s="371"/>
      <c r="M84" s="371"/>
      <c r="N84" s="371"/>
      <c r="O84" s="371"/>
      <c r="P84" s="371"/>
      <c r="Q84" s="371"/>
      <c r="R84" s="371">
        <f t="shared" si="23"/>
        <v>451563</v>
      </c>
      <c r="S84" s="371">
        <f>B84</f>
        <v>451563</v>
      </c>
      <c r="T84" s="371"/>
      <c r="U84" s="367"/>
    </row>
    <row r="85" spans="1:21" s="368" customFormat="1">
      <c r="A85" s="369" t="s">
        <v>577</v>
      </c>
      <c r="B85" s="370">
        <f t="shared" si="21"/>
        <v>330000</v>
      </c>
      <c r="C85" s="371">
        <v>330000</v>
      </c>
      <c r="D85" s="371"/>
      <c r="E85" s="371">
        <f t="shared" si="22"/>
        <v>330000</v>
      </c>
      <c r="F85" s="371"/>
      <c r="G85" s="371"/>
      <c r="H85" s="371"/>
      <c r="I85" s="371"/>
      <c r="J85" s="371"/>
      <c r="K85" s="371"/>
      <c r="L85" s="371"/>
      <c r="M85" s="371"/>
      <c r="N85" s="371"/>
      <c r="O85" s="371"/>
      <c r="P85" s="371"/>
      <c r="Q85" s="371"/>
      <c r="R85" s="371">
        <f t="shared" si="23"/>
        <v>330000</v>
      </c>
      <c r="S85" s="371">
        <f>C85</f>
        <v>330000</v>
      </c>
      <c r="T85" s="371"/>
      <c r="U85" s="367"/>
    </row>
    <row r="86" spans="1:21" s="368" customFormat="1">
      <c r="A86" s="369" t="s">
        <v>578</v>
      </c>
      <c r="B86" s="370">
        <f t="shared" si="21"/>
        <v>0</v>
      </c>
      <c r="C86" s="371"/>
      <c r="D86" s="371"/>
      <c r="E86" s="371">
        <f t="shared" si="22"/>
        <v>0</v>
      </c>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1"/>
        <v>65000</v>
      </c>
      <c r="C87" s="371">
        <v>65000</v>
      </c>
      <c r="D87" s="371"/>
      <c r="E87" s="371">
        <f t="shared" si="22"/>
        <v>65000</v>
      </c>
      <c r="F87" s="371"/>
      <c r="G87" s="371"/>
      <c r="H87" s="371"/>
      <c r="I87" s="371"/>
      <c r="J87" s="371"/>
      <c r="K87" s="371"/>
      <c r="L87" s="371"/>
      <c r="M87" s="371"/>
      <c r="N87" s="371"/>
      <c r="O87" s="371"/>
      <c r="P87" s="371"/>
      <c r="Q87" s="371"/>
      <c r="R87" s="371">
        <f t="shared" si="23"/>
        <v>65000</v>
      </c>
      <c r="S87" s="372"/>
      <c r="T87" s="372"/>
      <c r="U87" s="367"/>
    </row>
    <row r="88" spans="1:21" s="368" customFormat="1">
      <c r="A88" s="369" t="s">
        <v>580</v>
      </c>
      <c r="B88" s="370">
        <f t="shared" si="21"/>
        <v>240000</v>
      </c>
      <c r="C88" s="371">
        <v>240000</v>
      </c>
      <c r="D88" s="371"/>
      <c r="E88" s="371">
        <f t="shared" si="22"/>
        <v>240000</v>
      </c>
      <c r="F88" s="371"/>
      <c r="G88" s="371"/>
      <c r="H88" s="371"/>
      <c r="I88" s="371"/>
      <c r="J88" s="371"/>
      <c r="K88" s="371"/>
      <c r="L88" s="371"/>
      <c r="M88" s="371"/>
      <c r="N88" s="371"/>
      <c r="O88" s="371"/>
      <c r="P88" s="371"/>
      <c r="Q88" s="371"/>
      <c r="R88" s="371">
        <f t="shared" si="23"/>
        <v>240000</v>
      </c>
      <c r="S88" s="371">
        <f>C88</f>
        <v>240000</v>
      </c>
      <c r="T88" s="371"/>
      <c r="U88" s="367"/>
    </row>
    <row r="89" spans="1:21" s="368" customFormat="1">
      <c r="A89" s="369" t="s">
        <v>581</v>
      </c>
      <c r="B89" s="370">
        <f t="shared" si="21"/>
        <v>20000</v>
      </c>
      <c r="C89" s="371">
        <v>20000</v>
      </c>
      <c r="D89" s="371"/>
      <c r="E89" s="371">
        <f t="shared" si="22"/>
        <v>20000</v>
      </c>
      <c r="F89" s="371"/>
      <c r="G89" s="371"/>
      <c r="H89" s="371"/>
      <c r="I89" s="371"/>
      <c r="J89" s="371"/>
      <c r="K89" s="371"/>
      <c r="L89" s="371"/>
      <c r="M89" s="371"/>
      <c r="N89" s="371"/>
      <c r="O89" s="371"/>
      <c r="P89" s="371"/>
      <c r="Q89" s="371"/>
      <c r="R89" s="371">
        <f t="shared" si="23"/>
        <v>20000</v>
      </c>
      <c r="S89" s="371">
        <v>0</v>
      </c>
      <c r="T89" s="371"/>
      <c r="U89" s="367"/>
    </row>
    <row r="90" spans="1:21" s="368" customFormat="1">
      <c r="A90" s="380" t="s">
        <v>1453</v>
      </c>
      <c r="B90" s="370">
        <f t="shared" si="21"/>
        <v>0</v>
      </c>
      <c r="C90" s="371">
        <v>0</v>
      </c>
      <c r="D90" s="371"/>
      <c r="E90" s="371">
        <f t="shared" si="22"/>
        <v>0</v>
      </c>
      <c r="F90" s="371"/>
      <c r="G90" s="371"/>
      <c r="H90" s="371"/>
      <c r="I90" s="371"/>
      <c r="J90" s="371"/>
      <c r="K90" s="371"/>
      <c r="L90" s="371"/>
      <c r="M90" s="371"/>
      <c r="N90" s="371"/>
      <c r="O90" s="371"/>
      <c r="P90" s="371"/>
      <c r="Q90" s="371"/>
      <c r="R90" s="371">
        <f t="shared" si="23"/>
        <v>0</v>
      </c>
      <c r="S90" s="371"/>
      <c r="T90" s="371"/>
      <c r="U90" s="367"/>
    </row>
    <row r="91" spans="1:21" s="368" customFormat="1">
      <c r="A91" s="380" t="s">
        <v>1965</v>
      </c>
      <c r="B91" s="370">
        <f t="shared" si="21"/>
        <v>12000</v>
      </c>
      <c r="C91" s="371">
        <v>12000</v>
      </c>
      <c r="D91" s="371"/>
      <c r="E91" s="371">
        <f t="shared" si="22"/>
        <v>12000</v>
      </c>
      <c r="F91" s="371"/>
      <c r="G91" s="371"/>
      <c r="H91" s="371"/>
      <c r="I91" s="371"/>
      <c r="J91" s="371"/>
      <c r="K91" s="371"/>
      <c r="L91" s="371"/>
      <c r="M91" s="371"/>
      <c r="N91" s="371"/>
      <c r="O91" s="371"/>
      <c r="P91" s="371"/>
      <c r="Q91" s="371"/>
      <c r="R91" s="371">
        <f t="shared" si="23"/>
        <v>12000</v>
      </c>
      <c r="S91" s="371">
        <v>0</v>
      </c>
      <c r="T91" s="371"/>
      <c r="U91" s="367"/>
    </row>
    <row r="92" spans="1:21" s="368" customFormat="1">
      <c r="A92" s="376" t="s">
        <v>2528</v>
      </c>
      <c r="B92" s="370">
        <f t="shared" si="21"/>
        <v>186000</v>
      </c>
      <c r="C92" s="371">
        <v>186000</v>
      </c>
      <c r="D92" s="371"/>
      <c r="E92" s="371">
        <f t="shared" si="22"/>
        <v>186000</v>
      </c>
      <c r="F92" s="371"/>
      <c r="G92" s="371"/>
      <c r="H92" s="371"/>
      <c r="I92" s="371"/>
      <c r="J92" s="371"/>
      <c r="K92" s="371"/>
      <c r="L92" s="371"/>
      <c r="M92" s="371"/>
      <c r="N92" s="371"/>
      <c r="O92" s="371"/>
      <c r="P92" s="371"/>
      <c r="Q92" s="371"/>
      <c r="R92" s="371">
        <f t="shared" si="23"/>
        <v>186000</v>
      </c>
      <c r="S92" s="371">
        <v>0</v>
      </c>
      <c r="T92" s="371"/>
      <c r="U92" s="367"/>
    </row>
    <row r="93" spans="1:21" s="368" customFormat="1">
      <c r="A93" s="376" t="s">
        <v>2527</v>
      </c>
      <c r="B93" s="370">
        <f t="shared" si="21"/>
        <v>125227</v>
      </c>
      <c r="C93" s="371">
        <f>16227+109000</f>
        <v>125227</v>
      </c>
      <c r="D93" s="371"/>
      <c r="E93" s="371">
        <f t="shared" si="22"/>
        <v>125227</v>
      </c>
      <c r="F93" s="371"/>
      <c r="G93" s="371"/>
      <c r="H93" s="371"/>
      <c r="I93" s="371"/>
      <c r="J93" s="371"/>
      <c r="K93" s="371"/>
      <c r="L93" s="371"/>
      <c r="M93" s="371"/>
      <c r="N93" s="371"/>
      <c r="O93" s="371"/>
      <c r="P93" s="371"/>
      <c r="Q93" s="371"/>
      <c r="R93" s="371">
        <f t="shared" si="23"/>
        <v>125227</v>
      </c>
      <c r="S93" s="371">
        <f>C93</f>
        <v>125227</v>
      </c>
      <c r="T93" s="371"/>
      <c r="U93" s="367"/>
    </row>
    <row r="94" spans="1:21" s="368" customFormat="1" ht="23">
      <c r="A94" s="376" t="s">
        <v>2541</v>
      </c>
      <c r="B94" s="370">
        <f>SUM(C94+D94)</f>
        <v>324000</v>
      </c>
      <c r="C94" s="371">
        <f>124000+200000</f>
        <v>324000</v>
      </c>
      <c r="D94" s="371"/>
      <c r="E94" s="371">
        <f>C94</f>
        <v>324000</v>
      </c>
      <c r="F94" s="371"/>
      <c r="G94" s="371"/>
      <c r="H94" s="371"/>
      <c r="I94" s="371"/>
      <c r="J94" s="371"/>
      <c r="K94" s="371"/>
      <c r="L94" s="371"/>
      <c r="M94" s="371"/>
      <c r="N94" s="371"/>
      <c r="O94" s="371"/>
      <c r="P94" s="371"/>
      <c r="Q94" s="371"/>
      <c r="R94" s="371">
        <f>SUM(E94:Q94)</f>
        <v>324000</v>
      </c>
      <c r="S94" s="371">
        <f>C94</f>
        <v>324000</v>
      </c>
      <c r="T94" s="371"/>
      <c r="U94" s="367"/>
    </row>
    <row r="95" spans="1:21" s="368" customFormat="1">
      <c r="A95" s="373" t="s">
        <v>582</v>
      </c>
      <c r="B95" s="370">
        <f>SUM(C95:D95)</f>
        <v>1871590</v>
      </c>
      <c r="C95" s="370">
        <f t="shared" ref="C95:R95" si="24">SUM(C82:C94)</f>
        <v>1871590</v>
      </c>
      <c r="D95" s="370">
        <f t="shared" si="24"/>
        <v>0</v>
      </c>
      <c r="E95" s="370">
        <f t="shared" si="24"/>
        <v>1871590</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1871590</v>
      </c>
      <c r="S95" s="374">
        <f>SUM(S83:S86,S88:S94)</f>
        <v>1485790</v>
      </c>
      <c r="T95" s="370">
        <f>SUM(T83:T86,T88:T94)</f>
        <v>0</v>
      </c>
      <c r="U95" s="367"/>
    </row>
    <row r="96" spans="1:21" s="368" customFormat="1">
      <c r="A96" s="373" t="s">
        <v>583</v>
      </c>
      <c r="B96" s="370">
        <f>SUM(C96:D96)</f>
        <v>32921118</v>
      </c>
      <c r="C96" s="370">
        <f t="shared" ref="C96:R96" si="25">SUM(C62+C69+C76+C80+C95)</f>
        <v>32921118</v>
      </c>
      <c r="D96" s="370">
        <f t="shared" si="25"/>
        <v>0</v>
      </c>
      <c r="E96" s="370">
        <f t="shared" si="25"/>
        <v>16477136</v>
      </c>
      <c r="F96" s="370">
        <f t="shared" si="25"/>
        <v>4341500</v>
      </c>
      <c r="G96" s="370">
        <f t="shared" si="25"/>
        <v>1614460</v>
      </c>
      <c r="H96" s="370">
        <f t="shared" si="25"/>
        <v>2000000</v>
      </c>
      <c r="I96" s="370">
        <f t="shared" si="25"/>
        <v>660011</v>
      </c>
      <c r="J96" s="370">
        <f t="shared" si="25"/>
        <v>805549</v>
      </c>
      <c r="K96" s="370">
        <f t="shared" si="25"/>
        <v>2492956</v>
      </c>
      <c r="L96" s="370">
        <f t="shared" si="25"/>
        <v>4529506</v>
      </c>
      <c r="M96" s="370">
        <f t="shared" si="25"/>
        <v>0</v>
      </c>
      <c r="N96" s="370">
        <f t="shared" si="25"/>
        <v>0</v>
      </c>
      <c r="O96" s="370">
        <f t="shared" si="25"/>
        <v>0</v>
      </c>
      <c r="P96" s="370">
        <f t="shared" si="25"/>
        <v>0</v>
      </c>
      <c r="Q96" s="370">
        <f t="shared" si="25"/>
        <v>0</v>
      </c>
      <c r="R96" s="370">
        <f t="shared" si="25"/>
        <v>32921118</v>
      </c>
      <c r="S96" s="374">
        <f>SUM(+S62+S69+S80+S95)</f>
        <v>29910281</v>
      </c>
      <c r="T96" s="374">
        <f>SUM(T62+T69+T80+T95)</f>
        <v>0</v>
      </c>
      <c r="U96" s="367"/>
    </row>
    <row r="97" spans="1:21" s="368" customFormat="1" ht="12">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C98-SUM(F98:M98)</f>
        <v>2042422</v>
      </c>
      <c r="F98" s="371"/>
      <c r="G98" s="371"/>
      <c r="H98" s="371"/>
      <c r="I98" s="371"/>
      <c r="J98" s="371"/>
      <c r="K98" s="371"/>
      <c r="L98" s="371"/>
      <c r="M98" s="371">
        <f>Application!AO639</f>
        <v>157578</v>
      </c>
      <c r="N98" s="371"/>
      <c r="O98" s="371"/>
      <c r="P98" s="371"/>
      <c r="Q98" s="371"/>
      <c r="R98" s="371">
        <f>SUM(E98:Q98)</f>
        <v>2200000</v>
      </c>
      <c r="S98" s="371">
        <f>C98</f>
        <v>2200000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6">SUM(C98:C102)</f>
        <v>2200000</v>
      </c>
      <c r="D103" s="370">
        <f t="shared" si="26"/>
        <v>0</v>
      </c>
      <c r="E103" s="370">
        <f t="shared" si="26"/>
        <v>2042422</v>
      </c>
      <c r="F103" s="370">
        <f t="shared" si="26"/>
        <v>0</v>
      </c>
      <c r="G103" s="370">
        <f t="shared" si="26"/>
        <v>0</v>
      </c>
      <c r="H103" s="370">
        <f t="shared" si="26"/>
        <v>0</v>
      </c>
      <c r="I103" s="370">
        <f t="shared" si="26"/>
        <v>0</v>
      </c>
      <c r="J103" s="370">
        <f t="shared" si="26"/>
        <v>0</v>
      </c>
      <c r="K103" s="370">
        <f t="shared" si="26"/>
        <v>0</v>
      </c>
      <c r="L103" s="370">
        <f t="shared" si="26"/>
        <v>0</v>
      </c>
      <c r="M103" s="370">
        <f t="shared" si="26"/>
        <v>157578</v>
      </c>
      <c r="N103" s="370">
        <f t="shared" si="26"/>
        <v>0</v>
      </c>
      <c r="O103" s="370">
        <f t="shared" si="26"/>
        <v>0</v>
      </c>
      <c r="P103" s="370">
        <f t="shared" si="26"/>
        <v>0</v>
      </c>
      <c r="Q103" s="370">
        <f t="shared" si="26"/>
        <v>0</v>
      </c>
      <c r="R103" s="370">
        <f t="shared" si="26"/>
        <v>2200000</v>
      </c>
      <c r="S103" s="374">
        <f t="shared" si="26"/>
        <v>2200000</v>
      </c>
      <c r="T103" s="374">
        <f t="shared" si="26"/>
        <v>0</v>
      </c>
      <c r="U103" s="367"/>
    </row>
    <row r="104" spans="1:21" s="368" customFormat="1">
      <c r="A104" s="373" t="s">
        <v>1281</v>
      </c>
      <c r="B104" s="374">
        <f>SUM(C104:D104)</f>
        <v>35121118</v>
      </c>
      <c r="C104" s="374">
        <f t="shared" ref="C104:R104" si="27">SUM(C96+C103)</f>
        <v>35121118</v>
      </c>
      <c r="D104" s="374">
        <f t="shared" si="27"/>
        <v>0</v>
      </c>
      <c r="E104" s="374">
        <f t="shared" si="27"/>
        <v>18519558</v>
      </c>
      <c r="F104" s="374">
        <f t="shared" si="27"/>
        <v>4341500</v>
      </c>
      <c r="G104" s="374">
        <f t="shared" si="27"/>
        <v>1614460</v>
      </c>
      <c r="H104" s="374">
        <f t="shared" si="27"/>
        <v>2000000</v>
      </c>
      <c r="I104" s="374">
        <f t="shared" si="27"/>
        <v>660011</v>
      </c>
      <c r="J104" s="374">
        <f t="shared" si="27"/>
        <v>805549</v>
      </c>
      <c r="K104" s="374">
        <f t="shared" si="27"/>
        <v>2492956</v>
      </c>
      <c r="L104" s="374">
        <f t="shared" si="27"/>
        <v>4529506</v>
      </c>
      <c r="M104" s="374">
        <f t="shared" si="27"/>
        <v>157578</v>
      </c>
      <c r="N104" s="374">
        <f t="shared" si="27"/>
        <v>0</v>
      </c>
      <c r="O104" s="374">
        <f t="shared" si="27"/>
        <v>0</v>
      </c>
      <c r="P104" s="374">
        <f t="shared" si="27"/>
        <v>0</v>
      </c>
      <c r="Q104" s="374">
        <f t="shared" si="27"/>
        <v>0</v>
      </c>
      <c r="R104" s="370">
        <f t="shared" si="27"/>
        <v>35121118</v>
      </c>
      <c r="S104" s="374">
        <f>S96+S103</f>
        <v>32110281</v>
      </c>
      <c r="T104" s="374">
        <f>T96+T103</f>
        <v>0</v>
      </c>
      <c r="U104" s="367"/>
    </row>
    <row r="105" spans="1:21" s="383" customFormat="1">
      <c r="A105" s="1311" t="s">
        <v>1449</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32110281</v>
      </c>
      <c r="T106" s="388">
        <f>T104+T105</f>
        <v>0</v>
      </c>
      <c r="U106" s="386"/>
    </row>
    <row r="107" spans="1:21" s="389" customFormat="1">
      <c r="A107" s="387" t="s">
        <v>1225</v>
      </c>
      <c r="B107" s="382"/>
      <c r="C107" s="382"/>
      <c r="D107" s="382"/>
      <c r="E107" s="654">
        <f>Application!AO645</f>
        <v>18519558</v>
      </c>
      <c r="F107" s="654">
        <f>Application!AO632</f>
        <v>4341500</v>
      </c>
      <c r="G107" s="654">
        <f>Application!AO633</f>
        <v>1614460</v>
      </c>
      <c r="H107" s="654">
        <f>Application!AO634</f>
        <v>2000000</v>
      </c>
      <c r="I107" s="654">
        <f>Application!AO635</f>
        <v>660011</v>
      </c>
      <c r="J107" s="654">
        <f>Application!AO636</f>
        <v>805549</v>
      </c>
      <c r="K107" s="654">
        <f>Application!AO637</f>
        <v>2492956</v>
      </c>
      <c r="L107" s="654">
        <f>Application!AO638</f>
        <v>4529506</v>
      </c>
      <c r="M107" s="654">
        <f>Application!AO639</f>
        <v>157578</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1"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1"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1"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1"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0" customFormat="1" ht="15.5">
      <c r="A121" s="879" t="s">
        <v>1441</v>
      </c>
      <c r="U121" s="881"/>
    </row>
    <row r="122" spans="1:21" s="383" customFormat="1">
      <c r="A122" s="384" t="s">
        <v>1425</v>
      </c>
      <c r="D122" s="2250" t="s">
        <v>1426</v>
      </c>
      <c r="E122" s="2250"/>
      <c r="F122" s="2250"/>
      <c r="U122" s="386"/>
    </row>
    <row r="123" spans="1:21" s="383" customFormat="1">
      <c r="A123" s="383" t="s">
        <v>1427</v>
      </c>
      <c r="B123" s="869">
        <v>90000</v>
      </c>
      <c r="D123" s="2253" t="s">
        <v>1454</v>
      </c>
      <c r="E123" s="2254"/>
      <c r="F123" s="2254"/>
      <c r="G123" s="2254"/>
      <c r="H123" s="2254"/>
      <c r="I123" s="2254"/>
      <c r="J123" s="2254"/>
      <c r="K123" s="2254"/>
      <c r="L123" s="2254"/>
      <c r="M123" s="2254"/>
      <c r="N123" s="2254"/>
      <c r="O123" s="2254"/>
      <c r="P123" s="2254"/>
      <c r="Q123" s="2254"/>
      <c r="R123" s="2254"/>
      <c r="S123" s="2254"/>
      <c r="U123" s="386"/>
    </row>
    <row r="124" spans="1:21" s="383" customFormat="1" ht="12.5">
      <c r="A124" s="872" t="s">
        <v>1428</v>
      </c>
      <c r="B124" s="869"/>
      <c r="C124" s="872"/>
      <c r="D124" s="2254"/>
      <c r="E124" s="2254"/>
      <c r="F124" s="2254"/>
      <c r="G124" s="2254"/>
      <c r="H124" s="2254"/>
      <c r="I124" s="2254"/>
      <c r="J124" s="2254"/>
      <c r="K124" s="2254"/>
      <c r="L124" s="2254"/>
      <c r="M124" s="2254"/>
      <c r="N124" s="2254"/>
      <c r="O124" s="2254"/>
      <c r="P124" s="2254"/>
      <c r="Q124" s="2254"/>
      <c r="R124" s="2254"/>
      <c r="S124" s="2254"/>
      <c r="U124" s="386"/>
    </row>
    <row r="125" spans="1:21" s="383" customFormat="1" ht="12.5">
      <c r="A125" s="872" t="s">
        <v>1429</v>
      </c>
      <c r="B125" s="869"/>
      <c r="C125" s="872"/>
      <c r="D125" s="2254"/>
      <c r="E125" s="2254"/>
      <c r="F125" s="2254"/>
      <c r="G125" s="2254"/>
      <c r="H125" s="2254"/>
      <c r="I125" s="2254"/>
      <c r="J125" s="2254"/>
      <c r="K125" s="2254"/>
      <c r="L125" s="2254"/>
      <c r="M125" s="2254"/>
      <c r="N125" s="2254"/>
      <c r="O125" s="2254"/>
      <c r="P125" s="2254"/>
      <c r="Q125" s="2254"/>
      <c r="R125" s="2254"/>
      <c r="S125" s="2254"/>
      <c r="U125" s="386"/>
    </row>
    <row r="126" spans="1:21" s="383" customFormat="1" ht="12.5">
      <c r="A126" s="872" t="s">
        <v>1430</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5">
      <c r="A127" s="872" t="s">
        <v>1431</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5">
      <c r="A128" s="872" t="s">
        <v>1432</v>
      </c>
      <c r="B128" s="869"/>
      <c r="C128" s="872"/>
      <c r="D128" s="2247"/>
      <c r="E128" s="2247"/>
      <c r="F128" s="2247"/>
      <c r="G128" s="2247"/>
      <c r="H128" s="2247"/>
      <c r="I128" s="872"/>
      <c r="J128" s="2248"/>
      <c r="K128" s="2248"/>
      <c r="L128" s="872"/>
      <c r="M128" s="872"/>
      <c r="N128" s="872"/>
      <c r="O128" s="872"/>
      <c r="P128" s="872"/>
      <c r="Q128" s="872"/>
      <c r="R128" s="872"/>
      <c r="S128" s="872"/>
      <c r="U128" s="386"/>
    </row>
    <row r="129" spans="1:21" s="383" customFormat="1" ht="12.5">
      <c r="A129" s="872" t="s">
        <v>548</v>
      </c>
      <c r="B129" s="869"/>
      <c r="C129" s="872"/>
      <c r="D129" s="2249" t="s">
        <v>1433</v>
      </c>
      <c r="E129" s="2249"/>
      <c r="F129" s="2249"/>
      <c r="G129" s="2249"/>
      <c r="H129" s="2249"/>
      <c r="I129" s="872"/>
      <c r="J129" s="872" t="s">
        <v>1434</v>
      </c>
      <c r="K129" s="872"/>
      <c r="L129" s="872"/>
      <c r="M129" s="872"/>
      <c r="N129" s="872"/>
      <c r="O129" s="872"/>
      <c r="P129" s="872"/>
      <c r="Q129" s="872"/>
      <c r="R129" s="872"/>
      <c r="S129" s="872"/>
      <c r="U129" s="386"/>
    </row>
    <row r="130" spans="1:21" s="383" customFormat="1" ht="12.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3">
      <c r="A131" s="873" t="s">
        <v>1435</v>
      </c>
      <c r="B131" s="870">
        <f>SUM(B123:B129)</f>
        <v>90000</v>
      </c>
      <c r="C131" s="872"/>
      <c r="D131" s="1909"/>
      <c r="E131" s="1909"/>
      <c r="F131" s="1909"/>
      <c r="G131" s="1909"/>
      <c r="H131" s="1909"/>
      <c r="I131" s="872"/>
      <c r="J131" s="1909"/>
      <c r="K131" s="1909"/>
      <c r="L131" s="1909"/>
      <c r="M131" s="1909"/>
      <c r="N131" s="872"/>
      <c r="O131" s="872"/>
      <c r="P131" s="872"/>
      <c r="Q131" s="872"/>
      <c r="R131" s="872"/>
      <c r="S131" s="872"/>
      <c r="U131" s="386"/>
    </row>
    <row r="132" spans="1:21" s="383" customFormat="1" ht="12.5">
      <c r="A132" s="874"/>
      <c r="B132" s="872"/>
      <c r="C132" s="872"/>
      <c r="D132" s="2255" t="s">
        <v>1436</v>
      </c>
      <c r="E132" s="2255"/>
      <c r="F132" s="2255"/>
      <c r="G132" s="2255"/>
      <c r="H132" s="2255"/>
      <c r="I132" s="872"/>
      <c r="J132" s="2255" t="s">
        <v>1437</v>
      </c>
      <c r="K132" s="2255"/>
      <c r="L132" s="2255"/>
      <c r="M132" s="2255"/>
      <c r="N132" s="872"/>
      <c r="O132" s="872"/>
      <c r="P132" s="872"/>
      <c r="Q132" s="872"/>
      <c r="R132" s="872"/>
      <c r="S132" s="872"/>
      <c r="U132" s="386"/>
    </row>
    <row r="133" spans="1:21" s="383" customFormat="1" ht="12.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5">
      <c r="A134" s="875" t="s">
        <v>1438</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3">
      <c r="A135" s="569" t="s">
        <v>1439</v>
      </c>
      <c r="B135" s="872"/>
      <c r="C135" s="872"/>
      <c r="D135" s="872"/>
      <c r="E135" s="872"/>
      <c r="F135" s="872"/>
      <c r="G135" s="872"/>
      <c r="H135" s="872"/>
      <c r="I135" s="872"/>
      <c r="J135" s="872"/>
      <c r="K135" s="872"/>
      <c r="L135" s="872"/>
      <c r="M135" s="872"/>
      <c r="N135" s="876"/>
      <c r="O135" s="872"/>
      <c r="P135" s="872"/>
      <c r="Q135" s="872"/>
      <c r="R135" s="872"/>
      <c r="S135" s="872"/>
      <c r="U135" s="386"/>
    </row>
    <row r="136" spans="1:21" ht="12.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56"/>
      <c r="B138" s="2257"/>
      <c r="C138" s="2257"/>
      <c r="D138" s="565"/>
      <c r="E138" s="2248"/>
      <c r="F138" s="2248"/>
      <c r="G138" s="872"/>
      <c r="H138" s="872"/>
      <c r="I138" s="872"/>
      <c r="J138" s="872"/>
      <c r="K138" s="872"/>
      <c r="L138" s="872"/>
      <c r="M138" s="872"/>
      <c r="N138" s="872"/>
      <c r="O138" s="872"/>
      <c r="P138" s="872"/>
      <c r="Q138" s="872"/>
      <c r="R138" s="872"/>
      <c r="S138" s="872"/>
    </row>
    <row r="139" spans="1:21" ht="12" customHeight="1">
      <c r="A139" s="2251" t="s">
        <v>1440</v>
      </c>
      <c r="B139" s="2252"/>
      <c r="C139" s="2252"/>
      <c r="D139" s="565"/>
      <c r="E139" s="872" t="s">
        <v>1434</v>
      </c>
      <c r="F139" s="872"/>
      <c r="G139" s="872"/>
      <c r="H139" s="872"/>
      <c r="I139" s="872"/>
      <c r="J139" s="872"/>
      <c r="K139" s="872"/>
      <c r="L139" s="872"/>
      <c r="M139" s="872"/>
      <c r="N139" s="872"/>
      <c r="O139" s="872"/>
      <c r="P139" s="872"/>
      <c r="Q139" s="872"/>
      <c r="R139" s="872"/>
      <c r="S139" s="872"/>
    </row>
    <row r="140" spans="1:21" s="472" customFormat="1" ht="12" customHeight="1">
      <c r="A140" s="868"/>
      <c r="B140" s="872"/>
      <c r="C140" s="872"/>
      <c r="D140" s="565"/>
      <c r="E140" s="872"/>
      <c r="F140" s="872"/>
      <c r="G140" s="872"/>
      <c r="H140" s="872"/>
      <c r="I140" s="872"/>
      <c r="J140" s="872"/>
      <c r="K140" s="872"/>
      <c r="L140" s="872"/>
      <c r="M140" s="872"/>
      <c r="N140" s="872"/>
      <c r="O140" s="872"/>
      <c r="P140" s="872"/>
      <c r="Q140" s="872"/>
      <c r="R140" s="872"/>
      <c r="S140" s="872"/>
      <c r="T140" s="908"/>
      <c r="U140" s="764"/>
    </row>
    <row r="141" spans="1:21" s="877" customFormat="1" ht="12" customHeight="1">
      <c r="B141" s="565"/>
      <c r="C141" s="565"/>
      <c r="D141" s="565"/>
      <c r="E141" s="565"/>
      <c r="F141" s="565"/>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33" stopIfTrue="1">
      <formula>T9&gt;C9</formula>
    </cfRule>
  </conditionalFormatting>
  <conditionalFormatting sqref="T10">
    <cfRule type="expression" dxfId="134" priority="232" stopIfTrue="1">
      <formula>(T10+S10)&gt;C10</formula>
    </cfRule>
  </conditionalFormatting>
  <conditionalFormatting sqref="R8">
    <cfRule type="cellIs" dxfId="133" priority="212" stopIfTrue="1" operator="notEqual">
      <formula>$B8</formula>
    </cfRule>
    <cfRule type="cellIs" priority="215" stopIfTrue="1" operator="notEqual">
      <formula>$B8</formula>
    </cfRule>
  </conditionalFormatting>
  <conditionalFormatting sqref="R4:R7 R45:R52 R56:R60 R82:R94 R98:R102">
    <cfRule type="cellIs" dxfId="132" priority="214" stopIfTrue="1" operator="notEqual">
      <formula>$B4</formula>
    </cfRule>
  </conditionalFormatting>
  <conditionalFormatting sqref="R9:R10">
    <cfRule type="cellIs" dxfId="131" priority="213" stopIfTrue="1" operator="notEqual">
      <formula>$B9</formula>
    </cfRule>
  </conditionalFormatting>
  <conditionalFormatting sqref="R11:R12">
    <cfRule type="cellIs" dxfId="130" priority="210" stopIfTrue="1" operator="notEqual">
      <formula>$B11</formula>
    </cfRule>
    <cfRule type="cellIs" priority="211" stopIfTrue="1" operator="notEqual">
      <formula>$B11</formula>
    </cfRule>
  </conditionalFormatting>
  <conditionalFormatting sqref="R13:R15">
    <cfRule type="cellIs" dxfId="129" priority="209" stopIfTrue="1" operator="notEqual">
      <formula>$B13</formula>
    </cfRule>
  </conditionalFormatting>
  <conditionalFormatting sqref="R26">
    <cfRule type="cellIs" dxfId="128" priority="207" stopIfTrue="1" operator="notEqual">
      <formula>$B26</formula>
    </cfRule>
    <cfRule type="cellIs" priority="208" stopIfTrue="1" operator="notEqual">
      <formula>$B26</formula>
    </cfRule>
  </conditionalFormatting>
  <conditionalFormatting sqref="R17:R25">
    <cfRule type="cellIs" dxfId="127" priority="206" stopIfTrue="1" operator="notEqual">
      <formula>$B17</formula>
    </cfRule>
  </conditionalFormatting>
  <conditionalFormatting sqref="R27">
    <cfRule type="cellIs" dxfId="126" priority="205" stopIfTrue="1" operator="notEqual">
      <formula>$B27</formula>
    </cfRule>
  </conditionalFormatting>
  <conditionalFormatting sqref="R38">
    <cfRule type="cellIs" dxfId="125" priority="203" stopIfTrue="1" operator="notEqual">
      <formula>$B38</formula>
    </cfRule>
    <cfRule type="cellIs" priority="204" stopIfTrue="1" operator="notEqual">
      <formula>$B38</formula>
    </cfRule>
  </conditionalFormatting>
  <conditionalFormatting sqref="R29:R37">
    <cfRule type="cellIs" dxfId="124" priority="202" stopIfTrue="1" operator="notEqual">
      <formula>$B29</formula>
    </cfRule>
  </conditionalFormatting>
  <conditionalFormatting sqref="R42">
    <cfRule type="cellIs" dxfId="123" priority="200" stopIfTrue="1" operator="notEqual">
      <formula>$B42</formula>
    </cfRule>
    <cfRule type="cellIs" priority="201" stopIfTrue="1" operator="notEqual">
      <formula>$B42</formula>
    </cfRule>
  </conditionalFormatting>
  <conditionalFormatting sqref="R40:R41">
    <cfRule type="cellIs" dxfId="122" priority="199" stopIfTrue="1" operator="notEqual">
      <formula>$B40</formula>
    </cfRule>
  </conditionalFormatting>
  <conditionalFormatting sqref="R43">
    <cfRule type="cellIs" dxfId="121" priority="198" stopIfTrue="1" operator="notEqual">
      <formula>$B43</formula>
    </cfRule>
  </conditionalFormatting>
  <conditionalFormatting sqref="R53">
    <cfRule type="cellIs" dxfId="120" priority="195" stopIfTrue="1" operator="notEqual">
      <formula>$B53</formula>
    </cfRule>
    <cfRule type="cellIs" priority="196" stopIfTrue="1" operator="notEqual">
      <formula>$B53</formula>
    </cfRule>
  </conditionalFormatting>
  <conditionalFormatting sqref="R55">
    <cfRule type="cellIs" dxfId="119" priority="193" stopIfTrue="1" operator="notEqual">
      <formula>$B55</formula>
    </cfRule>
  </conditionalFormatting>
  <conditionalFormatting sqref="R61:R62">
    <cfRule type="cellIs" dxfId="118" priority="191" stopIfTrue="1" operator="notEqual">
      <formula>$B61</formula>
    </cfRule>
    <cfRule type="cellIs" priority="192" stopIfTrue="1" operator="notEqual">
      <formula>$B61</formula>
    </cfRule>
  </conditionalFormatting>
  <conditionalFormatting sqref="R64:R68">
    <cfRule type="cellIs" dxfId="117" priority="190" stopIfTrue="1" operator="notEqual">
      <formula>$B64</formula>
    </cfRule>
  </conditionalFormatting>
  <conditionalFormatting sqref="R69">
    <cfRule type="cellIs" dxfId="116" priority="188" stopIfTrue="1" operator="notEqual">
      <formula>$B69</formula>
    </cfRule>
    <cfRule type="cellIs" priority="189" stopIfTrue="1" operator="notEqual">
      <formula>$B69</formula>
    </cfRule>
  </conditionalFormatting>
  <conditionalFormatting sqref="R71:R75">
    <cfRule type="cellIs" dxfId="115" priority="187" stopIfTrue="1" operator="notEqual">
      <formula>$B71</formula>
    </cfRule>
  </conditionalFormatting>
  <conditionalFormatting sqref="R76">
    <cfRule type="cellIs" dxfId="114" priority="185" stopIfTrue="1" operator="notEqual">
      <formula>$B76</formula>
    </cfRule>
    <cfRule type="cellIs" priority="186" stopIfTrue="1" operator="notEqual">
      <formula>$B76</formula>
    </cfRule>
  </conditionalFormatting>
  <conditionalFormatting sqref="R78:R79">
    <cfRule type="cellIs" dxfId="113" priority="184" stopIfTrue="1" operator="notEqual">
      <formula>$B78</formula>
    </cfRule>
  </conditionalFormatting>
  <conditionalFormatting sqref="R95:R96">
    <cfRule type="cellIs" dxfId="112" priority="181" stopIfTrue="1" operator="notEqual">
      <formula>$B95</formula>
    </cfRule>
    <cfRule type="cellIs" priority="182" stopIfTrue="1" operator="notEqual">
      <formula>$B95</formula>
    </cfRule>
  </conditionalFormatting>
  <conditionalFormatting sqref="R103:R104">
    <cfRule type="cellIs" dxfId="111" priority="178" stopIfTrue="1" operator="notEqual">
      <formula>$B103</formula>
    </cfRule>
    <cfRule type="cellIs" priority="179" stopIfTrue="1" operator="notEqual">
      <formula>$B103</formula>
    </cfRule>
  </conditionalFormatting>
  <conditionalFormatting sqref="E104:Q104">
    <cfRule type="cellIs" dxfId="110" priority="177" stopIfTrue="1" operator="notEqual">
      <formula>E$107</formula>
    </cfRule>
  </conditionalFormatting>
  <conditionalFormatting sqref="S43">
    <cfRule type="expression" dxfId="109" priority="70" stopIfTrue="1">
      <formula>(S43+T43)&gt;C43</formula>
    </cfRule>
  </conditionalFormatting>
  <conditionalFormatting sqref="S10">
    <cfRule type="expression" dxfId="108" priority="113" stopIfTrue="1">
      <formula>(S10+T10)&gt;C10</formula>
    </cfRule>
  </conditionalFormatting>
  <conditionalFormatting sqref="S30 S34">
    <cfRule type="expression" dxfId="107" priority="89" stopIfTrue="1">
      <formula>(S30+T30)&gt;C30</formula>
    </cfRule>
  </conditionalFormatting>
  <conditionalFormatting sqref="S31 S35">
    <cfRule type="expression" dxfId="106" priority="88" stopIfTrue="1">
      <formula>(S31+T31)&gt;C31</formula>
    </cfRule>
  </conditionalFormatting>
  <conditionalFormatting sqref="S29 S33 S37">
    <cfRule type="expression" dxfId="105" priority="90" stopIfTrue="1">
      <formula>(S29+T29)&gt;C29</formula>
    </cfRule>
  </conditionalFormatting>
  <conditionalFormatting sqref="S23:S24">
    <cfRule type="expression" dxfId="104" priority="94" stopIfTrue="1">
      <formula>(S23+T23)&gt;C23</formula>
    </cfRule>
  </conditionalFormatting>
  <conditionalFormatting sqref="T13">
    <cfRule type="expression" dxfId="103" priority="112" stopIfTrue="1">
      <formula>(T13+S13)&gt;C13</formula>
    </cfRule>
  </conditionalFormatting>
  <conditionalFormatting sqref="T14">
    <cfRule type="expression" dxfId="102" priority="111" stopIfTrue="1">
      <formula>(T14+S14)&gt;C14</formula>
    </cfRule>
  </conditionalFormatting>
  <conditionalFormatting sqref="T17">
    <cfRule type="expression" dxfId="101" priority="110" stopIfTrue="1">
      <formula>(T17+S17)&gt;C17</formula>
    </cfRule>
  </conditionalFormatting>
  <conditionalFormatting sqref="T18">
    <cfRule type="expression" dxfId="100" priority="109" stopIfTrue="1">
      <formula>(T18+S18)&gt;C18</formula>
    </cfRule>
  </conditionalFormatting>
  <conditionalFormatting sqref="T19">
    <cfRule type="expression" dxfId="99" priority="108" stopIfTrue="1">
      <formula>(T19+S19)&gt;C19</formula>
    </cfRule>
  </conditionalFormatting>
  <conditionalFormatting sqref="T20">
    <cfRule type="expression" dxfId="98" priority="107" stopIfTrue="1">
      <formula>(T20+S20)&gt;C20</formula>
    </cfRule>
  </conditionalFormatting>
  <conditionalFormatting sqref="T21">
    <cfRule type="expression" dxfId="97" priority="106" stopIfTrue="1">
      <formula>(T21+S21)&gt;C21</formula>
    </cfRule>
  </conditionalFormatting>
  <conditionalFormatting sqref="T22">
    <cfRule type="expression" dxfId="96" priority="105" stopIfTrue="1">
      <formula>(T22+S22)&gt;C22</formula>
    </cfRule>
  </conditionalFormatting>
  <conditionalFormatting sqref="T23:T24">
    <cfRule type="expression" dxfId="95" priority="104" stopIfTrue="1">
      <formula>(T23+S23)&gt;C23</formula>
    </cfRule>
  </conditionalFormatting>
  <conditionalFormatting sqref="T25">
    <cfRule type="expression" dxfId="94" priority="103" stopIfTrue="1">
      <formula>(T25+S25)&gt;C25</formula>
    </cfRule>
  </conditionalFormatting>
  <conditionalFormatting sqref="S13">
    <cfRule type="expression" dxfId="93" priority="102" stopIfTrue="1">
      <formula>(S13+T13)&gt;C13</formula>
    </cfRule>
  </conditionalFormatting>
  <conditionalFormatting sqref="S14">
    <cfRule type="expression" dxfId="92" priority="101" stopIfTrue="1">
      <formula>(S14+T14)&gt;C14</formula>
    </cfRule>
  </conditionalFormatting>
  <conditionalFormatting sqref="S17">
    <cfRule type="expression" dxfId="91" priority="100" stopIfTrue="1">
      <formula>(S17+T17)&gt;C17</formula>
    </cfRule>
  </conditionalFormatting>
  <conditionalFormatting sqref="S18">
    <cfRule type="expression" dxfId="90" priority="99" stopIfTrue="1">
      <formula>(S18+T18)&gt;C18</formula>
    </cfRule>
  </conditionalFormatting>
  <conditionalFormatting sqref="S19">
    <cfRule type="expression" dxfId="89" priority="98" stopIfTrue="1">
      <formula>(S19+T19)&gt;C19</formula>
    </cfRule>
  </conditionalFormatting>
  <conditionalFormatting sqref="S20">
    <cfRule type="expression" dxfId="88" priority="97" stopIfTrue="1">
      <formula>(S20+T20)&gt;C20</formula>
    </cfRule>
  </conditionalFormatting>
  <conditionalFormatting sqref="S21">
    <cfRule type="expression" dxfId="87" priority="96" stopIfTrue="1">
      <formula>(S21+T21)&gt;C21</formula>
    </cfRule>
  </conditionalFormatting>
  <conditionalFormatting sqref="S22">
    <cfRule type="expression" dxfId="86" priority="95" stopIfTrue="1">
      <formula>(S22+T22)&gt;C22</formula>
    </cfRule>
  </conditionalFormatting>
  <conditionalFormatting sqref="S25">
    <cfRule type="expression" dxfId="85" priority="93" stopIfTrue="1">
      <formula>(S25+T25)&gt;C25</formula>
    </cfRule>
  </conditionalFormatting>
  <conditionalFormatting sqref="S27">
    <cfRule type="expression" dxfId="84" priority="92" stopIfTrue="1">
      <formula>(S27+T27)&gt;C27</formula>
    </cfRule>
  </conditionalFormatting>
  <conditionalFormatting sqref="T27">
    <cfRule type="expression" dxfId="83" priority="91" stopIfTrue="1">
      <formula>(T27+S27)&gt;C27</formula>
    </cfRule>
  </conditionalFormatting>
  <conditionalFormatting sqref="S32 S36">
    <cfRule type="expression" dxfId="82" priority="87" stopIfTrue="1">
      <formula>(S32+T32)&gt;C32</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sqref="A1:J1"/>
    </sheetView>
  </sheetViews>
  <sheetFormatPr defaultColWidth="8.81640625" defaultRowHeight="11.5" zeroHeight="1"/>
  <cols>
    <col min="1" max="1" width="32.453125" style="767" customWidth="1"/>
    <col min="2" max="3" width="12.1796875" style="765" customWidth="1"/>
    <col min="4" max="4" width="12.81640625" style="765" customWidth="1"/>
    <col min="5" max="6" width="12.6328125" style="765" customWidth="1"/>
    <col min="7" max="7" width="13.453125" style="765" customWidth="1"/>
    <col min="8" max="9" width="12.1796875" style="765" customWidth="1"/>
    <col min="10" max="10" width="12.1796875" style="908" customWidth="1"/>
    <col min="11" max="11" width="7" style="915" customWidth="1"/>
    <col min="12" max="16384" width="8.81640625" style="765"/>
  </cols>
  <sheetData>
    <row r="1" spans="1:11" s="565" customFormat="1" ht="13">
      <c r="A1" s="2258" t="s">
        <v>2058</v>
      </c>
      <c r="B1" s="2259"/>
      <c r="C1" s="2259"/>
      <c r="D1" s="2259"/>
      <c r="E1" s="2259"/>
      <c r="F1" s="2259"/>
      <c r="G1" s="2259"/>
      <c r="H1" s="2259"/>
      <c r="I1" s="2259"/>
      <c r="J1" s="2260"/>
      <c r="K1" s="912"/>
    </row>
    <row r="2" spans="1:11" s="931" customFormat="1" ht="69">
      <c r="A2" s="929"/>
      <c r="B2" s="362" t="s">
        <v>1506</v>
      </c>
      <c r="C2" s="362" t="s">
        <v>2059</v>
      </c>
      <c r="D2" s="432" t="s">
        <v>2060</v>
      </c>
      <c r="E2" s="362" t="s">
        <v>1510</v>
      </c>
      <c r="F2" s="362" t="s">
        <v>2061</v>
      </c>
      <c r="G2" s="362" t="s">
        <v>2062</v>
      </c>
      <c r="H2" s="362" t="s">
        <v>1509</v>
      </c>
      <c r="I2" s="362" t="s">
        <v>2063</v>
      </c>
      <c r="J2" s="1086" t="s">
        <v>2064</v>
      </c>
      <c r="K2" s="930"/>
    </row>
    <row r="3" spans="1:11" s="383" customFormat="1" ht="12">
      <c r="A3" s="365" t="s">
        <v>381</v>
      </c>
      <c r="B3" s="917"/>
      <c r="C3" s="917"/>
      <c r="D3" s="917"/>
      <c r="E3" s="917"/>
      <c r="F3" s="917"/>
      <c r="G3" s="917"/>
      <c r="H3" s="917"/>
      <c r="I3" s="917"/>
      <c r="J3" s="917"/>
      <c r="K3" s="913"/>
    </row>
    <row r="4" spans="1:11" s="383" customFormat="1" ht="13.5">
      <c r="A4" s="481" t="s">
        <v>74</v>
      </c>
      <c r="B4" s="918">
        <f>'Sources and Uses Budget'!C4</f>
        <v>1614460</v>
      </c>
      <c r="C4" s="919"/>
      <c r="D4" s="919"/>
      <c r="E4" s="920"/>
      <c r="F4" s="920"/>
      <c r="G4" s="920"/>
      <c r="H4" s="920"/>
      <c r="I4" s="920"/>
      <c r="J4" s="920"/>
      <c r="K4" s="913"/>
    </row>
    <row r="5" spans="1:11" s="383" customFormat="1" ht="13.5">
      <c r="A5" s="481" t="s">
        <v>75</v>
      </c>
      <c r="B5" s="918">
        <f>'Sources and Uses Budget'!C5</f>
        <v>265683</v>
      </c>
      <c r="C5" s="919"/>
      <c r="D5" s="919"/>
      <c r="E5" s="920"/>
      <c r="F5" s="920"/>
      <c r="G5" s="920"/>
      <c r="H5" s="920"/>
      <c r="I5" s="920"/>
      <c r="J5" s="920"/>
      <c r="K5" s="913"/>
    </row>
    <row r="6" spans="1:11" s="383" customFormat="1">
      <c r="A6" s="369" t="s">
        <v>382</v>
      </c>
      <c r="B6" s="918">
        <f>'Sources and Uses Budget'!C6</f>
        <v>29018</v>
      </c>
      <c r="C6" s="919"/>
      <c r="D6" s="919"/>
      <c r="E6" s="920"/>
      <c r="F6" s="920"/>
      <c r="G6" s="920"/>
      <c r="H6" s="920"/>
      <c r="I6" s="920"/>
      <c r="J6" s="920"/>
      <c r="K6" s="913"/>
    </row>
    <row r="7" spans="1:11" s="383" customFormat="1">
      <c r="A7" s="369" t="s">
        <v>310</v>
      </c>
      <c r="B7" s="918">
        <f>'Sources and Uses Budget'!C7</f>
        <v>0</v>
      </c>
      <c r="C7" s="919"/>
      <c r="D7" s="919"/>
      <c r="E7" s="920"/>
      <c r="F7" s="920"/>
      <c r="G7" s="920"/>
      <c r="H7" s="920"/>
      <c r="I7" s="920"/>
      <c r="J7" s="920"/>
      <c r="K7" s="913"/>
    </row>
    <row r="8" spans="1:11" s="383" customFormat="1" ht="13.5">
      <c r="A8" s="482" t="s">
        <v>769</v>
      </c>
      <c r="B8" s="918">
        <f>'Sources and Uses Budget'!C8</f>
        <v>1909161</v>
      </c>
      <c r="C8" s="918">
        <f>SUM(C4:C7)</f>
        <v>0</v>
      </c>
      <c r="D8" s="918">
        <f>SUM(D4:D7)</f>
        <v>0</v>
      </c>
      <c r="E8" s="920"/>
      <c r="F8" s="920"/>
      <c r="G8" s="920"/>
      <c r="H8" s="920"/>
      <c r="I8" s="920"/>
      <c r="J8" s="920"/>
      <c r="K8" s="913"/>
    </row>
    <row r="9" spans="1:11" s="383" customFormat="1">
      <c r="A9" s="369" t="s">
        <v>1937</v>
      </c>
      <c r="B9" s="918">
        <f>'Sources and Uses Budget'!C9</f>
        <v>0</v>
      </c>
      <c r="C9" s="919"/>
      <c r="D9" s="919"/>
      <c r="E9" s="920"/>
      <c r="F9" s="920"/>
      <c r="G9" s="920"/>
      <c r="H9" s="918">
        <f>'Sources and Uses Budget'!T9</f>
        <v>0</v>
      </c>
      <c r="I9" s="919"/>
      <c r="J9" s="919"/>
      <c r="K9" s="913"/>
    </row>
    <row r="10" spans="1:11" s="383" customFormat="1" ht="13.5">
      <c r="A10" s="481" t="s">
        <v>76</v>
      </c>
      <c r="B10" s="918">
        <f>'Sources and Uses Budget'!C10</f>
        <v>1487296</v>
      </c>
      <c r="C10" s="919"/>
      <c r="D10" s="919"/>
      <c r="E10" s="918">
        <f>'Sources and Uses Budget'!S10</f>
        <v>1487296</v>
      </c>
      <c r="F10" s="919"/>
      <c r="G10" s="919"/>
      <c r="H10" s="918">
        <f>'Sources and Uses Budget'!T10</f>
        <v>0</v>
      </c>
      <c r="I10" s="919"/>
      <c r="J10" s="919"/>
      <c r="K10" s="913"/>
    </row>
    <row r="11" spans="1:11" s="383" customFormat="1">
      <c r="A11" s="373" t="s">
        <v>645</v>
      </c>
      <c r="B11" s="918">
        <f>'Sources and Uses Budget'!C11</f>
        <v>1487296</v>
      </c>
      <c r="C11" s="918">
        <f>SUM(C9:C10)</f>
        <v>0</v>
      </c>
      <c r="D11" s="918">
        <f>SUM(D9:D10)</f>
        <v>0</v>
      </c>
      <c r="E11" s="920"/>
      <c r="F11" s="920"/>
      <c r="G11" s="920"/>
      <c r="H11" s="918">
        <f>'Sources and Uses Budget'!T11</f>
        <v>0</v>
      </c>
      <c r="I11" s="918">
        <f>SUM(I9:I10)</f>
        <v>0</v>
      </c>
      <c r="J11" s="918">
        <f>SUM(J9:J10)</f>
        <v>0</v>
      </c>
      <c r="K11" s="913"/>
    </row>
    <row r="12" spans="1:11" s="383" customFormat="1">
      <c r="A12" s="373" t="s">
        <v>777</v>
      </c>
      <c r="B12" s="918">
        <f>'Sources and Uses Budget'!C12</f>
        <v>3396457</v>
      </c>
      <c r="C12" s="918">
        <f>SUM(C8+C11)</f>
        <v>0</v>
      </c>
      <c r="D12" s="918">
        <f>SUM(D8+D11)</f>
        <v>0</v>
      </c>
      <c r="E12" s="920"/>
      <c r="F12" s="920"/>
      <c r="G12" s="920"/>
      <c r="H12" s="920"/>
      <c r="I12" s="920"/>
      <c r="J12" s="920"/>
      <c r="K12" s="913"/>
    </row>
    <row r="13" spans="1:11" s="383" customFormat="1">
      <c r="A13" s="721" t="s">
        <v>1228</v>
      </c>
      <c r="B13" s="918">
        <f>'Sources and Uses Budget'!C13</f>
        <v>170000</v>
      </c>
      <c r="C13" s="919"/>
      <c r="D13" s="919"/>
      <c r="E13" s="918">
        <f>'Sources and Uses Budget'!S13</f>
        <v>0</v>
      </c>
      <c r="F13" s="919"/>
      <c r="G13" s="919"/>
      <c r="H13" s="918">
        <f>'Sources and Uses Budget'!T13</f>
        <v>0</v>
      </c>
      <c r="I13" s="919"/>
      <c r="J13" s="919"/>
      <c r="K13" s="913"/>
    </row>
    <row r="14" spans="1:11" s="383" customFormat="1" ht="23">
      <c r="A14" s="722" t="s">
        <v>1263</v>
      </c>
      <c r="B14" s="918">
        <f>'Sources and Uses Budget'!C14</f>
        <v>0</v>
      </c>
      <c r="C14" s="919"/>
      <c r="D14" s="919"/>
      <c r="E14" s="918">
        <f>'Sources and Uses Budget'!S14</f>
        <v>0</v>
      </c>
      <c r="F14" s="919"/>
      <c r="G14" s="919"/>
      <c r="H14" s="918">
        <f>'Sources and Uses Budget'!T14</f>
        <v>0</v>
      </c>
      <c r="I14" s="919"/>
      <c r="J14" s="919"/>
      <c r="K14" s="913"/>
    </row>
    <row r="15" spans="1:11" s="383" customFormat="1">
      <c r="A15" s="722" t="s">
        <v>1893</v>
      </c>
      <c r="B15" s="918">
        <f>'Sources and Uses Budget'!C15</f>
        <v>0</v>
      </c>
      <c r="C15" s="919"/>
      <c r="D15" s="919"/>
      <c r="E15" s="920">
        <f>'Sources and Uses Budget'!S15</f>
        <v>0</v>
      </c>
      <c r="F15" s="920"/>
      <c r="G15" s="920"/>
      <c r="H15" s="920">
        <f>'Sources and Uses Budget'!T15</f>
        <v>0</v>
      </c>
      <c r="I15" s="920"/>
      <c r="J15" s="920"/>
      <c r="K15" s="913"/>
    </row>
    <row r="16" spans="1:11" s="383" customFormat="1" ht="12">
      <c r="A16" s="365" t="s">
        <v>1012</v>
      </c>
      <c r="B16" s="917"/>
      <c r="C16" s="917"/>
      <c r="D16" s="917"/>
      <c r="E16" s="917"/>
      <c r="F16" s="917"/>
      <c r="G16" s="917"/>
      <c r="H16" s="917"/>
      <c r="I16" s="917"/>
      <c r="J16" s="917"/>
      <c r="K16" s="913"/>
    </row>
    <row r="17" spans="1:11" s="383" customFormat="1">
      <c r="A17" s="369" t="s">
        <v>1013</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1014</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1015</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1016</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1017</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1018</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1019</v>
      </c>
      <c r="B23" s="918">
        <f>'Sources and Uses Budget'!C23</f>
        <v>0</v>
      </c>
      <c r="C23" s="919"/>
      <c r="D23" s="919"/>
      <c r="E23" s="918">
        <f>'Sources and Uses Budget'!S23</f>
        <v>0</v>
      </c>
      <c r="F23" s="919"/>
      <c r="G23" s="919"/>
      <c r="H23" s="918">
        <f>'Sources and Uses Budget'!T23</f>
        <v>0</v>
      </c>
      <c r="I23" s="919"/>
      <c r="J23" s="919"/>
      <c r="K23" s="913"/>
    </row>
    <row r="24" spans="1:11" s="383" customFormat="1">
      <c r="A24" s="722"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248</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1020</v>
      </c>
      <c r="B26" s="918">
        <f>'Sources and Uses Budget'!C27</f>
        <v>0</v>
      </c>
      <c r="C26" s="919"/>
      <c r="D26" s="919"/>
      <c r="E26" s="918">
        <f>'Sources and Uses Budget'!S27</f>
        <v>0</v>
      </c>
      <c r="F26" s="919"/>
      <c r="G26" s="919"/>
      <c r="H26" s="918">
        <f>'Sources and Uses Budget'!T27</f>
        <v>0</v>
      </c>
      <c r="I26" s="919"/>
      <c r="J26" s="919"/>
      <c r="K26" s="913"/>
    </row>
    <row r="27" spans="1:11" s="383" customFormat="1" ht="12">
      <c r="A27" s="365" t="s">
        <v>1021</v>
      </c>
      <c r="B27" s="917"/>
      <c r="C27" s="917"/>
      <c r="D27" s="917"/>
      <c r="E27" s="917"/>
      <c r="F27" s="917"/>
      <c r="G27" s="917"/>
      <c r="H27" s="917"/>
      <c r="I27" s="917"/>
      <c r="J27" s="917"/>
      <c r="K27" s="913"/>
    </row>
    <row r="28" spans="1:11" s="383" customFormat="1">
      <c r="A28" s="369" t="s">
        <v>1013</v>
      </c>
      <c r="B28" s="918">
        <f>'Sources and Uses Budget'!C29</f>
        <v>3581863</v>
      </c>
      <c r="C28" s="919"/>
      <c r="D28" s="919"/>
      <c r="E28" s="918">
        <f>'Sources and Uses Budget'!S29</f>
        <v>3581863</v>
      </c>
      <c r="F28" s="919"/>
      <c r="G28" s="919"/>
      <c r="H28" s="918">
        <f>'Sources and Uses Budget'!T29</f>
        <v>0</v>
      </c>
      <c r="I28" s="919"/>
      <c r="J28" s="919"/>
      <c r="K28" s="913"/>
    </row>
    <row r="29" spans="1:11" s="383" customFormat="1">
      <c r="A29" s="369" t="s">
        <v>1014</v>
      </c>
      <c r="B29" s="918">
        <f>'Sources and Uses Budget'!C30</f>
        <v>15533819</v>
      </c>
      <c r="C29" s="919"/>
      <c r="D29" s="919"/>
      <c r="E29" s="918">
        <f>'Sources and Uses Budget'!S30</f>
        <v>15533819</v>
      </c>
      <c r="F29" s="919"/>
      <c r="G29" s="919"/>
      <c r="H29" s="918">
        <f>'Sources and Uses Budget'!T30</f>
        <v>0</v>
      </c>
      <c r="I29" s="919"/>
      <c r="J29" s="919"/>
      <c r="K29" s="913"/>
    </row>
    <row r="30" spans="1:11" s="383" customFormat="1">
      <c r="A30" s="369" t="s">
        <v>1015</v>
      </c>
      <c r="B30" s="918">
        <f>'Sources and Uses Budget'!C31</f>
        <v>1457171</v>
      </c>
      <c r="C30" s="919"/>
      <c r="D30" s="919"/>
      <c r="E30" s="918">
        <f>'Sources and Uses Budget'!S31</f>
        <v>1457171</v>
      </c>
      <c r="F30" s="919"/>
      <c r="G30" s="919"/>
      <c r="H30" s="918">
        <f>'Sources and Uses Budget'!T31</f>
        <v>0</v>
      </c>
      <c r="I30" s="919"/>
      <c r="J30" s="919"/>
      <c r="K30" s="913"/>
    </row>
    <row r="31" spans="1:11" s="383" customFormat="1">
      <c r="A31" s="369" t="s">
        <v>1016</v>
      </c>
      <c r="B31" s="918">
        <f>'Sources and Uses Budget'!C32</f>
        <v>436164.5</v>
      </c>
      <c r="C31" s="919"/>
      <c r="D31" s="919"/>
      <c r="E31" s="918">
        <f>'Sources and Uses Budget'!S32</f>
        <v>436164.5</v>
      </c>
      <c r="F31" s="919"/>
      <c r="G31" s="919"/>
      <c r="H31" s="918">
        <f>'Sources and Uses Budget'!T32</f>
        <v>0</v>
      </c>
      <c r="I31" s="919"/>
      <c r="J31" s="919"/>
      <c r="K31" s="913"/>
    </row>
    <row r="32" spans="1:11" s="383" customFormat="1">
      <c r="A32" s="369" t="s">
        <v>1017</v>
      </c>
      <c r="B32" s="918">
        <f>'Sources and Uses Budget'!C33</f>
        <v>436164.5</v>
      </c>
      <c r="C32" s="919"/>
      <c r="D32" s="919"/>
      <c r="E32" s="918">
        <f>'Sources and Uses Budget'!S33</f>
        <v>436164.5</v>
      </c>
      <c r="F32" s="919"/>
      <c r="G32" s="919"/>
      <c r="H32" s="918">
        <f>'Sources and Uses Budget'!T33</f>
        <v>0</v>
      </c>
      <c r="I32" s="919"/>
      <c r="J32" s="919"/>
      <c r="K32" s="913"/>
    </row>
    <row r="33" spans="1:11" s="383" customFormat="1">
      <c r="A33" s="369" t="s">
        <v>1018</v>
      </c>
      <c r="B33" s="918">
        <f>'Sources and Uses Budget'!C34</f>
        <v>0</v>
      </c>
      <c r="C33" s="919"/>
      <c r="D33" s="919"/>
      <c r="E33" s="918">
        <f>'Sources and Uses Budget'!S34</f>
        <v>0</v>
      </c>
      <c r="F33" s="919">
        <f t="shared" ref="F33:F36" si="0">E33</f>
        <v>0</v>
      </c>
      <c r="G33" s="919"/>
      <c r="H33" s="918">
        <f>'Sources and Uses Budget'!T34</f>
        <v>0</v>
      </c>
      <c r="I33" s="919"/>
      <c r="J33" s="919"/>
      <c r="K33" s="913"/>
    </row>
    <row r="34" spans="1:11" s="383" customFormat="1">
      <c r="A34" s="369" t="s">
        <v>1019</v>
      </c>
      <c r="B34" s="918">
        <f>'Sources and Uses Budget'!C35</f>
        <v>208677</v>
      </c>
      <c r="C34" s="919"/>
      <c r="D34" s="919"/>
      <c r="E34" s="918">
        <f>'Sources and Uses Budget'!S35</f>
        <v>208677</v>
      </c>
      <c r="F34" s="919"/>
      <c r="G34" s="919"/>
      <c r="H34" s="918">
        <f>'Sources and Uses Budget'!T35</f>
        <v>0</v>
      </c>
      <c r="I34" s="919"/>
      <c r="J34" s="919"/>
      <c r="K34" s="913"/>
    </row>
    <row r="35" spans="1:11" s="1503" customFormat="1">
      <c r="A35" s="722" t="str">
        <f>'Sources and Uses Budget'!$A36</f>
        <v>Third-party Construction Management</v>
      </c>
      <c r="B35" s="918">
        <f>'Sources and Uses Budget'!C36</f>
        <v>0</v>
      </c>
      <c r="C35" s="919"/>
      <c r="D35" s="919"/>
      <c r="E35" s="918">
        <f>'Sources and Uses Budget'!S36</f>
        <v>0</v>
      </c>
      <c r="F35" s="919">
        <f t="shared" si="0"/>
        <v>0</v>
      </c>
      <c r="G35" s="919"/>
      <c r="H35" s="918">
        <f>'Sources and Uses Budget'!T36</f>
        <v>0</v>
      </c>
      <c r="I35" s="919"/>
      <c r="J35" s="919"/>
      <c r="K35" s="913"/>
    </row>
    <row r="36" spans="1:11" s="383" customFormat="1">
      <c r="A36" s="722" t="str">
        <f>'Sources and Uses Budget'!$A37</f>
        <v>Other: (Specify)</v>
      </c>
      <c r="B36" s="918">
        <f>'Sources and Uses Budget'!C37</f>
        <v>0</v>
      </c>
      <c r="C36" s="919"/>
      <c r="D36" s="919"/>
      <c r="E36" s="918">
        <f>'Sources and Uses Budget'!S37</f>
        <v>0</v>
      </c>
      <c r="F36" s="919">
        <f t="shared" si="0"/>
        <v>0</v>
      </c>
      <c r="G36" s="919"/>
      <c r="H36" s="918">
        <f>'Sources and Uses Budget'!T37</f>
        <v>0</v>
      </c>
      <c r="I36" s="919"/>
      <c r="J36" s="919"/>
      <c r="K36" s="913"/>
    </row>
    <row r="37" spans="1:11" s="383" customFormat="1">
      <c r="A37" s="911" t="s">
        <v>1022</v>
      </c>
      <c r="B37" s="918">
        <f>'Sources and Uses Budget'!C38</f>
        <v>21653859</v>
      </c>
      <c r="C37" s="918">
        <f>SUM(C28:C36)</f>
        <v>0</v>
      </c>
      <c r="D37" s="918">
        <f>SUM(D28:D36)</f>
        <v>0</v>
      </c>
      <c r="E37" s="918">
        <f>'Sources and Uses Budget'!S38</f>
        <v>21653859</v>
      </c>
      <c r="F37" s="921">
        <f>SUM(F28:F36)</f>
        <v>0</v>
      </c>
      <c r="G37" s="921">
        <f>SUM(G28:G36)</f>
        <v>0</v>
      </c>
      <c r="H37" s="918">
        <f>'Sources and Uses Budget'!T38</f>
        <v>0</v>
      </c>
      <c r="I37" s="921">
        <f>SUM(I28:I36)</f>
        <v>0</v>
      </c>
      <c r="J37" s="921">
        <f>SUM(J28:J36)</f>
        <v>0</v>
      </c>
      <c r="K37" s="913"/>
    </row>
    <row r="38" spans="1:11" s="383" customFormat="1" ht="12">
      <c r="A38" s="365" t="s">
        <v>1023</v>
      </c>
      <c r="B38" s="917"/>
      <c r="C38" s="917"/>
      <c r="D38" s="917"/>
      <c r="E38" s="917"/>
      <c r="F38" s="917"/>
      <c r="G38" s="917"/>
      <c r="H38" s="917"/>
      <c r="I38" s="917"/>
      <c r="J38" s="917"/>
      <c r="K38" s="913"/>
    </row>
    <row r="39" spans="1:11" s="383" customFormat="1">
      <c r="A39" s="369" t="s">
        <v>1024</v>
      </c>
      <c r="B39" s="918">
        <f>'Sources and Uses Budget'!C40</f>
        <v>924480</v>
      </c>
      <c r="C39" s="919"/>
      <c r="D39" s="919"/>
      <c r="E39" s="918">
        <f>'Sources and Uses Budget'!S40</f>
        <v>924480</v>
      </c>
      <c r="F39" s="919"/>
      <c r="G39" s="919"/>
      <c r="H39" s="918">
        <f>'Sources and Uses Budget'!T40</f>
        <v>0</v>
      </c>
      <c r="I39" s="919"/>
      <c r="J39" s="919"/>
      <c r="K39" s="913"/>
    </row>
    <row r="40" spans="1:11" s="383" customFormat="1">
      <c r="A40" s="369" t="s">
        <v>1025</v>
      </c>
      <c r="B40" s="918">
        <f>'Sources and Uses Budget'!C41</f>
        <v>0</v>
      </c>
      <c r="C40" s="919">
        <f>B40</f>
        <v>0</v>
      </c>
      <c r="D40" s="919"/>
      <c r="E40" s="918">
        <f>'Sources and Uses Budget'!S41</f>
        <v>0</v>
      </c>
      <c r="F40" s="919">
        <f>E40</f>
        <v>0</v>
      </c>
      <c r="G40" s="919"/>
      <c r="H40" s="918">
        <f>'Sources and Uses Budget'!T41</f>
        <v>0</v>
      </c>
      <c r="I40" s="919"/>
      <c r="J40" s="919"/>
      <c r="K40" s="913"/>
    </row>
    <row r="41" spans="1:11" s="383" customFormat="1">
      <c r="A41" s="373" t="s">
        <v>1026</v>
      </c>
      <c r="B41" s="918">
        <f>'Sources and Uses Budget'!C42</f>
        <v>924480</v>
      </c>
      <c r="C41" s="918">
        <f>SUM(C38:C40)</f>
        <v>0</v>
      </c>
      <c r="D41" s="918">
        <f>SUM(D38:D40)</f>
        <v>0</v>
      </c>
      <c r="E41" s="918">
        <f>'Sources and Uses Budget'!S42</f>
        <v>924480</v>
      </c>
      <c r="F41" s="921">
        <f>SUM(F39:F40)</f>
        <v>0</v>
      </c>
      <c r="G41" s="921">
        <f>SUM(G39:G40)</f>
        <v>0</v>
      </c>
      <c r="H41" s="918">
        <f>'Sources and Uses Budget'!T42</f>
        <v>0</v>
      </c>
      <c r="I41" s="921">
        <f>SUM(I39:I40)</f>
        <v>0</v>
      </c>
      <c r="J41" s="921">
        <f>SUM(J39:J40)</f>
        <v>0</v>
      </c>
      <c r="K41" s="913"/>
    </row>
    <row r="42" spans="1:11" s="383" customFormat="1">
      <c r="A42" s="373" t="s">
        <v>1027</v>
      </c>
      <c r="B42" s="918">
        <f>'Sources and Uses Budget'!C43</f>
        <v>328800</v>
      </c>
      <c r="C42" s="919"/>
      <c r="D42" s="919"/>
      <c r="E42" s="918">
        <f>'Sources and Uses Budget'!S43</f>
        <v>328800</v>
      </c>
      <c r="F42" s="919"/>
      <c r="G42" s="919"/>
      <c r="H42" s="918">
        <f>'Sources and Uses Budget'!T43</f>
        <v>0</v>
      </c>
      <c r="I42" s="919"/>
      <c r="J42" s="919"/>
      <c r="K42" s="913"/>
    </row>
    <row r="43" spans="1:11" s="383" customFormat="1" ht="12">
      <c r="A43" s="365" t="s">
        <v>1028</v>
      </c>
      <c r="B43" s="917"/>
      <c r="C43" s="917"/>
      <c r="D43" s="917"/>
      <c r="E43" s="917"/>
      <c r="F43" s="917"/>
      <c r="G43" s="917"/>
      <c r="H43" s="917"/>
      <c r="I43" s="917"/>
      <c r="J43" s="917"/>
      <c r="K43" s="913"/>
    </row>
    <row r="44" spans="1:11" s="383" customFormat="1">
      <c r="A44" s="369" t="s">
        <v>1029</v>
      </c>
      <c r="B44" s="918">
        <f>'Sources and Uses Budget'!C45</f>
        <v>1185800</v>
      </c>
      <c r="C44" s="919"/>
      <c r="D44" s="919"/>
      <c r="E44" s="918">
        <f>'Sources and Uses Budget'!S45</f>
        <v>889099</v>
      </c>
      <c r="F44" s="919"/>
      <c r="G44" s="919"/>
      <c r="H44" s="918">
        <f>'Sources and Uses Budget'!T45</f>
        <v>0</v>
      </c>
      <c r="I44" s="919"/>
      <c r="J44" s="919"/>
      <c r="K44" s="913"/>
    </row>
    <row r="45" spans="1:11" s="383" customFormat="1">
      <c r="A45" s="369" t="s">
        <v>1030</v>
      </c>
      <c r="B45" s="918">
        <f>'Sources and Uses Budget'!C46</f>
        <v>0</v>
      </c>
      <c r="C45" s="919"/>
      <c r="D45" s="919"/>
      <c r="E45" s="918">
        <f>'Sources and Uses Budget'!S46</f>
        <v>0</v>
      </c>
      <c r="F45" s="919">
        <f t="shared" ref="F45" si="1">E45</f>
        <v>0</v>
      </c>
      <c r="G45" s="919"/>
      <c r="H45" s="918">
        <f>'Sources and Uses Budget'!T46</f>
        <v>0</v>
      </c>
      <c r="I45" s="919"/>
      <c r="J45" s="919"/>
      <c r="K45" s="913"/>
    </row>
    <row r="46" spans="1:11" s="383" customFormat="1" ht="12" customHeight="1">
      <c r="A46" s="369" t="s">
        <v>1031</v>
      </c>
      <c r="B46" s="918">
        <f>'Sources and Uses Budget'!C47</f>
        <v>247000</v>
      </c>
      <c r="C46" s="919"/>
      <c r="D46" s="919"/>
      <c r="E46" s="918">
        <f>'Sources and Uses Budget'!S47</f>
        <v>247000</v>
      </c>
      <c r="F46" s="919"/>
      <c r="G46" s="919"/>
      <c r="H46" s="918">
        <f>'Sources and Uses Budget'!T47</f>
        <v>0</v>
      </c>
      <c r="I46" s="919"/>
      <c r="J46" s="919"/>
      <c r="K46" s="913"/>
    </row>
    <row r="47" spans="1:11" s="383" customFormat="1">
      <c r="A47" s="369" t="s">
        <v>1032</v>
      </c>
      <c r="B47" s="918">
        <f>'Sources and Uses Budget'!C48</f>
        <v>0</v>
      </c>
      <c r="C47" s="919"/>
      <c r="D47" s="919"/>
      <c r="E47" s="918">
        <f>'Sources and Uses Budget'!S48</f>
        <v>0</v>
      </c>
      <c r="F47" s="919"/>
      <c r="G47" s="919"/>
      <c r="H47" s="918">
        <f>'Sources and Uses Budget'!T48</f>
        <v>0</v>
      </c>
      <c r="I47" s="919"/>
      <c r="J47" s="919"/>
      <c r="K47" s="913"/>
    </row>
    <row r="48" spans="1:11" s="383" customFormat="1">
      <c r="A48" s="369" t="s">
        <v>1035</v>
      </c>
      <c r="B48" s="918">
        <f>'Sources and Uses Budget'!C49</f>
        <v>100000</v>
      </c>
      <c r="C48" s="919"/>
      <c r="D48" s="919"/>
      <c r="E48" s="918">
        <f>'Sources and Uses Budget'!S49</f>
        <v>100000</v>
      </c>
      <c r="F48" s="919"/>
      <c r="G48" s="919"/>
      <c r="H48" s="918">
        <f>'Sources and Uses Budget'!T49</f>
        <v>0</v>
      </c>
      <c r="I48" s="919"/>
      <c r="J48" s="919"/>
      <c r="K48" s="913"/>
    </row>
    <row r="49" spans="1:11" s="383" customFormat="1">
      <c r="A49" s="369" t="s">
        <v>1033</v>
      </c>
      <c r="B49" s="918">
        <f>'Sources and Uses Budget'!C50</f>
        <v>50000</v>
      </c>
      <c r="C49" s="919"/>
      <c r="D49" s="919"/>
      <c r="E49" s="918">
        <f>'Sources and Uses Budget'!S50</f>
        <v>50000</v>
      </c>
      <c r="F49" s="919"/>
      <c r="G49" s="919"/>
      <c r="H49" s="918">
        <f>'Sources and Uses Budget'!T50</f>
        <v>0</v>
      </c>
      <c r="I49" s="919"/>
      <c r="J49" s="919"/>
      <c r="K49" s="913"/>
    </row>
    <row r="50" spans="1:11" s="383" customFormat="1">
      <c r="A50" s="369" t="s">
        <v>1034</v>
      </c>
      <c r="B50" s="918">
        <f>'Sources and Uses Budget'!C51</f>
        <v>400000</v>
      </c>
      <c r="C50" s="919"/>
      <c r="D50" s="919"/>
      <c r="E50" s="918">
        <f>'Sources and Uses Budget'!S51</f>
        <v>400000</v>
      </c>
      <c r="F50" s="919"/>
      <c r="G50" s="919"/>
      <c r="H50" s="918">
        <f>'Sources and Uses Budget'!T51</f>
        <v>0</v>
      </c>
      <c r="I50" s="919"/>
      <c r="J50" s="919"/>
      <c r="K50" s="913"/>
    </row>
    <row r="51" spans="1:11" s="383" customFormat="1">
      <c r="A51" s="722" t="str">
        <f>'Sources and Uses Budget'!$A52</f>
        <v>Other: Lender Expenses  + Sponsor Legal</v>
      </c>
      <c r="B51" s="918">
        <f>'Sources and Uses Budget'!C52</f>
        <v>232400</v>
      </c>
      <c r="C51" s="919"/>
      <c r="D51" s="919"/>
      <c r="E51" s="918">
        <f>'Sources and Uses Budget'!S52</f>
        <v>232400</v>
      </c>
      <c r="F51" s="919"/>
      <c r="G51" s="919"/>
      <c r="H51" s="918">
        <f>'Sources and Uses Budget'!T52</f>
        <v>0</v>
      </c>
      <c r="I51" s="919"/>
      <c r="J51" s="919"/>
      <c r="K51" s="913"/>
    </row>
    <row r="52" spans="1:11" s="910" customFormat="1">
      <c r="A52" s="373" t="s">
        <v>1036</v>
      </c>
      <c r="B52" s="918">
        <f>'Sources and Uses Budget'!C53</f>
        <v>2215200</v>
      </c>
      <c r="C52" s="921">
        <f>SUM(C44:C51)</f>
        <v>0</v>
      </c>
      <c r="D52" s="921">
        <f>SUM(D44:D51)</f>
        <v>0</v>
      </c>
      <c r="E52" s="918">
        <f>'Sources and Uses Budget'!S53</f>
        <v>1918499</v>
      </c>
      <c r="F52" s="921">
        <f>SUM(F44:F51)</f>
        <v>0</v>
      </c>
      <c r="G52" s="921">
        <f>SUM(G44:G51)</f>
        <v>0</v>
      </c>
      <c r="H52" s="918">
        <f>'Sources and Uses Budget'!T53</f>
        <v>0</v>
      </c>
      <c r="I52" s="921">
        <f>SUM(I44:I51)</f>
        <v>0</v>
      </c>
      <c r="J52" s="921">
        <f>SUM(J44:J51)</f>
        <v>0</v>
      </c>
      <c r="K52" s="914"/>
    </row>
    <row r="53" spans="1:11" s="383" customFormat="1" ht="12">
      <c r="A53" s="365" t="s">
        <v>748</v>
      </c>
      <c r="B53" s="917"/>
      <c r="C53" s="917"/>
      <c r="D53" s="917"/>
      <c r="E53" s="917"/>
      <c r="F53" s="917"/>
      <c r="G53" s="917"/>
      <c r="H53" s="917"/>
      <c r="I53" s="917"/>
      <c r="J53" s="917"/>
      <c r="K53" s="913"/>
    </row>
    <row r="54" spans="1:11" s="383" customFormat="1">
      <c r="A54" s="369" t="s">
        <v>1037</v>
      </c>
      <c r="B54" s="918">
        <f>'Sources and Uses Budget'!C55</f>
        <v>0</v>
      </c>
      <c r="C54" s="919">
        <f>B54</f>
        <v>0</v>
      </c>
      <c r="D54" s="919"/>
      <c r="E54" s="920"/>
      <c r="F54" s="920"/>
      <c r="G54" s="920"/>
      <c r="H54" s="920"/>
      <c r="I54" s="920"/>
      <c r="J54" s="920"/>
      <c r="K54" s="913"/>
    </row>
    <row r="55" spans="1:11" s="383" customFormat="1" ht="12" customHeight="1">
      <c r="A55" s="369" t="s">
        <v>1031</v>
      </c>
      <c r="B55" s="918">
        <f>'Sources and Uses Budget'!C56</f>
        <v>32600</v>
      </c>
      <c r="C55" s="919"/>
      <c r="D55" s="919"/>
      <c r="E55" s="920"/>
      <c r="F55" s="920"/>
      <c r="G55" s="920"/>
      <c r="H55" s="920"/>
      <c r="I55" s="920"/>
      <c r="J55" s="920"/>
      <c r="K55" s="913"/>
    </row>
    <row r="56" spans="1:11" s="383" customFormat="1">
      <c r="A56" s="369" t="s">
        <v>1035</v>
      </c>
      <c r="B56" s="918">
        <f>'Sources and Uses Budget'!C57</f>
        <v>25000</v>
      </c>
      <c r="C56" s="919"/>
      <c r="D56" s="919"/>
      <c r="E56" s="920"/>
      <c r="F56" s="920"/>
      <c r="G56" s="920"/>
      <c r="H56" s="920"/>
      <c r="I56" s="920"/>
      <c r="J56" s="920"/>
      <c r="K56" s="913"/>
    </row>
    <row r="57" spans="1:11" s="383" customFormat="1">
      <c r="A57" s="369" t="s">
        <v>1033</v>
      </c>
      <c r="B57" s="918">
        <f>'Sources and Uses Budget'!C58</f>
        <v>0</v>
      </c>
      <c r="C57" s="919">
        <f t="shared" ref="C57:C58" si="2">B57</f>
        <v>0</v>
      </c>
      <c r="D57" s="919"/>
      <c r="E57" s="920"/>
      <c r="F57" s="920"/>
      <c r="G57" s="920"/>
      <c r="H57" s="920"/>
      <c r="I57" s="920"/>
      <c r="J57" s="920"/>
      <c r="K57" s="913"/>
    </row>
    <row r="58" spans="1:11" s="383" customFormat="1">
      <c r="A58" s="369" t="s">
        <v>1034</v>
      </c>
      <c r="B58" s="918">
        <f>'Sources and Uses Budget'!C59</f>
        <v>0</v>
      </c>
      <c r="C58" s="919">
        <f t="shared" si="2"/>
        <v>0</v>
      </c>
      <c r="D58" s="919"/>
      <c r="E58" s="920"/>
      <c r="F58" s="920"/>
      <c r="G58" s="920"/>
      <c r="H58" s="920"/>
      <c r="I58" s="920"/>
      <c r="J58" s="920"/>
      <c r="K58" s="913"/>
    </row>
    <row r="59" spans="1:11" s="383" customFormat="1">
      <c r="A59" s="722" t="str">
        <f>'Sources and Uses Budget'!$A60</f>
        <v>Other: Lender Legal + Sponsor Legal</v>
      </c>
      <c r="B59" s="918">
        <f>'Sources and Uses Budget'!C60</f>
        <v>40000</v>
      </c>
      <c r="C59" s="919"/>
      <c r="D59" s="919"/>
      <c r="E59" s="920"/>
      <c r="F59" s="920"/>
      <c r="G59" s="920"/>
      <c r="H59" s="920"/>
      <c r="I59" s="920"/>
      <c r="J59" s="920"/>
      <c r="K59" s="913"/>
    </row>
    <row r="60" spans="1:11" s="383" customFormat="1" ht="14" customHeight="1">
      <c r="A60" s="373" t="s">
        <v>549</v>
      </c>
      <c r="B60" s="918">
        <f>'Sources and Uses Budget'!C61</f>
        <v>97600</v>
      </c>
      <c r="C60" s="918">
        <f>SUM(C54:C59)</f>
        <v>0</v>
      </c>
      <c r="D60" s="918">
        <f>SUM(D54:D59)</f>
        <v>0</v>
      </c>
      <c r="E60" s="920"/>
      <c r="F60" s="920"/>
      <c r="G60" s="920"/>
      <c r="H60" s="920"/>
      <c r="I60" s="920"/>
      <c r="J60" s="920"/>
      <c r="K60" s="913"/>
    </row>
    <row r="61" spans="1:11" s="383" customFormat="1">
      <c r="A61" s="379" t="s">
        <v>550</v>
      </c>
      <c r="B61" s="918">
        <f>'Sources and Uses Budget'!C62</f>
        <v>28786396</v>
      </c>
      <c r="C61" s="918">
        <f>SUM(C8+C11+C13+C14+C15+C25+C26+C37+C41+C42+C52+C60)</f>
        <v>0</v>
      </c>
      <c r="D61" s="918">
        <f>SUM(D8+D11+D13+D14+D15+D25+D26+D37+D41+D42+D52+D60)</f>
        <v>0</v>
      </c>
      <c r="E61" s="918">
        <f>'Sources and Uses Budget'!S62</f>
        <v>26312934</v>
      </c>
      <c r="F61" s="918">
        <f>SUM(F10+F13+F14+F15+F25+F26+F37+F41+F42+F52)</f>
        <v>0</v>
      </c>
      <c r="G61" s="918">
        <f>SUM(G10+G13+G14+G15+G25+G26+G37+G41+G42+G52)</f>
        <v>0</v>
      </c>
      <c r="H61" s="918">
        <f>'Sources and Uses Budget'!T62</f>
        <v>0</v>
      </c>
      <c r="I61" s="918">
        <f>SUM(I11+I13+I14+I15+I25+I26+I37+I41+I42+I52)</f>
        <v>0</v>
      </c>
      <c r="J61" s="918">
        <f>SUM(J11+J13+J14+J15+J25+J26+J37+J41+J42+J52)</f>
        <v>0</v>
      </c>
      <c r="K61" s="913"/>
    </row>
    <row r="62" spans="1:11" s="383" customFormat="1" ht="24">
      <c r="A62" s="365" t="s">
        <v>2239</v>
      </c>
      <c r="B62" s="917"/>
      <c r="C62" s="917"/>
      <c r="D62" s="917"/>
      <c r="E62" s="917"/>
      <c r="F62" s="917"/>
      <c r="G62" s="917"/>
      <c r="H62" s="917"/>
      <c r="I62" s="917"/>
      <c r="J62" s="917"/>
      <c r="K62" s="913"/>
    </row>
    <row r="63" spans="1:11" s="383" customFormat="1">
      <c r="A63" s="369" t="s">
        <v>312</v>
      </c>
      <c r="B63" s="918">
        <f>'Sources and Uses Budget'!C64</f>
        <v>50000</v>
      </c>
      <c r="C63" s="919"/>
      <c r="D63" s="919"/>
      <c r="E63" s="918">
        <f>'Sources and Uses Budget'!S64</f>
        <v>50000</v>
      </c>
      <c r="F63" s="919"/>
      <c r="G63" s="919"/>
      <c r="H63" s="918">
        <f>'Sources and Uses Budget'!T64</f>
        <v>0</v>
      </c>
      <c r="I63" s="919"/>
      <c r="J63" s="919"/>
      <c r="K63" s="913"/>
    </row>
    <row r="64" spans="1:11" s="1385" customFormat="1" ht="23">
      <c r="A64" s="369" t="s">
        <v>2240</v>
      </c>
      <c r="B64" s="918">
        <f>'Sources and Uses Budget'!C65</f>
        <v>0</v>
      </c>
      <c r="C64" s="919">
        <f t="shared" ref="C64:C66" si="3">B64</f>
        <v>0</v>
      </c>
      <c r="D64" s="919"/>
      <c r="E64" s="918">
        <f>'Sources and Uses Budget'!S65</f>
        <v>0</v>
      </c>
      <c r="F64" s="919">
        <f t="shared" ref="F64:F66" si="4">E64</f>
        <v>0</v>
      </c>
      <c r="G64" s="919"/>
      <c r="H64" s="918">
        <f>'Sources and Uses Budget'!T65</f>
        <v>0</v>
      </c>
      <c r="I64" s="919"/>
      <c r="J64" s="919"/>
      <c r="K64" s="913"/>
    </row>
    <row r="65" spans="1:11" s="1385" customFormat="1" ht="23">
      <c r="A65" s="369" t="s">
        <v>2241</v>
      </c>
      <c r="B65" s="918">
        <f>'Sources and Uses Budget'!C66</f>
        <v>0</v>
      </c>
      <c r="C65" s="919">
        <f t="shared" si="3"/>
        <v>0</v>
      </c>
      <c r="D65" s="919"/>
      <c r="E65" s="918">
        <f>'Sources and Uses Budget'!S66</f>
        <v>0</v>
      </c>
      <c r="F65" s="919">
        <f t="shared" si="4"/>
        <v>0</v>
      </c>
      <c r="G65" s="919"/>
      <c r="H65" s="918">
        <f>'Sources and Uses Budget'!T66</f>
        <v>0</v>
      </c>
      <c r="I65" s="919"/>
      <c r="J65" s="919"/>
      <c r="K65" s="913"/>
    </row>
    <row r="66" spans="1:11" s="1385" customFormat="1">
      <c r="A66" s="369" t="s">
        <v>2242</v>
      </c>
      <c r="B66" s="918">
        <f>'Sources and Uses Budget'!C67</f>
        <v>0</v>
      </c>
      <c r="C66" s="919">
        <f t="shared" si="3"/>
        <v>0</v>
      </c>
      <c r="D66" s="919"/>
      <c r="E66" s="918">
        <f>'Sources and Uses Budget'!S67</f>
        <v>0</v>
      </c>
      <c r="F66" s="919">
        <f t="shared" si="4"/>
        <v>0</v>
      </c>
      <c r="G66" s="919"/>
      <c r="H66" s="918">
        <f>'Sources and Uses Budget'!T67</f>
        <v>0</v>
      </c>
      <c r="I66" s="919"/>
      <c r="J66" s="919"/>
      <c r="K66" s="913"/>
    </row>
    <row r="67" spans="1:11" s="383" customFormat="1" ht="23">
      <c r="A67" s="722" t="str">
        <f>'Sources and Uses Budget'!$A68</f>
        <v>Other: LEED/Solar/Prevailing Wage Consultants</v>
      </c>
      <c r="B67" s="918">
        <f>'Sources and Uses Budget'!C68</f>
        <v>590661</v>
      </c>
      <c r="C67" s="919"/>
      <c r="D67" s="919"/>
      <c r="E67" s="918">
        <f>'Sources and Uses Budget'!S68</f>
        <v>590661</v>
      </c>
      <c r="F67" s="919"/>
      <c r="G67" s="919"/>
      <c r="H67" s="918">
        <f>'Sources and Uses Budget'!T68</f>
        <v>0</v>
      </c>
      <c r="I67" s="919"/>
      <c r="J67" s="919"/>
      <c r="K67" s="913"/>
    </row>
    <row r="68" spans="1:11" s="383" customFormat="1">
      <c r="A68" s="373" t="s">
        <v>2243</v>
      </c>
      <c r="B68" s="918">
        <f>'Sources and Uses Budget'!C69</f>
        <v>640661</v>
      </c>
      <c r="C68" s="918">
        <f>SUM(C62:C67)</f>
        <v>0</v>
      </c>
      <c r="D68" s="918">
        <f>SUM(D62:D67)</f>
        <v>0</v>
      </c>
      <c r="E68" s="918">
        <f>'Sources and Uses Budget'!S69</f>
        <v>640661</v>
      </c>
      <c r="F68" s="921">
        <f>SUM(F63:F67)</f>
        <v>0</v>
      </c>
      <c r="G68" s="921">
        <f>SUM(G63:G67)</f>
        <v>0</v>
      </c>
      <c r="H68" s="918">
        <f>'Sources and Uses Budget'!T69</f>
        <v>0</v>
      </c>
      <c r="I68" s="921">
        <f>SUM(I63:I67)</f>
        <v>0</v>
      </c>
      <c r="J68" s="921">
        <f>SUM(J63:J67)</f>
        <v>0</v>
      </c>
      <c r="K68" s="913"/>
    </row>
    <row r="69" spans="1:11" s="383" customFormat="1" ht="12">
      <c r="A69" s="365" t="s">
        <v>313</v>
      </c>
      <c r="B69" s="917"/>
      <c r="C69" s="917"/>
      <c r="D69" s="917"/>
      <c r="E69" s="917"/>
      <c r="F69" s="917"/>
      <c r="G69" s="917"/>
      <c r="H69" s="917"/>
      <c r="I69" s="917"/>
      <c r="J69" s="917"/>
      <c r="K69" s="913"/>
    </row>
    <row r="70" spans="1:11" s="383" customFormat="1">
      <c r="A70" s="369" t="s">
        <v>314</v>
      </c>
      <c r="B70" s="918">
        <f>'Sources and Uses Budget'!C71</f>
        <v>0</v>
      </c>
      <c r="C70" s="919">
        <f>B70</f>
        <v>0</v>
      </c>
      <c r="D70" s="919"/>
      <c r="E70" s="920"/>
      <c r="F70" s="920"/>
      <c r="G70" s="920"/>
      <c r="H70" s="920"/>
      <c r="I70" s="920"/>
      <c r="J70" s="920"/>
      <c r="K70" s="913"/>
    </row>
    <row r="71" spans="1:11" s="383" customFormat="1">
      <c r="A71" s="369" t="s">
        <v>315</v>
      </c>
      <c r="B71" s="918">
        <f>'Sources and Uses Budget'!C72</f>
        <v>0</v>
      </c>
      <c r="C71" s="919">
        <f t="shared" ref="C71:C74" si="5">B71</f>
        <v>0</v>
      </c>
      <c r="D71" s="919"/>
      <c r="E71" s="920"/>
      <c r="F71" s="920"/>
      <c r="G71" s="920"/>
      <c r="H71" s="920"/>
      <c r="I71" s="920"/>
      <c r="J71" s="920"/>
      <c r="K71" s="913"/>
    </row>
    <row r="72" spans="1:11" s="383" customFormat="1">
      <c r="A72" s="998" t="s">
        <v>1371</v>
      </c>
      <c r="B72" s="918">
        <f>'Sources and Uses Budget'!C73</f>
        <v>0</v>
      </c>
      <c r="C72" s="919">
        <f t="shared" si="5"/>
        <v>0</v>
      </c>
      <c r="D72" s="919"/>
      <c r="E72" s="920"/>
      <c r="F72" s="920"/>
      <c r="G72" s="920"/>
      <c r="H72" s="920"/>
      <c r="I72" s="920"/>
      <c r="J72" s="920"/>
      <c r="K72" s="913"/>
    </row>
    <row r="73" spans="1:11" s="383" customFormat="1">
      <c r="A73" s="369" t="s">
        <v>316</v>
      </c>
      <c r="B73" s="918">
        <f>'Sources and Uses Budget'!C74</f>
        <v>151575</v>
      </c>
      <c r="C73" s="919"/>
      <c r="D73" s="919"/>
      <c r="E73" s="920"/>
      <c r="F73" s="920"/>
      <c r="G73" s="920"/>
      <c r="H73" s="920"/>
      <c r="I73" s="920"/>
      <c r="J73" s="920"/>
      <c r="K73" s="913"/>
    </row>
    <row r="74" spans="1:11" s="383" customFormat="1">
      <c r="A74" s="722" t="str">
        <f>'Sources and Uses Budget'!$A75</f>
        <v>Other: (Specify)</v>
      </c>
      <c r="B74" s="918">
        <f>'Sources and Uses Budget'!C75</f>
        <v>0</v>
      </c>
      <c r="C74" s="919">
        <f t="shared" si="5"/>
        <v>0</v>
      </c>
      <c r="D74" s="919"/>
      <c r="E74" s="920"/>
      <c r="F74" s="920"/>
      <c r="G74" s="920"/>
      <c r="H74" s="920"/>
      <c r="I74" s="920"/>
      <c r="J74" s="920"/>
      <c r="K74" s="913"/>
    </row>
    <row r="75" spans="1:11" s="383" customFormat="1">
      <c r="A75" s="373" t="s">
        <v>317</v>
      </c>
      <c r="B75" s="918">
        <f>'Sources and Uses Budget'!C76</f>
        <v>151575</v>
      </c>
      <c r="C75" s="918">
        <f>SUM(C70:C74)</f>
        <v>0</v>
      </c>
      <c r="D75" s="918">
        <f>SUM(D70:D74)</f>
        <v>0</v>
      </c>
      <c r="E75" s="920"/>
      <c r="F75" s="920"/>
      <c r="G75" s="920"/>
      <c r="H75" s="920"/>
      <c r="I75" s="920"/>
      <c r="J75" s="920"/>
      <c r="K75" s="913"/>
    </row>
    <row r="76" spans="1:11" s="383" customFormat="1" ht="12">
      <c r="A76" s="365" t="s">
        <v>1968</v>
      </c>
      <c r="B76" s="917"/>
      <c r="C76" s="917"/>
      <c r="D76" s="917"/>
      <c r="E76" s="917"/>
      <c r="F76" s="917"/>
      <c r="G76" s="917"/>
      <c r="H76" s="917"/>
      <c r="I76" s="917"/>
      <c r="J76" s="917"/>
      <c r="K76" s="913"/>
    </row>
    <row r="77" spans="1:11" s="383" customFormat="1">
      <c r="A77" s="369" t="s">
        <v>1969</v>
      </c>
      <c r="B77" s="918">
        <f>'Sources and Uses Budget'!C78</f>
        <v>1170342</v>
      </c>
      <c r="C77" s="919"/>
      <c r="D77" s="919"/>
      <c r="E77" s="918">
        <f>'Sources and Uses Budget'!S78</f>
        <v>1170342</v>
      </c>
      <c r="F77" s="919"/>
      <c r="G77" s="919"/>
      <c r="H77" s="918">
        <f>'Sources and Uses Budget'!T78</f>
        <v>0</v>
      </c>
      <c r="I77" s="919"/>
      <c r="J77" s="919"/>
      <c r="K77" s="913"/>
    </row>
    <row r="78" spans="1:11" s="1092" customFormat="1">
      <c r="A78" s="369" t="s">
        <v>597</v>
      </c>
      <c r="B78" s="918">
        <f>'Sources and Uses Budget'!C79</f>
        <v>300554</v>
      </c>
      <c r="C78" s="919"/>
      <c r="D78" s="919"/>
      <c r="E78" s="918">
        <f>'Sources and Uses Budget'!S79</f>
        <v>300554</v>
      </c>
      <c r="F78" s="919"/>
      <c r="G78" s="919"/>
      <c r="H78" s="918">
        <f>'Sources and Uses Budget'!T79</f>
        <v>0</v>
      </c>
      <c r="I78" s="919"/>
      <c r="J78" s="919"/>
      <c r="K78" s="913"/>
    </row>
    <row r="79" spans="1:11" s="383" customFormat="1">
      <c r="A79" s="373" t="s">
        <v>1967</v>
      </c>
      <c r="B79" s="918">
        <f>'Sources and Uses Budget'!C80</f>
        <v>1470896</v>
      </c>
      <c r="C79" s="1125">
        <f>SUM(C77:C78)</f>
        <v>0</v>
      </c>
      <c r="D79" s="1125">
        <f>SUM(D77:D78)</f>
        <v>0</v>
      </c>
      <c r="E79" s="918">
        <f>'Sources and Uses Budget'!S80</f>
        <v>1470896</v>
      </c>
      <c r="F79" s="1125">
        <f>SUM(F77:F78)</f>
        <v>0</v>
      </c>
      <c r="G79" s="1125">
        <f>SUM(G77:G78)</f>
        <v>0</v>
      </c>
      <c r="H79" s="918">
        <f>'Sources and Uses Budget'!T80</f>
        <v>0</v>
      </c>
      <c r="I79" s="1125">
        <f>SUM(I77:I78)</f>
        <v>0</v>
      </c>
      <c r="J79" s="1125">
        <f>SUM(J77:J78)</f>
        <v>0</v>
      </c>
      <c r="K79" s="913"/>
    </row>
    <row r="80" spans="1:11" s="383" customFormat="1" ht="12">
      <c r="A80" s="365" t="s">
        <v>573</v>
      </c>
      <c r="B80" s="917"/>
      <c r="C80" s="917"/>
      <c r="D80" s="917"/>
      <c r="E80" s="917"/>
      <c r="F80" s="917"/>
      <c r="G80" s="917"/>
      <c r="H80" s="917"/>
      <c r="I80" s="917"/>
      <c r="J80" s="917"/>
      <c r="K80" s="913"/>
    </row>
    <row r="81" spans="1:11" s="383" customFormat="1" ht="14" customHeight="1">
      <c r="A81" s="369" t="s">
        <v>574</v>
      </c>
      <c r="B81" s="918">
        <f>'Sources and Uses Budget'!C82</f>
        <v>102800</v>
      </c>
      <c r="C81" s="919"/>
      <c r="D81" s="919"/>
      <c r="E81" s="920"/>
      <c r="F81" s="920"/>
      <c r="G81" s="920"/>
      <c r="H81" s="920"/>
      <c r="I81" s="920"/>
      <c r="J81" s="920"/>
      <c r="K81" s="913"/>
    </row>
    <row r="82" spans="1:11" s="383" customFormat="1">
      <c r="A82" s="369" t="s">
        <v>575</v>
      </c>
      <c r="B82" s="918">
        <f>'Sources and Uses Budget'!C83</f>
        <v>15000</v>
      </c>
      <c r="C82" s="919"/>
      <c r="D82" s="919"/>
      <c r="E82" s="918">
        <f>'Sources and Uses Budget'!S83</f>
        <v>15000</v>
      </c>
      <c r="F82" s="919"/>
      <c r="G82" s="919"/>
      <c r="H82" s="918">
        <f>'Sources and Uses Budget'!T83</f>
        <v>0</v>
      </c>
      <c r="I82" s="919"/>
      <c r="J82" s="919"/>
      <c r="K82" s="913"/>
    </row>
    <row r="83" spans="1:11" s="383" customFormat="1">
      <c r="A83" s="369" t="s">
        <v>576</v>
      </c>
      <c r="B83" s="918">
        <f>'Sources and Uses Budget'!C84</f>
        <v>451563</v>
      </c>
      <c r="C83" s="919"/>
      <c r="D83" s="919"/>
      <c r="E83" s="918">
        <f>'Sources and Uses Budget'!S84</f>
        <v>451563</v>
      </c>
      <c r="F83" s="919"/>
      <c r="G83" s="919"/>
      <c r="H83" s="918">
        <f>'Sources and Uses Budget'!T84</f>
        <v>0</v>
      </c>
      <c r="I83" s="919"/>
      <c r="J83" s="919"/>
      <c r="K83" s="913"/>
    </row>
    <row r="84" spans="1:11" s="383" customFormat="1">
      <c r="A84" s="369" t="s">
        <v>577</v>
      </c>
      <c r="B84" s="918">
        <f>'Sources and Uses Budget'!C85</f>
        <v>330000</v>
      </c>
      <c r="C84" s="919"/>
      <c r="D84" s="919"/>
      <c r="E84" s="918">
        <f>'Sources and Uses Budget'!S85</f>
        <v>330000</v>
      </c>
      <c r="F84" s="919"/>
      <c r="G84" s="919"/>
      <c r="H84" s="918">
        <f>'Sources and Uses Budget'!T85</f>
        <v>0</v>
      </c>
      <c r="I84" s="919"/>
      <c r="J84" s="919"/>
      <c r="K84" s="913"/>
    </row>
    <row r="85" spans="1:11" s="383" customFormat="1">
      <c r="A85" s="369" t="s">
        <v>578</v>
      </c>
      <c r="B85" s="918">
        <f>'Sources and Uses Budget'!C86</f>
        <v>0</v>
      </c>
      <c r="C85" s="919"/>
      <c r="D85" s="919"/>
      <c r="E85" s="918">
        <f>'Sources and Uses Budget'!S86</f>
        <v>0</v>
      </c>
      <c r="F85" s="919">
        <f t="shared" ref="F85" si="6">E85</f>
        <v>0</v>
      </c>
      <c r="G85" s="919"/>
      <c r="H85" s="918">
        <f>'Sources and Uses Budget'!T86</f>
        <v>0</v>
      </c>
      <c r="I85" s="919"/>
      <c r="J85" s="919"/>
      <c r="K85" s="913"/>
    </row>
    <row r="86" spans="1:11" s="383" customFormat="1">
      <c r="A86" s="369" t="s">
        <v>579</v>
      </c>
      <c r="B86" s="918">
        <f>'Sources and Uses Budget'!C87</f>
        <v>65000</v>
      </c>
      <c r="C86" s="919"/>
      <c r="D86" s="919"/>
      <c r="E86" s="920"/>
      <c r="F86" s="920"/>
      <c r="G86" s="920"/>
      <c r="H86" s="920"/>
      <c r="I86" s="920"/>
      <c r="J86" s="920"/>
      <c r="K86" s="913"/>
    </row>
    <row r="87" spans="1:11" s="383" customFormat="1">
      <c r="A87" s="369" t="s">
        <v>580</v>
      </c>
      <c r="B87" s="918">
        <f>'Sources and Uses Budget'!C88</f>
        <v>240000</v>
      </c>
      <c r="C87" s="919"/>
      <c r="D87" s="919"/>
      <c r="E87" s="918">
        <f>'Sources and Uses Budget'!S88</f>
        <v>240000</v>
      </c>
      <c r="F87" s="919"/>
      <c r="G87" s="919"/>
      <c r="H87" s="918">
        <f>'Sources and Uses Budget'!T88</f>
        <v>0</v>
      </c>
      <c r="I87" s="919"/>
      <c r="J87" s="919"/>
      <c r="K87" s="913"/>
    </row>
    <row r="88" spans="1:11" s="383" customFormat="1">
      <c r="A88" s="369" t="s">
        <v>581</v>
      </c>
      <c r="B88" s="918">
        <f>'Sources and Uses Budget'!C89</f>
        <v>20000</v>
      </c>
      <c r="C88" s="919"/>
      <c r="D88" s="919"/>
      <c r="E88" s="918">
        <f>'Sources and Uses Budget'!S89</f>
        <v>0</v>
      </c>
      <c r="F88" s="919"/>
      <c r="G88" s="919"/>
      <c r="H88" s="918">
        <f>'Sources and Uses Budget'!T89</f>
        <v>0</v>
      </c>
      <c r="I88" s="919"/>
      <c r="J88" s="919"/>
      <c r="K88" s="913"/>
    </row>
    <row r="89" spans="1:11" s="383" customFormat="1">
      <c r="A89" s="722" t="s">
        <v>1453</v>
      </c>
      <c r="B89" s="918">
        <f>'Sources and Uses Budget'!C90</f>
        <v>0</v>
      </c>
      <c r="C89" s="919"/>
      <c r="D89" s="919"/>
      <c r="E89" s="918">
        <f>'Sources and Uses Budget'!S90</f>
        <v>0</v>
      </c>
      <c r="F89" s="919"/>
      <c r="G89" s="919"/>
      <c r="H89" s="918">
        <f>'Sources and Uses Budget'!T90</f>
        <v>0</v>
      </c>
      <c r="I89" s="919"/>
      <c r="J89" s="919"/>
      <c r="K89" s="913"/>
    </row>
    <row r="90" spans="1:11" s="383" customFormat="1">
      <c r="A90" s="722" t="s">
        <v>1965</v>
      </c>
      <c r="B90" s="918">
        <f>'Sources and Uses Budget'!C91</f>
        <v>12000</v>
      </c>
      <c r="C90" s="919"/>
      <c r="D90" s="919"/>
      <c r="E90" s="918">
        <f>'Sources and Uses Budget'!S91</f>
        <v>0</v>
      </c>
      <c r="F90" s="919"/>
      <c r="G90" s="919"/>
      <c r="H90" s="918">
        <f>'Sources and Uses Budget'!T91</f>
        <v>0</v>
      </c>
      <c r="I90" s="919"/>
      <c r="J90" s="919"/>
      <c r="K90" s="913"/>
    </row>
    <row r="91" spans="1:11" s="383" customFormat="1">
      <c r="A91" s="722" t="str">
        <f>'Sources and Uses Budget'!$A92</f>
        <v>Other: Relocation (Consultant, Perm)</v>
      </c>
      <c r="B91" s="918">
        <f>'Sources and Uses Budget'!C92</f>
        <v>186000</v>
      </c>
      <c r="C91" s="919"/>
      <c r="D91" s="919"/>
      <c r="E91" s="918">
        <f>'Sources and Uses Budget'!S92</f>
        <v>0</v>
      </c>
      <c r="F91" s="919"/>
      <c r="G91" s="919"/>
      <c r="H91" s="918">
        <f>'Sources and Uses Budget'!T92</f>
        <v>0</v>
      </c>
      <c r="I91" s="919"/>
      <c r="J91" s="919"/>
      <c r="K91" s="913"/>
    </row>
    <row r="92" spans="1:11" s="383" customFormat="1">
      <c r="A92" s="722" t="str">
        <f>'Sources and Uses Budget'!$A93</f>
        <v>Other: Security During Construction</v>
      </c>
      <c r="B92" s="918">
        <f>'Sources and Uses Budget'!C93</f>
        <v>125227</v>
      </c>
      <c r="C92" s="919"/>
      <c r="D92" s="919"/>
      <c r="E92" s="918">
        <f>'Sources and Uses Budget'!S93</f>
        <v>125227</v>
      </c>
      <c r="F92" s="919"/>
      <c r="G92" s="919"/>
      <c r="H92" s="918">
        <f>'Sources and Uses Budget'!T93</f>
        <v>0</v>
      </c>
      <c r="I92" s="919"/>
      <c r="J92" s="919"/>
      <c r="K92" s="913"/>
    </row>
    <row r="93" spans="1:11" s="383" customFormat="1" ht="23">
      <c r="A93" s="722" t="str">
        <f>'Sources and Uses Budget'!$A94</f>
        <v>Other: Inspections + 3rd Party Constr. Mgmt</v>
      </c>
      <c r="B93" s="918">
        <f>'Sources and Uses Budget'!C94</f>
        <v>324000</v>
      </c>
      <c r="C93" s="919"/>
      <c r="D93" s="919"/>
      <c r="E93" s="918">
        <f>'Sources and Uses Budget'!S94</f>
        <v>324000</v>
      </c>
      <c r="F93" s="919"/>
      <c r="G93" s="919"/>
      <c r="H93" s="918">
        <f>'Sources and Uses Budget'!T94</f>
        <v>0</v>
      </c>
      <c r="I93" s="919"/>
      <c r="J93" s="919"/>
      <c r="K93" s="913"/>
    </row>
    <row r="94" spans="1:11" s="383" customFormat="1">
      <c r="A94" s="373" t="s">
        <v>582</v>
      </c>
      <c r="B94" s="918">
        <f>'Sources and Uses Budget'!C95</f>
        <v>1871590</v>
      </c>
      <c r="C94" s="918">
        <f>SUM(C81:C93)</f>
        <v>0</v>
      </c>
      <c r="D94" s="918">
        <f>SUM(D81:D93)</f>
        <v>0</v>
      </c>
      <c r="E94" s="918">
        <f>'Sources and Uses Budget'!S95</f>
        <v>1485790</v>
      </c>
      <c r="F94" s="921">
        <f>SUM(F82:F85,F87:F93)</f>
        <v>0</v>
      </c>
      <c r="G94" s="921">
        <f>SUM(G82:G85,G87:G93)</f>
        <v>0</v>
      </c>
      <c r="H94" s="918">
        <f>'Sources and Uses Budget'!T95</f>
        <v>0</v>
      </c>
      <c r="I94" s="918">
        <f>SUM(I82:I85,I87:I93)</f>
        <v>0</v>
      </c>
      <c r="J94" s="918">
        <f>SUM(J82:J85,J87:J93)</f>
        <v>0</v>
      </c>
      <c r="K94" s="913"/>
    </row>
    <row r="95" spans="1:11" s="383" customFormat="1">
      <c r="A95" s="373" t="s">
        <v>1507</v>
      </c>
      <c r="B95" s="918">
        <f>'Sources and Uses Budget'!C96</f>
        <v>32921118</v>
      </c>
      <c r="C95" s="918">
        <f>SUM(C61+C68+C75+C79+C94)</f>
        <v>0</v>
      </c>
      <c r="D95" s="918">
        <f>SUM(D61+D68+D75+D79+D94)</f>
        <v>0</v>
      </c>
      <c r="E95" s="918">
        <f>'Sources and Uses Budget'!S96</f>
        <v>29910281</v>
      </c>
      <c r="F95" s="921">
        <f>SUM(+F61+F68+F79+F94)</f>
        <v>0</v>
      </c>
      <c r="G95" s="921">
        <f>SUM(+G61+G68+G79+G94)</f>
        <v>0</v>
      </c>
      <c r="H95" s="918">
        <f>'Sources and Uses Budget'!T96</f>
        <v>0</v>
      </c>
      <c r="I95" s="921">
        <f>SUM(I61+I68+I79+I94)</f>
        <v>0</v>
      </c>
      <c r="J95" s="921">
        <f>SUM(J61+J68+J79+J94)</f>
        <v>0</v>
      </c>
      <c r="K95" s="913"/>
    </row>
    <row r="96" spans="1:11" s="383" customFormat="1" ht="12">
      <c r="A96" s="365" t="s">
        <v>584</v>
      </c>
      <c r="B96" s="917"/>
      <c r="C96" s="917"/>
      <c r="D96" s="917"/>
      <c r="E96" s="917"/>
      <c r="F96" s="917"/>
      <c r="G96" s="917"/>
      <c r="H96" s="917"/>
      <c r="I96" s="917"/>
      <c r="J96" s="917"/>
      <c r="K96" s="913"/>
    </row>
    <row r="97" spans="1:11" s="383" customFormat="1">
      <c r="A97" s="369" t="s">
        <v>585</v>
      </c>
      <c r="B97" s="918">
        <f>'Sources and Uses Budget'!C98</f>
        <v>2200000</v>
      </c>
      <c r="C97" s="919"/>
      <c r="D97" s="919"/>
      <c r="E97" s="918">
        <f>'Sources and Uses Budget'!S98</f>
        <v>2200000</v>
      </c>
      <c r="F97" s="919"/>
      <c r="G97" s="919"/>
      <c r="H97" s="918">
        <f>'Sources and Uses Budget'!T98</f>
        <v>0</v>
      </c>
      <c r="I97" s="919"/>
      <c r="J97" s="919"/>
      <c r="K97" s="913"/>
    </row>
    <row r="98" spans="1:11" s="383" customFormat="1">
      <c r="A98" s="369" t="s">
        <v>2244</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586</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1372</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2"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587</v>
      </c>
      <c r="B102" s="918">
        <f>'Sources and Uses Budget'!C103</f>
        <v>2200000</v>
      </c>
      <c r="C102" s="918">
        <f>SUM(C97:C101)</f>
        <v>0</v>
      </c>
      <c r="D102" s="918">
        <f>SUM(D97:D101)</f>
        <v>0</v>
      </c>
      <c r="E102" s="918">
        <f>'Sources and Uses Budget'!S103</f>
        <v>2200000</v>
      </c>
      <c r="F102" s="921">
        <f>SUM(F97:F101)</f>
        <v>0</v>
      </c>
      <c r="G102" s="921">
        <f>SUM(G97:G101)</f>
        <v>0</v>
      </c>
      <c r="H102" s="918">
        <f>'Sources and Uses Budget'!T103</f>
        <v>0</v>
      </c>
      <c r="I102" s="921">
        <f>SUM(I97:I101)</f>
        <v>0</v>
      </c>
      <c r="J102" s="921">
        <f>SUM(J97:J101)</f>
        <v>0</v>
      </c>
      <c r="K102" s="913"/>
    </row>
    <row r="103" spans="1:11" s="383" customFormat="1">
      <c r="A103" s="373" t="s">
        <v>1508</v>
      </c>
      <c r="B103" s="918">
        <f>'Sources and Uses Budget'!C104</f>
        <v>35121118</v>
      </c>
      <c r="C103" s="921">
        <f>SUM(C95+C102)</f>
        <v>0</v>
      </c>
      <c r="D103" s="921">
        <f>SUM(D95+D102)</f>
        <v>0</v>
      </c>
      <c r="E103" s="918">
        <f>'Sources and Uses Budget'!S104</f>
        <v>32110281</v>
      </c>
      <c r="F103" s="921">
        <f>F95+F102</f>
        <v>0</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32110281</v>
      </c>
      <c r="F105" s="924">
        <f>F103+F104</f>
        <v>0</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90" zoomScaleNormal="90" zoomScaleSheetLayoutView="100" workbookViewId="0">
      <selection sqref="A1:AN2"/>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style="2" customWidth="1"/>
    <col min="44" max="44" width="12.36328125" style="2" hidden="1" customWidth="1"/>
    <col min="45" max="16384" width="2.453125" style="2" hidden="1"/>
  </cols>
  <sheetData>
    <row r="1" spans="1:40" ht="12.75" customHeight="1">
      <c r="A1" s="2300" t="s">
        <v>1971</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3"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229</v>
      </c>
      <c r="F5" s="6"/>
    </row>
    <row r="6" spans="1:40" ht="12.5">
      <c r="B6" s="1126" t="s">
        <v>2069</v>
      </c>
      <c r="AA6" s="2"/>
    </row>
    <row r="7" spans="1:40" ht="13.75" customHeight="1">
      <c r="B7" s="9"/>
      <c r="C7" s="10"/>
      <c r="D7" s="10"/>
      <c r="E7" s="10"/>
      <c r="F7" s="10"/>
      <c r="G7" s="10"/>
      <c r="H7" s="10"/>
      <c r="I7" s="10"/>
      <c r="J7" s="10"/>
      <c r="K7" s="10"/>
      <c r="L7" s="10"/>
      <c r="M7" s="10"/>
      <c r="N7" s="10"/>
      <c r="O7" s="10"/>
      <c r="P7" s="10"/>
      <c r="Q7" s="10"/>
      <c r="R7" s="10"/>
      <c r="S7" s="10"/>
      <c r="T7" s="2280" t="str">
        <f>IF(T25=100%,'Sources and Basis Breakdown'!G2,'Sources and Basis Breakdown'!F2)</f>
        <v>70% PVC for New Const/
Rehabilitation
DDA/QCT
Building(s)</v>
      </c>
      <c r="U7" s="2280"/>
      <c r="V7" s="2280"/>
      <c r="W7" s="2280"/>
      <c r="X7" s="2280"/>
      <c r="Y7" s="2280" t="str">
        <f>IF(T25=100%," ",'Sources and Basis Breakdown'!G2)</f>
        <v>70% PVC for New Const/
Rehabilitation
NON-DDA/
NON-QCT Building(s)</v>
      </c>
      <c r="Z7" s="2280"/>
      <c r="AA7" s="2280"/>
      <c r="AB7" s="2280"/>
      <c r="AC7" s="2280"/>
      <c r="AD7" s="2280" t="str">
        <f>IF(T25=100%,'Sources and Basis Breakdown'!J2,'Sources and Basis Breakdown'!I2)</f>
        <v>30% PVC for Acquisition
DDA/QCT Building(s)</v>
      </c>
      <c r="AE7" s="2280"/>
      <c r="AF7" s="2280"/>
      <c r="AG7" s="2280"/>
      <c r="AH7" s="2280"/>
      <c r="AI7" s="2280" t="str">
        <f>IF(T25=100%," ",'Sources and Basis Breakdown'!J2)</f>
        <v>30% PVC for Acquisition
NON-DDA/
NON-QCT Building(s)</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
      <c r="B11" s="2277" t="s">
        <v>566</v>
      </c>
      <c r="C11" s="2278"/>
      <c r="D11" s="2278"/>
      <c r="E11" s="2278"/>
      <c r="F11" s="2278"/>
      <c r="G11" s="2278"/>
      <c r="H11" s="2278"/>
      <c r="I11" s="2278"/>
      <c r="J11" s="2278"/>
      <c r="K11" s="2278"/>
      <c r="L11" s="2278"/>
      <c r="M11" s="2278"/>
      <c r="N11" s="2278"/>
      <c r="O11" s="2278"/>
      <c r="P11" s="2278"/>
      <c r="Q11" s="2278"/>
      <c r="R11" s="2278"/>
      <c r="S11" s="2279"/>
      <c r="T11" s="2317">
        <f>IF('Sources and Basis Breakdown'!F105=0,'Sources and Basis Breakdown'!E105,'Sources and Basis Breakdown'!F105)</f>
        <v>32110281</v>
      </c>
      <c r="U11" s="2305"/>
      <c r="V11" s="2305"/>
      <c r="W11" s="2305"/>
      <c r="X11" s="2305"/>
      <c r="Y11" s="2304">
        <f>IF(Y7=" ",0,IF('Sources and Basis Breakdown'!G105+'Sources and Basis Breakdown'!F105='Sources and Basis Breakdown'!E105,'Sources and Basis Breakdown'!G105,0))</f>
        <v>0</v>
      </c>
      <c r="Z11" s="2305"/>
      <c r="AA11" s="2305"/>
      <c r="AB11" s="2305"/>
      <c r="AC11" s="2305"/>
      <c r="AD11" s="2305">
        <f>IF('Sources and Basis Breakdown'!I105=0,'Sources and Basis Breakdown'!H105,'Sources and Basis Breakdown'!I105)</f>
        <v>0</v>
      </c>
      <c r="AE11" s="2305"/>
      <c r="AF11" s="2305"/>
      <c r="AG11" s="2305"/>
      <c r="AH11" s="2305"/>
      <c r="AI11" s="2305">
        <f>IF(AI7=" ",0,IF('Sources and Basis Breakdown'!I105+'Sources and Basis Breakdown'!J105='Sources and Basis Breakdown'!H105,'Sources and Basis Breakdown'!J105,0))</f>
        <v>0</v>
      </c>
      <c r="AJ11" s="2305"/>
      <c r="AK11" s="2305"/>
      <c r="AL11" s="2305"/>
      <c r="AM11" s="2305"/>
    </row>
    <row r="12" spans="1:40" ht="13">
      <c r="B12" s="2310" t="s">
        <v>496</v>
      </c>
      <c r="C12" s="2311"/>
      <c r="D12" s="2311"/>
      <c r="E12" s="2311"/>
      <c r="F12" s="2311"/>
      <c r="G12" s="2311"/>
      <c r="H12" s="2311"/>
      <c r="I12" s="2311"/>
      <c r="J12" s="2311"/>
      <c r="K12" s="2311"/>
      <c r="L12" s="2311"/>
      <c r="M12" s="2311"/>
      <c r="N12" s="2311"/>
      <c r="O12" s="2311"/>
      <c r="P12" s="2311"/>
      <c r="Q12" s="2311"/>
      <c r="R12" s="2311"/>
      <c r="S12" s="2312"/>
      <c r="T12" s="2307"/>
      <c r="U12" s="2308"/>
      <c r="V12" s="2308"/>
      <c r="W12" s="2308"/>
      <c r="X12" s="2309"/>
      <c r="Y12" s="2307"/>
      <c r="Z12" s="2308"/>
      <c r="AA12" s="2308"/>
      <c r="AB12" s="2308"/>
      <c r="AC12" s="2309"/>
      <c r="AD12" s="2307"/>
      <c r="AE12" s="2308"/>
      <c r="AF12" s="2308"/>
      <c r="AG12" s="2308"/>
      <c r="AH12" s="2309"/>
      <c r="AI12" s="2307"/>
      <c r="AJ12" s="2308"/>
      <c r="AK12" s="2308"/>
      <c r="AL12" s="2308"/>
      <c r="AM12" s="2309"/>
    </row>
    <row r="13" spans="1:40" ht="12.5">
      <c r="B13" s="11"/>
      <c r="C13" s="2313" t="s">
        <v>1928</v>
      </c>
      <c r="D13" s="2314"/>
      <c r="E13" s="2314"/>
      <c r="F13" s="2314"/>
      <c r="G13" s="2314"/>
      <c r="H13" s="2314"/>
      <c r="I13" s="2314"/>
      <c r="J13" s="2314"/>
      <c r="K13" s="2314"/>
      <c r="L13" s="2314"/>
      <c r="M13" s="2314"/>
      <c r="N13" s="2314"/>
      <c r="O13" s="2314"/>
      <c r="P13" s="2314"/>
      <c r="Q13" s="2314"/>
      <c r="R13" s="2314"/>
      <c r="S13" s="2315"/>
      <c r="T13" s="2306"/>
      <c r="U13" s="2303"/>
      <c r="V13" s="2303"/>
      <c r="W13" s="2303"/>
      <c r="X13" s="2303"/>
      <c r="Y13" s="2306"/>
      <c r="Z13" s="2303"/>
      <c r="AA13" s="2303"/>
      <c r="AB13" s="2303"/>
      <c r="AC13" s="2303"/>
      <c r="AD13" s="2303"/>
      <c r="AE13" s="2303"/>
      <c r="AF13" s="2303"/>
      <c r="AG13" s="2303"/>
      <c r="AH13" s="2303"/>
      <c r="AI13" s="2303"/>
      <c r="AJ13" s="2303"/>
      <c r="AK13" s="2303"/>
      <c r="AL13" s="2303"/>
      <c r="AM13" s="2303"/>
    </row>
    <row r="14" spans="1:40" ht="12.5">
      <c r="B14" s="11"/>
      <c r="C14" s="2314" t="s">
        <v>840</v>
      </c>
      <c r="D14" s="2314"/>
      <c r="E14" s="2314"/>
      <c r="F14" s="2314"/>
      <c r="G14" s="2314"/>
      <c r="H14" s="2314"/>
      <c r="I14" s="2314"/>
      <c r="J14" s="2314"/>
      <c r="K14" s="2314"/>
      <c r="L14" s="2314"/>
      <c r="M14" s="2314"/>
      <c r="N14" s="2314"/>
      <c r="O14" s="2314"/>
      <c r="P14" s="2314"/>
      <c r="Q14" s="2314"/>
      <c r="R14" s="2314"/>
      <c r="S14" s="2315"/>
      <c r="T14" s="1866"/>
      <c r="U14" s="1868"/>
      <c r="V14" s="1868"/>
      <c r="W14" s="1868"/>
      <c r="X14" s="1868"/>
      <c r="Y14" s="1866"/>
      <c r="Z14" s="1868"/>
      <c r="AA14" s="1868"/>
      <c r="AB14" s="1868"/>
      <c r="AC14" s="1868"/>
      <c r="AD14" s="1868"/>
      <c r="AE14" s="1868"/>
      <c r="AF14" s="1868"/>
      <c r="AG14" s="1868"/>
      <c r="AH14" s="1868"/>
      <c r="AI14" s="1868"/>
      <c r="AJ14" s="1868"/>
      <c r="AK14" s="1868"/>
      <c r="AL14" s="1868"/>
      <c r="AM14" s="1868"/>
    </row>
    <row r="15" spans="1:40" ht="12.5">
      <c r="B15" s="11"/>
      <c r="C15" s="2314" t="s">
        <v>841</v>
      </c>
      <c r="D15" s="2314"/>
      <c r="E15" s="2314"/>
      <c r="F15" s="2314"/>
      <c r="G15" s="2314"/>
      <c r="H15" s="2314"/>
      <c r="I15" s="2314"/>
      <c r="J15" s="2314"/>
      <c r="K15" s="2314"/>
      <c r="L15" s="2314"/>
      <c r="M15" s="2314"/>
      <c r="N15" s="2314"/>
      <c r="O15" s="2314"/>
      <c r="P15" s="2314"/>
      <c r="Q15" s="2314"/>
      <c r="R15" s="2314"/>
      <c r="S15" s="2315"/>
      <c r="T15" s="1866"/>
      <c r="U15" s="1868"/>
      <c r="V15" s="1868"/>
      <c r="W15" s="1868"/>
      <c r="X15" s="1868"/>
      <c r="Y15" s="1866"/>
      <c r="Z15" s="1868"/>
      <c r="AA15" s="1868"/>
      <c r="AB15" s="1868"/>
      <c r="AC15" s="1868"/>
      <c r="AD15" s="1868"/>
      <c r="AE15" s="1868"/>
      <c r="AF15" s="1868"/>
      <c r="AG15" s="1868"/>
      <c r="AH15" s="1868"/>
      <c r="AI15" s="1868"/>
      <c r="AJ15" s="1868"/>
      <c r="AK15" s="1868"/>
      <c r="AL15" s="1868"/>
      <c r="AM15" s="1868"/>
    </row>
    <row r="16" spans="1:40" ht="12.5">
      <c r="B16" s="11"/>
      <c r="C16" s="2313" t="s">
        <v>1116</v>
      </c>
      <c r="D16" s="2313"/>
      <c r="E16" s="2313"/>
      <c r="F16" s="2313"/>
      <c r="G16" s="2313"/>
      <c r="H16" s="2313"/>
      <c r="I16" s="2313"/>
      <c r="J16" s="2313"/>
      <c r="K16" s="2313"/>
      <c r="L16" s="2313"/>
      <c r="M16" s="2313"/>
      <c r="N16" s="2313"/>
      <c r="O16" s="2313"/>
      <c r="P16" s="2313"/>
      <c r="Q16" s="2313"/>
      <c r="R16" s="2313"/>
      <c r="S16" s="2316"/>
      <c r="T16" s="1866"/>
      <c r="U16" s="1868"/>
      <c r="V16" s="1868"/>
      <c r="W16" s="1868"/>
      <c r="X16" s="1868"/>
      <c r="Y16" s="1866"/>
      <c r="Z16" s="1868"/>
      <c r="AA16" s="1868"/>
      <c r="AB16" s="1868"/>
      <c r="AC16" s="1868"/>
      <c r="AD16" s="1868"/>
      <c r="AE16" s="1868"/>
      <c r="AF16" s="1868"/>
      <c r="AG16" s="1868"/>
      <c r="AH16" s="1868"/>
      <c r="AI16" s="1868"/>
      <c r="AJ16" s="1868"/>
      <c r="AK16" s="1868"/>
      <c r="AL16" s="1868"/>
      <c r="AM16" s="1868"/>
    </row>
    <row r="17" spans="1:39" ht="12.5">
      <c r="B17" s="11"/>
      <c r="C17" s="2314" t="s">
        <v>842</v>
      </c>
      <c r="D17" s="2314"/>
      <c r="E17" s="2314"/>
      <c r="F17" s="2314"/>
      <c r="G17" s="2314"/>
      <c r="H17" s="2314"/>
      <c r="I17" s="2314"/>
      <c r="J17" s="2314"/>
      <c r="K17" s="2314"/>
      <c r="L17" s="2314"/>
      <c r="M17" s="2314"/>
      <c r="N17" s="2314"/>
      <c r="O17" s="2314"/>
      <c r="P17" s="2314"/>
      <c r="Q17" s="2314"/>
      <c r="R17" s="2314"/>
      <c r="S17" s="2315"/>
      <c r="T17" s="1866"/>
      <c r="U17" s="1868"/>
      <c r="V17" s="1868"/>
      <c r="W17" s="1868"/>
      <c r="X17" s="1868"/>
      <c r="Y17" s="1866"/>
      <c r="Z17" s="1868"/>
      <c r="AA17" s="1868"/>
      <c r="AB17" s="1868"/>
      <c r="AC17" s="1868"/>
      <c r="AD17" s="1868"/>
      <c r="AE17" s="1868"/>
      <c r="AF17" s="1868"/>
      <c r="AG17" s="1868"/>
      <c r="AH17" s="1868"/>
      <c r="AI17" s="1868"/>
      <c r="AJ17" s="1868"/>
      <c r="AK17" s="1868"/>
      <c r="AL17" s="1868"/>
      <c r="AM17" s="1868"/>
    </row>
    <row r="18" spans="1:39" ht="12.5">
      <c r="B18" s="928"/>
      <c r="C18" s="1976" t="s">
        <v>1347</v>
      </c>
      <c r="D18" s="1976"/>
      <c r="E18" s="1976"/>
      <c r="F18" s="1976"/>
      <c r="G18" s="1976"/>
      <c r="H18" s="1976"/>
      <c r="I18" s="1976"/>
      <c r="J18" s="1976"/>
      <c r="K18" s="1976"/>
      <c r="L18" s="1976"/>
      <c r="M18" s="1976"/>
      <c r="N18" s="1976"/>
      <c r="O18" s="1976"/>
      <c r="P18" s="1976"/>
      <c r="Q18" s="1976"/>
      <c r="R18" s="1976"/>
      <c r="S18" s="1977"/>
      <c r="T18" s="1864"/>
      <c r="U18" s="1865"/>
      <c r="V18" s="1865"/>
      <c r="W18" s="1865"/>
      <c r="X18" s="1866"/>
      <c r="Y18" s="1866"/>
      <c r="Z18" s="1868"/>
      <c r="AA18" s="1868"/>
      <c r="AB18" s="1868"/>
      <c r="AC18" s="1868"/>
      <c r="AD18" s="1868"/>
      <c r="AE18" s="1868"/>
      <c r="AF18" s="1868"/>
      <c r="AG18" s="1868"/>
      <c r="AH18" s="1868"/>
      <c r="AI18" s="1868"/>
      <c r="AJ18" s="1868"/>
      <c r="AK18" s="1868"/>
      <c r="AL18" s="1868"/>
      <c r="AM18" s="1868"/>
    </row>
    <row r="19" spans="1:39" ht="12.5">
      <c r="B19" s="768"/>
      <c r="C19" s="1976" t="s">
        <v>1347</v>
      </c>
      <c r="D19" s="1976"/>
      <c r="E19" s="1976"/>
      <c r="F19" s="1976"/>
      <c r="G19" s="1976"/>
      <c r="H19" s="1976"/>
      <c r="I19" s="1976"/>
      <c r="J19" s="1976"/>
      <c r="K19" s="1976"/>
      <c r="L19" s="1976"/>
      <c r="M19" s="1976"/>
      <c r="N19" s="1976"/>
      <c r="O19" s="1976"/>
      <c r="P19" s="1976"/>
      <c r="Q19" s="1976"/>
      <c r="R19" s="1976"/>
      <c r="S19" s="1977"/>
      <c r="T19" s="1866">
        <v>0</v>
      </c>
      <c r="U19" s="1868"/>
      <c r="V19" s="1868"/>
      <c r="W19" s="1868"/>
      <c r="X19" s="1868"/>
      <c r="Y19" s="1866"/>
      <c r="Z19" s="1868"/>
      <c r="AA19" s="1868"/>
      <c r="AB19" s="1868"/>
      <c r="AC19" s="1868"/>
      <c r="AD19" s="1868"/>
      <c r="AE19" s="1868"/>
      <c r="AF19" s="1868"/>
      <c r="AG19" s="1868"/>
      <c r="AH19" s="1868"/>
      <c r="AI19" s="1868"/>
      <c r="AJ19" s="1868"/>
      <c r="AK19" s="1868"/>
      <c r="AL19" s="1868"/>
      <c r="AM19" s="1868"/>
    </row>
    <row r="20" spans="1:39" ht="13">
      <c r="B20" s="2277" t="s">
        <v>843</v>
      </c>
      <c r="C20" s="2278"/>
      <c r="D20" s="2278"/>
      <c r="E20" s="2278"/>
      <c r="F20" s="2278"/>
      <c r="G20" s="2278"/>
      <c r="H20" s="2278"/>
      <c r="I20" s="2278"/>
      <c r="J20" s="2278"/>
      <c r="K20" s="2278"/>
      <c r="L20" s="2278"/>
      <c r="M20" s="2278"/>
      <c r="N20" s="2278"/>
      <c r="O20" s="2278"/>
      <c r="P20" s="2278"/>
      <c r="Q20" s="2278"/>
      <c r="R20" s="2278"/>
      <c r="S20" s="2279"/>
      <c r="T20" s="2272">
        <f>SUM(T13:X19)</f>
        <v>0</v>
      </c>
      <c r="U20" s="2273"/>
      <c r="V20" s="2273"/>
      <c r="W20" s="2273"/>
      <c r="X20" s="2273"/>
      <c r="Y20" s="2272">
        <f>SUM(Y13:AC19)</f>
        <v>0</v>
      </c>
      <c r="Z20" s="2273"/>
      <c r="AA20" s="2273"/>
      <c r="AB20" s="2273"/>
      <c r="AC20" s="2273"/>
      <c r="AD20" s="2273">
        <f>SUM(AD13:AH19)</f>
        <v>0</v>
      </c>
      <c r="AE20" s="2273"/>
      <c r="AF20" s="2273"/>
      <c r="AG20" s="2273"/>
      <c r="AH20" s="2273"/>
      <c r="AI20" s="2273">
        <f>SUM(AI13:AM19)</f>
        <v>0</v>
      </c>
      <c r="AJ20" s="2273"/>
      <c r="AK20" s="2273"/>
      <c r="AL20" s="2273"/>
      <c r="AM20" s="2273"/>
    </row>
    <row r="21" spans="1:39" ht="13">
      <c r="B21" s="2277" t="s">
        <v>1927</v>
      </c>
      <c r="C21" s="2278"/>
      <c r="D21" s="2278"/>
      <c r="E21" s="2278"/>
      <c r="F21" s="2278"/>
      <c r="G21" s="2278"/>
      <c r="H21" s="2278"/>
      <c r="I21" s="2278"/>
      <c r="J21" s="2278"/>
      <c r="K21" s="2278"/>
      <c r="L21" s="2278"/>
      <c r="M21" s="2278"/>
      <c r="N21" s="2278"/>
      <c r="O21" s="2278"/>
      <c r="P21" s="2278"/>
      <c r="Q21" s="2278"/>
      <c r="R21" s="2278"/>
      <c r="S21" s="2279"/>
      <c r="T21" s="1866">
        <f>8100347-T19+6719504</f>
        <v>14819851</v>
      </c>
      <c r="U21" s="1868"/>
      <c r="V21" s="1868"/>
      <c r="W21" s="1868"/>
      <c r="X21" s="1868"/>
      <c r="Y21" s="1866"/>
      <c r="Z21" s="1868"/>
      <c r="AA21" s="1868"/>
      <c r="AB21" s="1868"/>
      <c r="AC21" s="1868"/>
      <c r="AD21" s="1868"/>
      <c r="AE21" s="1868"/>
      <c r="AF21" s="1868"/>
      <c r="AG21" s="1868"/>
      <c r="AH21" s="1868"/>
      <c r="AI21" s="1864"/>
      <c r="AJ21" s="1865"/>
      <c r="AK21" s="1865"/>
      <c r="AL21" s="1865"/>
      <c r="AM21" s="1866"/>
    </row>
    <row r="22" spans="1:39" ht="13">
      <c r="B22" s="2277" t="s">
        <v>844</v>
      </c>
      <c r="C22" s="2278"/>
      <c r="D22" s="2278"/>
      <c r="E22" s="2278"/>
      <c r="F22" s="2278"/>
      <c r="G22" s="2278"/>
      <c r="H22" s="2278"/>
      <c r="I22" s="2278"/>
      <c r="J22" s="2278"/>
      <c r="K22" s="2278"/>
      <c r="L22" s="2278"/>
      <c r="M22" s="2278"/>
      <c r="N22" s="2278"/>
      <c r="O22" s="2278"/>
      <c r="P22" s="2278"/>
      <c r="Q22" s="2278"/>
      <c r="R22" s="2278"/>
      <c r="S22" s="2279"/>
      <c r="T22" s="2318">
        <f>(T20+T21)*-1</f>
        <v>-14819851</v>
      </c>
      <c r="U22" s="2319"/>
      <c r="V22" s="2319"/>
      <c r="W22" s="2319"/>
      <c r="X22" s="2319"/>
      <c r="Y22" s="2318">
        <f>(Y20+Y21)*-1</f>
        <v>0</v>
      </c>
      <c r="Z22" s="2319"/>
      <c r="AA22" s="2319"/>
      <c r="AB22" s="2319"/>
      <c r="AC22" s="2319"/>
      <c r="AD22" s="2318">
        <f>(AD20+AD21)*-1</f>
        <v>0</v>
      </c>
      <c r="AE22" s="2319"/>
      <c r="AF22" s="2319"/>
      <c r="AG22" s="2319"/>
      <c r="AH22" s="2319"/>
      <c r="AI22" s="2327">
        <f>(AI20+AI21)*-1</f>
        <v>0</v>
      </c>
      <c r="AJ22" s="2328"/>
      <c r="AK22" s="2328"/>
      <c r="AL22" s="2328"/>
      <c r="AM22" s="2318"/>
    </row>
    <row r="23" spans="1:39" ht="13">
      <c r="A23" s="2"/>
      <c r="B23" s="2335" t="s">
        <v>2172</v>
      </c>
      <c r="C23" s="2336"/>
      <c r="D23" s="2336"/>
      <c r="E23" s="2336"/>
      <c r="F23" s="2336"/>
      <c r="G23" s="2336"/>
      <c r="H23" s="2336"/>
      <c r="I23" s="2336"/>
      <c r="J23" s="2336"/>
      <c r="K23" s="2336"/>
      <c r="L23" s="2336"/>
      <c r="M23" s="2336"/>
      <c r="N23" s="2336"/>
      <c r="O23" s="2336"/>
      <c r="P23" s="2336"/>
      <c r="Q23" s="2336"/>
      <c r="R23" s="2336"/>
      <c r="S23" s="2337"/>
      <c r="T23" s="2272">
        <f>T11+T22</f>
        <v>17290430</v>
      </c>
      <c r="U23" s="2273"/>
      <c r="V23" s="2273"/>
      <c r="W23" s="2273"/>
      <c r="X23" s="2273"/>
      <c r="Y23" s="2272">
        <f>Y11+Y22</f>
        <v>0</v>
      </c>
      <c r="Z23" s="2273"/>
      <c r="AA23" s="2273"/>
      <c r="AB23" s="2273"/>
      <c r="AC23" s="2273"/>
      <c r="AD23" s="2272">
        <f>IF(AD11=AD21,0,AD11)</f>
        <v>0</v>
      </c>
      <c r="AE23" s="2273"/>
      <c r="AF23" s="2273"/>
      <c r="AG23" s="2273"/>
      <c r="AH23" s="2273"/>
      <c r="AI23" s="2272">
        <f>IF(AI11=AI21,0,AI11)</f>
        <v>0</v>
      </c>
      <c r="AJ23" s="2273"/>
      <c r="AK23" s="2273"/>
      <c r="AL23" s="2273"/>
      <c r="AM23" s="2273"/>
    </row>
    <row r="24" spans="1:39" ht="13">
      <c r="B24" s="2277" t="s">
        <v>1348</v>
      </c>
      <c r="C24" s="2278"/>
      <c r="D24" s="2278"/>
      <c r="E24" s="2278"/>
      <c r="F24" s="2278"/>
      <c r="G24" s="2278"/>
      <c r="H24" s="2278"/>
      <c r="I24" s="2278"/>
      <c r="J24" s="2278"/>
      <c r="K24" s="2278"/>
      <c r="L24" s="2278"/>
      <c r="M24" s="2278"/>
      <c r="N24" s="2278"/>
      <c r="O24" s="2278"/>
      <c r="P24" s="2278"/>
      <c r="Q24" s="2278"/>
      <c r="R24" s="2278"/>
      <c r="S24" s="2279"/>
      <c r="T24" s="2338">
        <f>Application!AJ1002</f>
        <v>25390776.600000001</v>
      </c>
      <c r="U24" s="2339"/>
      <c r="V24" s="2339"/>
      <c r="W24" s="2339"/>
      <c r="X24" s="2339"/>
      <c r="Y24" s="2339"/>
      <c r="Z24" s="2339"/>
      <c r="AA24" s="2339"/>
      <c r="AB24" s="2339"/>
      <c r="AC24" s="2339"/>
      <c r="AD24" s="2339"/>
      <c r="AE24" s="2339"/>
      <c r="AF24" s="2339"/>
      <c r="AG24" s="2339"/>
      <c r="AH24" s="2339"/>
      <c r="AI24" s="2339"/>
      <c r="AJ24" s="2339"/>
      <c r="AK24" s="2339"/>
      <c r="AL24" s="2339"/>
      <c r="AM24" s="2272"/>
    </row>
    <row r="25" spans="1:39" ht="12.5">
      <c r="B25" s="2329" t="s">
        <v>2174</v>
      </c>
      <c r="C25" s="2330"/>
      <c r="D25" s="2330"/>
      <c r="E25" s="2330"/>
      <c r="F25" s="2330"/>
      <c r="G25" s="2330"/>
      <c r="H25" s="2330"/>
      <c r="I25" s="2330"/>
      <c r="J25" s="2330"/>
      <c r="K25" s="2330"/>
      <c r="L25" s="2330"/>
      <c r="M25" s="2330"/>
      <c r="N25" s="2330"/>
      <c r="O25" s="2330"/>
      <c r="P25" s="2330"/>
      <c r="Q25" s="2330"/>
      <c r="R25" s="2330"/>
      <c r="S25" s="2331"/>
      <c r="T25" s="2320">
        <f>IF(OR(AND(Application!T193="no",Application!T194="no",Application!T196="no",Application!Y211="no"),Application!T195="yes"),1,1.3)</f>
        <v>1.3</v>
      </c>
      <c r="U25" s="2321"/>
      <c r="V25" s="2321"/>
      <c r="W25" s="2321"/>
      <c r="X25" s="2321"/>
      <c r="Y25" s="2320">
        <v>1</v>
      </c>
      <c r="Z25" s="2321"/>
      <c r="AA25" s="2321"/>
      <c r="AB25" s="2321"/>
      <c r="AC25" s="2324"/>
      <c r="AD25" s="2320">
        <v>1</v>
      </c>
      <c r="AE25" s="2321"/>
      <c r="AF25" s="2321"/>
      <c r="AG25" s="2321"/>
      <c r="AH25" s="2324"/>
      <c r="AI25" s="2320">
        <v>1</v>
      </c>
      <c r="AJ25" s="2321"/>
      <c r="AK25" s="2321"/>
      <c r="AL25" s="2321"/>
      <c r="AM25" s="2324"/>
    </row>
    <row r="26" spans="1:39" ht="13">
      <c r="B26" s="2277" t="s">
        <v>846</v>
      </c>
      <c r="C26" s="2278"/>
      <c r="D26" s="2278"/>
      <c r="E26" s="2278"/>
      <c r="F26" s="2278"/>
      <c r="G26" s="2278"/>
      <c r="H26" s="2278"/>
      <c r="I26" s="2278"/>
      <c r="J26" s="2278"/>
      <c r="K26" s="2278"/>
      <c r="L26" s="2278"/>
      <c r="M26" s="2278"/>
      <c r="N26" s="2278"/>
      <c r="O26" s="2278"/>
      <c r="P26" s="2278"/>
      <c r="Q26" s="2278"/>
      <c r="R26" s="2278"/>
      <c r="S26" s="2279"/>
      <c r="T26" s="2325">
        <f>T23*T25</f>
        <v>22477559</v>
      </c>
      <c r="U26" s="2326"/>
      <c r="V26" s="2326"/>
      <c r="W26" s="2326"/>
      <c r="X26" s="2326"/>
      <c r="Y26" s="2325">
        <f>Y23*Y25</f>
        <v>0</v>
      </c>
      <c r="Z26" s="2326"/>
      <c r="AA26" s="2326"/>
      <c r="AB26" s="2326"/>
      <c r="AC26" s="2326"/>
      <c r="AD26" s="2325">
        <f>AD23*AD25</f>
        <v>0</v>
      </c>
      <c r="AE26" s="2326"/>
      <c r="AF26" s="2326"/>
      <c r="AG26" s="2326"/>
      <c r="AH26" s="2326"/>
      <c r="AI26" s="2325">
        <f>AI23*AI25</f>
        <v>0</v>
      </c>
      <c r="AJ26" s="2326"/>
      <c r="AK26" s="2326"/>
      <c r="AL26" s="2326"/>
      <c r="AM26" s="2326"/>
    </row>
    <row r="27" spans="1:39" ht="12.5">
      <c r="A27" s="7"/>
      <c r="B27" s="2332" t="s">
        <v>977</v>
      </c>
      <c r="C27" s="2333"/>
      <c r="D27" s="2333"/>
      <c r="E27" s="2333"/>
      <c r="F27" s="2333"/>
      <c r="G27" s="2333"/>
      <c r="H27" s="2333"/>
      <c r="I27" s="2333"/>
      <c r="J27" s="2333"/>
      <c r="K27" s="2333"/>
      <c r="L27" s="2333"/>
      <c r="M27" s="2333"/>
      <c r="N27" s="2333"/>
      <c r="O27" s="2333"/>
      <c r="P27" s="2333"/>
      <c r="Q27" s="2333"/>
      <c r="R27" s="2333"/>
      <c r="S27" s="2334"/>
      <c r="T27" s="2322">
        <f>Application!AG438</f>
        <v>1</v>
      </c>
      <c r="U27" s="2323"/>
      <c r="V27" s="2323"/>
      <c r="W27" s="2323"/>
      <c r="X27" s="2323"/>
      <c r="Y27" s="2322">
        <f>Application!AG438</f>
        <v>1</v>
      </c>
      <c r="Z27" s="2323"/>
      <c r="AA27" s="2323"/>
      <c r="AB27" s="2323"/>
      <c r="AC27" s="2323"/>
      <c r="AD27" s="2322">
        <f>Application!AG438</f>
        <v>1</v>
      </c>
      <c r="AE27" s="2323"/>
      <c r="AF27" s="2323"/>
      <c r="AG27" s="2323"/>
      <c r="AH27" s="2323"/>
      <c r="AI27" s="2322">
        <f>Application!AG438</f>
        <v>1</v>
      </c>
      <c r="AJ27" s="2323"/>
      <c r="AK27" s="2323"/>
      <c r="AL27" s="2323"/>
      <c r="AM27" s="2323"/>
    </row>
    <row r="28" spans="1:39" ht="12.75" customHeight="1">
      <c r="A28" s="6"/>
      <c r="B28" s="2277" t="s">
        <v>924</v>
      </c>
      <c r="C28" s="2278"/>
      <c r="D28" s="2278"/>
      <c r="E28" s="2278"/>
      <c r="F28" s="2278"/>
      <c r="G28" s="2278"/>
      <c r="H28" s="2278"/>
      <c r="I28" s="2278"/>
      <c r="J28" s="2278"/>
      <c r="K28" s="2278"/>
      <c r="L28" s="2278"/>
      <c r="M28" s="2278"/>
      <c r="N28" s="2278"/>
      <c r="O28" s="2278"/>
      <c r="P28" s="2278"/>
      <c r="Q28" s="2278"/>
      <c r="R28" s="2278"/>
      <c r="S28" s="2279"/>
      <c r="T28" s="1738">
        <f>IF(ISERROR((T26*T27)),0,(T26*T27))</f>
        <v>22477559</v>
      </c>
      <c r="U28" s="2294"/>
      <c r="V28" s="2294"/>
      <c r="W28" s="2294"/>
      <c r="X28" s="2294"/>
      <c r="Y28" s="1738">
        <f>IF(ISERROR((Y26*Y27)),0,(Y26*Y27))</f>
        <v>0</v>
      </c>
      <c r="Z28" s="2294"/>
      <c r="AA28" s="2294"/>
      <c r="AB28" s="2294"/>
      <c r="AC28" s="2294"/>
      <c r="AD28" s="1738">
        <f>IF(ISERROR((AD26*AD27)),0,(AD26*AD27))</f>
        <v>0</v>
      </c>
      <c r="AE28" s="2294"/>
      <c r="AF28" s="2294"/>
      <c r="AG28" s="2294"/>
      <c r="AH28" s="2294"/>
      <c r="AI28" s="1738">
        <f>IF(ISERROR((AI26*AI27)),0,(AI26*AI27))</f>
        <v>0</v>
      </c>
      <c r="AJ28" s="2294"/>
      <c r="AK28" s="2294"/>
      <c r="AL28" s="2294"/>
      <c r="AM28" s="2294"/>
    </row>
    <row r="29" spans="1:39" ht="13">
      <c r="B29" s="2277" t="s">
        <v>688</v>
      </c>
      <c r="C29" s="2278"/>
      <c r="D29" s="2278"/>
      <c r="E29" s="2278"/>
      <c r="F29" s="2278"/>
      <c r="G29" s="2278"/>
      <c r="H29" s="2278"/>
      <c r="I29" s="2278"/>
      <c r="J29" s="2278"/>
      <c r="K29" s="2278"/>
      <c r="L29" s="2278"/>
      <c r="M29" s="2278"/>
      <c r="N29" s="2278"/>
      <c r="O29" s="2278"/>
      <c r="P29" s="2278"/>
      <c r="Q29" s="2278"/>
      <c r="R29" s="2278"/>
      <c r="S29" s="2279"/>
      <c r="T29" s="2338">
        <f>T28+Y28+AD28+AI28</f>
        <v>22477559</v>
      </c>
      <c r="U29" s="2339"/>
      <c r="V29" s="2339"/>
      <c r="W29" s="2339"/>
      <c r="X29" s="2339"/>
      <c r="Y29" s="2339"/>
      <c r="Z29" s="2339"/>
      <c r="AA29" s="2339"/>
      <c r="AB29" s="2339"/>
      <c r="AC29" s="2339"/>
      <c r="AD29" s="2339"/>
      <c r="AE29" s="2339"/>
      <c r="AF29" s="2339"/>
      <c r="AG29" s="2339"/>
      <c r="AH29" s="2339"/>
      <c r="AI29" s="2339"/>
      <c r="AJ29" s="2339"/>
      <c r="AK29" s="2339"/>
      <c r="AL29" s="2339"/>
      <c r="AM29" s="2272"/>
    </row>
    <row r="30" spans="1:39" ht="12.75" customHeight="1">
      <c r="B30" s="2299" t="s">
        <v>2173</v>
      </c>
      <c r="C30" s="2299"/>
      <c r="D30" s="2299"/>
      <c r="E30" s="2299"/>
      <c r="F30" s="2299"/>
      <c r="G30" s="2299"/>
      <c r="H30" s="2299"/>
      <c r="I30" s="2299"/>
      <c r="J30" s="2299"/>
      <c r="K30" s="2299"/>
      <c r="L30" s="2299"/>
      <c r="M30" s="2299"/>
      <c r="N30" s="2299"/>
      <c r="O30" s="2299"/>
      <c r="P30" s="2299"/>
      <c r="Q30" s="2299"/>
      <c r="R30" s="2299"/>
      <c r="S30" s="2299"/>
      <c r="T30" s="2299"/>
      <c r="U30" s="2299"/>
      <c r="V30" s="2299"/>
      <c r="W30" s="2299"/>
      <c r="X30" s="2299"/>
      <c r="Y30" s="2299"/>
      <c r="Z30" s="2299"/>
      <c r="AA30" s="2299"/>
      <c r="AB30" s="2299"/>
      <c r="AC30" s="2299"/>
      <c r="AD30" s="2299"/>
      <c r="AE30" s="2299"/>
      <c r="AF30" s="2299"/>
      <c r="AG30" s="2299"/>
      <c r="AH30" s="2299"/>
      <c r="AI30" s="2299"/>
      <c r="AJ30" s="2299"/>
      <c r="AK30" s="2299"/>
      <c r="AL30" s="2299"/>
      <c r="AM30" s="2299"/>
    </row>
    <row r="31" spans="1:39" ht="12.5">
      <c r="B31" s="2261" t="s">
        <v>2177</v>
      </c>
      <c r="C31" s="2261"/>
      <c r="D31" s="2261"/>
      <c r="E31" s="2261"/>
      <c r="F31" s="2261"/>
      <c r="G31" s="2261"/>
      <c r="H31" s="2261"/>
      <c r="I31" s="2261"/>
      <c r="J31" s="2261"/>
      <c r="K31" s="2261"/>
      <c r="L31" s="226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262" t="s">
        <v>46</v>
      </c>
      <c r="AE35" s="2262"/>
      <c r="AF35" s="2262"/>
      <c r="AG35" s="2262"/>
      <c r="AH35" s="226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262"/>
      <c r="AE36" s="2262"/>
      <c r="AF36" s="2262"/>
      <c r="AG36" s="2262"/>
      <c r="AH36" s="2262"/>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262"/>
      <c r="AE37" s="2262"/>
      <c r="AF37" s="2262"/>
      <c r="AG37" s="2262"/>
      <c r="AH37" s="2262"/>
    </row>
    <row r="38" spans="1:44" ht="12.75" customHeight="1">
      <c r="A38" s="6"/>
      <c r="B38" s="2277" t="s">
        <v>924</v>
      </c>
      <c r="C38" s="2278"/>
      <c r="D38" s="2278"/>
      <c r="E38" s="2278"/>
      <c r="F38" s="2278"/>
      <c r="G38" s="2278"/>
      <c r="H38" s="2278"/>
      <c r="I38" s="2278"/>
      <c r="J38" s="2278"/>
      <c r="K38" s="2278"/>
      <c r="L38" s="2278"/>
      <c r="M38" s="2278"/>
      <c r="N38" s="2278"/>
      <c r="O38" s="2278"/>
      <c r="P38" s="2278"/>
      <c r="Q38" s="2278"/>
      <c r="R38" s="2278"/>
      <c r="S38" s="2278"/>
      <c r="T38" s="2278"/>
      <c r="U38" s="2278"/>
      <c r="V38" s="2278"/>
      <c r="W38" s="2278"/>
      <c r="X38" s="2279"/>
      <c r="Y38" s="2273">
        <f>IF(T24&gt;=(T23+Y23+AD23+AI23),T28+Y28,0)</f>
        <v>22477559</v>
      </c>
      <c r="Z38" s="2273"/>
      <c r="AA38" s="2273"/>
      <c r="AB38" s="2273"/>
      <c r="AC38" s="2273"/>
      <c r="AD38" s="2273">
        <f>IF(T24&gt;=(T23+Y23+AD23+AI23),AD28+AI28,0)</f>
        <v>0</v>
      </c>
      <c r="AE38" s="2273"/>
      <c r="AF38" s="2273"/>
      <c r="AG38" s="2273"/>
      <c r="AH38" s="2273"/>
    </row>
    <row r="39" spans="1:44" ht="13">
      <c r="B39" s="2277" t="s">
        <v>2050</v>
      </c>
      <c r="C39" s="2278"/>
      <c r="D39" s="2278"/>
      <c r="E39" s="2278"/>
      <c r="F39" s="2278"/>
      <c r="G39" s="2278"/>
      <c r="H39" s="2278"/>
      <c r="I39" s="2278"/>
      <c r="J39" s="2278"/>
      <c r="K39" s="2278"/>
      <c r="L39" s="2278"/>
      <c r="M39" s="2278"/>
      <c r="N39" s="2278"/>
      <c r="O39" s="2278"/>
      <c r="P39" s="2278"/>
      <c r="Q39" s="2278"/>
      <c r="R39" s="2278"/>
      <c r="S39" s="2278"/>
      <c r="T39" s="2278"/>
      <c r="U39" s="2278"/>
      <c r="V39" s="2278"/>
      <c r="W39" s="2278"/>
      <c r="X39" s="2279"/>
      <c r="Y39" s="2271">
        <v>0.09</v>
      </c>
      <c r="Z39" s="2271"/>
      <c r="AA39" s="2271"/>
      <c r="AB39" s="2271"/>
      <c r="AC39" s="2271"/>
      <c r="AD39" s="2271">
        <v>0.04</v>
      </c>
      <c r="AE39" s="2271"/>
      <c r="AF39" s="2271"/>
      <c r="AG39" s="2271"/>
      <c r="AH39" s="2271"/>
    </row>
    <row r="40" spans="1:44" ht="12.75" customHeight="1">
      <c r="A40" s="6"/>
      <c r="B40" s="2277" t="s">
        <v>26</v>
      </c>
      <c r="C40" s="2278"/>
      <c r="D40" s="2278"/>
      <c r="E40" s="2278"/>
      <c r="F40" s="2278"/>
      <c r="G40" s="2278"/>
      <c r="H40" s="2278"/>
      <c r="I40" s="2278"/>
      <c r="J40" s="2278"/>
      <c r="K40" s="2278"/>
      <c r="L40" s="2278"/>
      <c r="M40" s="2278"/>
      <c r="N40" s="2278"/>
      <c r="O40" s="2278"/>
      <c r="P40" s="2278"/>
      <c r="Q40" s="2278"/>
      <c r="R40" s="2278"/>
      <c r="S40" s="2278"/>
      <c r="T40" s="2278"/>
      <c r="U40" s="2278"/>
      <c r="V40" s="2278"/>
      <c r="W40" s="2278"/>
      <c r="X40" s="2279"/>
      <c r="Y40" s="2273">
        <f>ROUND(Y38*Y39,0)</f>
        <v>2022980</v>
      </c>
      <c r="Z40" s="2273"/>
      <c r="AA40" s="2273"/>
      <c r="AB40" s="2273"/>
      <c r="AC40" s="2273"/>
      <c r="AD40" s="2272">
        <f>ROUND(AD38*AD39,0)</f>
        <v>0</v>
      </c>
      <c r="AE40" s="2273"/>
      <c r="AF40" s="2273"/>
      <c r="AG40" s="2273"/>
      <c r="AH40" s="2273"/>
    </row>
    <row r="41" spans="1:44" ht="13">
      <c r="B41" s="2277" t="s">
        <v>682</v>
      </c>
      <c r="C41" s="2278"/>
      <c r="D41" s="2278"/>
      <c r="E41" s="2278"/>
      <c r="F41" s="2278"/>
      <c r="G41" s="2278"/>
      <c r="H41" s="2278"/>
      <c r="I41" s="2278"/>
      <c r="J41" s="2278"/>
      <c r="K41" s="2278"/>
      <c r="L41" s="2278"/>
      <c r="M41" s="2278"/>
      <c r="N41" s="2278"/>
      <c r="O41" s="2278"/>
      <c r="P41" s="2278"/>
      <c r="Q41" s="2278"/>
      <c r="R41" s="2278"/>
      <c r="S41" s="2278"/>
      <c r="T41" s="2278"/>
      <c r="U41" s="2278"/>
      <c r="V41" s="2278"/>
      <c r="W41" s="2278"/>
      <c r="X41" s="2279"/>
      <c r="Y41" s="2274">
        <f>IF(Application!Y211="No",'Basis &amp; Credits'!AR42,AR43)</f>
        <v>2022980</v>
      </c>
      <c r="Z41" s="2275"/>
      <c r="AA41" s="2275"/>
      <c r="AB41" s="2275"/>
      <c r="AC41" s="2275"/>
      <c r="AD41" s="2275"/>
      <c r="AE41" s="2275"/>
      <c r="AF41" s="2275"/>
      <c r="AG41" s="2275"/>
      <c r="AH41" s="2276"/>
    </row>
    <row r="42" spans="1:44" ht="12.75" customHeight="1">
      <c r="A42" s="6"/>
      <c r="B42" s="2293" t="s">
        <v>2051</v>
      </c>
      <c r="C42" s="2293"/>
      <c r="D42" s="2293"/>
      <c r="E42" s="2293"/>
      <c r="F42" s="2293"/>
      <c r="G42" s="2293"/>
      <c r="H42" s="2293"/>
      <c r="I42" s="2293"/>
      <c r="J42" s="2293"/>
      <c r="K42" s="2293"/>
      <c r="L42" s="2293"/>
      <c r="M42" s="2293"/>
      <c r="N42" s="2293"/>
      <c r="O42" s="2293"/>
      <c r="P42" s="2293"/>
      <c r="Q42" s="2293"/>
      <c r="R42" s="2293"/>
      <c r="S42" s="2293"/>
      <c r="T42" s="2293"/>
      <c r="U42" s="2293"/>
      <c r="V42" s="2293"/>
      <c r="W42" s="2293"/>
      <c r="X42" s="2293"/>
      <c r="Y42" s="2293"/>
      <c r="Z42" s="2293"/>
      <c r="AA42" s="2293"/>
      <c r="AB42" s="2293"/>
      <c r="AC42" s="2293"/>
      <c r="AD42" s="2293"/>
      <c r="AE42" s="2293"/>
      <c r="AF42" s="2293"/>
      <c r="AG42" s="2293"/>
      <c r="AH42" s="2293"/>
      <c r="AI42" s="948"/>
      <c r="AJ42" s="948"/>
      <c r="AK42" s="948"/>
      <c r="AL42" s="948"/>
      <c r="AM42" s="948"/>
      <c r="AN42" s="948"/>
      <c r="AR42" s="2">
        <f>IF((Y40+AD40)&gt;2500000,2500000,Y40+AD40)</f>
        <v>2022980</v>
      </c>
    </row>
    <row r="43" spans="1:44" ht="12.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IF((Y40+AD40)&gt;4000000,4000000,Y40+AD40)</f>
        <v>2022980</v>
      </c>
    </row>
    <row r="44" spans="1:44" ht="13">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3">
      <c r="A45" s="6" t="s">
        <v>131</v>
      </c>
      <c r="C45" s="6" t="s">
        <v>281</v>
      </c>
    </row>
    <row r="46" spans="1:44" ht="13">
      <c r="D46" s="6" t="s">
        <v>282</v>
      </c>
      <c r="AB46" s="2268">
        <f>'Sources and Uses Budget'!B104-'Sources and Uses Budget'!$B$15</f>
        <v>35121118</v>
      </c>
      <c r="AC46" s="2269"/>
      <c r="AD46" s="2269"/>
      <c r="AE46" s="2269"/>
      <c r="AF46" s="2270"/>
    </row>
    <row r="47" spans="1:44" ht="12.75" customHeight="1">
      <c r="D47" s="6" t="s">
        <v>918</v>
      </c>
      <c r="AB47" s="2268">
        <f>Application!AO644-MIN('Sources and Uses Budget'!B15,Application!AG388)</f>
        <v>16601560</v>
      </c>
      <c r="AC47" s="2269"/>
      <c r="AD47" s="2269"/>
      <c r="AE47" s="2269"/>
      <c r="AF47" s="2270"/>
    </row>
    <row r="48" spans="1:44" ht="13">
      <c r="D48" s="6" t="s">
        <v>422</v>
      </c>
      <c r="AB48" s="2268">
        <f>AB46-AB47</f>
        <v>18519558</v>
      </c>
      <c r="AC48" s="2269"/>
      <c r="AD48" s="2269"/>
      <c r="AE48" s="2269"/>
      <c r="AF48" s="2270"/>
    </row>
    <row r="49" spans="1:40" ht="13">
      <c r="D49" s="6" t="s">
        <v>957</v>
      </c>
      <c r="X49" s="2"/>
      <c r="Y49" s="2"/>
      <c r="Z49" s="2"/>
      <c r="AA49" s="409"/>
      <c r="AB49" s="2287">
        <v>0.91545929999999998</v>
      </c>
      <c r="AC49" s="2288"/>
      <c r="AD49" s="2288"/>
      <c r="AE49" s="2288"/>
      <c r="AF49" s="2289"/>
    </row>
    <row r="50" spans="1:40" s="515" customFormat="1" ht="15" customHeight="1">
      <c r="A50" s="2"/>
      <c r="B50" s="2"/>
      <c r="C50" s="2"/>
      <c r="D50" s="272"/>
      <c r="E50" s="2298" t="s">
        <v>2237</v>
      </c>
      <c r="F50" s="2298"/>
      <c r="G50" s="2298"/>
      <c r="H50" s="2298"/>
      <c r="I50" s="2298"/>
      <c r="J50" s="2298"/>
      <c r="K50" s="2298"/>
      <c r="L50" s="2298"/>
      <c r="M50" s="2298"/>
      <c r="N50" s="2298"/>
      <c r="O50" s="2298"/>
      <c r="P50" s="2298"/>
      <c r="Q50" s="2298"/>
      <c r="R50" s="2298"/>
      <c r="S50" s="2298"/>
      <c r="T50" s="2298"/>
      <c r="U50" s="2298"/>
      <c r="V50" s="2298"/>
      <c r="W50" s="2298"/>
      <c r="X50" s="2298"/>
      <c r="Y50" s="2298"/>
      <c r="Z50" s="2298"/>
      <c r="AA50" s="777"/>
      <c r="AB50" s="777"/>
      <c r="AC50" s="777"/>
      <c r="AD50" s="777"/>
      <c r="AE50" s="777"/>
      <c r="AF50" s="777"/>
      <c r="AG50" s="2"/>
      <c r="AH50" s="2"/>
      <c r="AI50" s="2"/>
      <c r="AJ50" s="2"/>
      <c r="AK50" s="2"/>
      <c r="AL50" s="2"/>
      <c r="AM50" s="2"/>
      <c r="AN50" s="2"/>
    </row>
    <row r="51" spans="1:40" s="515" customFormat="1" ht="12" customHeight="1">
      <c r="A51" s="2"/>
      <c r="B51" s="2"/>
      <c r="C51" s="2"/>
      <c r="D51" s="272"/>
      <c r="E51" s="2298"/>
      <c r="F51" s="2298"/>
      <c r="G51" s="2298"/>
      <c r="H51" s="2298"/>
      <c r="I51" s="2298"/>
      <c r="J51" s="2298"/>
      <c r="K51" s="2298"/>
      <c r="L51" s="2298"/>
      <c r="M51" s="2298"/>
      <c r="N51" s="2298"/>
      <c r="O51" s="2298"/>
      <c r="P51" s="2298"/>
      <c r="Q51" s="2298"/>
      <c r="R51" s="2298"/>
      <c r="S51" s="2298"/>
      <c r="T51" s="2298"/>
      <c r="U51" s="2298"/>
      <c r="V51" s="2298"/>
      <c r="W51" s="2298"/>
      <c r="X51" s="2298"/>
      <c r="Y51" s="2298"/>
      <c r="Z51" s="2298"/>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8">
        <f>ROUND(IF(ISERROR((AB48/AB49)),0,(AB48/AB49)),0)</f>
        <v>20229799</v>
      </c>
      <c r="AC53" s="2269"/>
      <c r="AD53" s="2269"/>
      <c r="AE53" s="2269"/>
      <c r="AF53" s="2270"/>
    </row>
    <row r="54" spans="1:40" ht="12.75" customHeight="1">
      <c r="D54" s="6" t="s">
        <v>620</v>
      </c>
      <c r="AB54" s="2268">
        <f>(AB53/10)</f>
        <v>2022979.9</v>
      </c>
      <c r="AC54" s="2269"/>
      <c r="AD54" s="2269"/>
      <c r="AE54" s="2269"/>
      <c r="AF54" s="2270"/>
    </row>
    <row r="55" spans="1:40" ht="13">
      <c r="D55" s="6" t="s">
        <v>379</v>
      </c>
      <c r="AB55" s="2295">
        <f>(IF((Y41&lt;AB54),Y41,AB54))</f>
        <v>2022979.9</v>
      </c>
      <c r="AC55" s="2296"/>
      <c r="AD55" s="2296"/>
      <c r="AE55" s="2296"/>
      <c r="AF55" s="2297"/>
    </row>
    <row r="56" spans="1:40" ht="13">
      <c r="D56" s="6" t="s">
        <v>118</v>
      </c>
      <c r="AB56" s="2268">
        <f>ROUND((10*AB55*AB49),0)</f>
        <v>18519558</v>
      </c>
      <c r="AC56" s="2269"/>
      <c r="AD56" s="2269"/>
      <c r="AE56" s="2269"/>
      <c r="AF56" s="22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6">
        <f>AB48-AB56</f>
        <v>0</v>
      </c>
      <c r="AC58" s="2266"/>
      <c r="AD58" s="2266"/>
      <c r="AE58" s="2266"/>
      <c r="AF58" s="2266"/>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263" t="s">
        <v>1975</v>
      </c>
      <c r="B60" s="2263"/>
      <c r="C60" s="2263"/>
      <c r="D60" s="2263"/>
      <c r="E60" s="2263"/>
      <c r="F60" s="2263"/>
      <c r="G60" s="2263"/>
      <c r="H60" s="2263"/>
      <c r="I60" s="2263"/>
      <c r="J60" s="2263"/>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row>
    <row r="61" spans="1:40" ht="13.75" customHeight="1" thickTop="1">
      <c r="A61" s="2265"/>
      <c r="B61" s="2265"/>
      <c r="C61" s="2265"/>
      <c r="D61" s="2265"/>
      <c r="E61" s="2265"/>
      <c r="F61" s="2265"/>
      <c r="G61" s="2265"/>
      <c r="H61" s="2265"/>
      <c r="I61" s="2265"/>
      <c r="J61" s="2265"/>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67" t="s">
        <v>331</v>
      </c>
      <c r="Z62" s="2267"/>
      <c r="AA62" s="2267"/>
      <c r="AB62" s="2267"/>
      <c r="AC62" s="2267"/>
      <c r="AD62" s="2267" t="s">
        <v>46</v>
      </c>
      <c r="AE62" s="2267"/>
      <c r="AF62" s="2267"/>
      <c r="AG62" s="2267"/>
      <c r="AH62" s="2267"/>
      <c r="AI62" s="1"/>
      <c r="AJ62" s="1"/>
      <c r="AK62" s="1"/>
      <c r="AL62" s="1"/>
      <c r="AM62" s="1"/>
      <c r="AN62" s="1"/>
    </row>
    <row r="63" spans="1:40" ht="13">
      <c r="C63" s="330"/>
      <c r="D63" s="800" t="s">
        <v>1373</v>
      </c>
      <c r="E63" s="801"/>
      <c r="F63" s="801"/>
      <c r="G63" s="801"/>
      <c r="H63" s="801"/>
      <c r="I63" s="801"/>
      <c r="J63" s="801"/>
      <c r="K63" s="801"/>
      <c r="L63" s="22"/>
      <c r="M63" s="22"/>
      <c r="N63" s="22"/>
      <c r="O63" s="22"/>
      <c r="P63" s="22"/>
      <c r="Q63" s="22"/>
      <c r="R63" s="22"/>
      <c r="S63" s="22"/>
      <c r="T63" s="22"/>
      <c r="U63" s="22"/>
      <c r="V63" s="22"/>
      <c r="W63" s="22"/>
      <c r="X63" s="22"/>
      <c r="Y63" s="2294">
        <f>IF(AND(Application!T193="No",Application!T194="No"),T28,IF(OR(AND(T25=1.3,Application!T196="Yes",Application!D214="Special Needs"),T25=1),(T23*T27)+Y28,Y28))</f>
        <v>0</v>
      </c>
      <c r="Z63" s="2290"/>
      <c r="AA63" s="2290"/>
      <c r="AB63" s="2290"/>
      <c r="AC63" s="2290"/>
      <c r="AD63" s="1726">
        <f>IF(AND(T25=1.3,Application!D214="At-Risk"),AI28,IF(Application!D214&lt;&gt;"At-Risk",0,AD28))</f>
        <v>0</v>
      </c>
      <c r="AE63" s="2290"/>
      <c r="AF63" s="2290"/>
      <c r="AG63" s="2290"/>
      <c r="AH63" s="2290"/>
    </row>
    <row r="64" spans="1:40" ht="15" customHeight="1">
      <c r="C64" s="6"/>
      <c r="E64" s="2264" t="s">
        <v>1424</v>
      </c>
      <c r="F64" s="2264"/>
      <c r="G64" s="2264"/>
      <c r="H64" s="2264"/>
      <c r="I64" s="2264"/>
      <c r="J64" s="2264"/>
      <c r="K64" s="2264"/>
      <c r="L64" s="2264"/>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row>
    <row r="65" spans="1:40" ht="24.5" customHeight="1">
      <c r="C65" s="6"/>
      <c r="E65" s="2264"/>
      <c r="F65" s="2264"/>
      <c r="G65" s="2264"/>
      <c r="H65" s="2264"/>
      <c r="I65" s="2264"/>
      <c r="J65" s="2264"/>
      <c r="K65" s="2264"/>
      <c r="L65" s="2264"/>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6">
        <f>IF(Application!W198="Yes",95%, 30%)</f>
        <v>0.3</v>
      </c>
      <c r="Z66" s="2286"/>
      <c r="AA66" s="2286"/>
      <c r="AB66" s="2286"/>
      <c r="AC66" s="2286"/>
      <c r="AD66" s="2286">
        <f>IF(Application!W198="Yes",95%, 13%)</f>
        <v>0.13</v>
      </c>
      <c r="AE66" s="2286"/>
      <c r="AF66" s="2286"/>
      <c r="AG66" s="2286"/>
      <c r="AH66" s="2286"/>
    </row>
    <row r="67" spans="1:40" ht="13">
      <c r="C67" s="6"/>
      <c r="D67" s="6" t="s">
        <v>1044</v>
      </c>
      <c r="Y67" s="1726">
        <f>ROUND(Y63*Y66,0)</f>
        <v>0</v>
      </c>
      <c r="Z67" s="2290"/>
      <c r="AA67" s="2290"/>
      <c r="AB67" s="2290"/>
      <c r="AC67" s="2290"/>
      <c r="AD67" s="1726" t="str">
        <f>IF(OR(Application!D211="At-Risk",Application!D211="At-Risk/Located in Rural Census Tract",Application!D214="At-Risk"),ROUND(AD63*AD66,0),"$0")</f>
        <v>$0</v>
      </c>
      <c r="AE67" s="2291"/>
      <c r="AF67" s="2291"/>
      <c r="AG67" s="2291"/>
      <c r="AH67" s="2291"/>
    </row>
    <row r="68" spans="1:40" ht="12.75" customHeight="1">
      <c r="C68" s="6"/>
      <c r="E68" s="1358" t="s">
        <v>2178</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3">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7"/>
      <c r="AC70" s="2288"/>
      <c r="AD70" s="2288"/>
      <c r="AE70" s="2288"/>
      <c r="AF70" s="2289"/>
      <c r="AG70" s="2"/>
      <c r="AH70" s="2"/>
      <c r="AI70" s="2"/>
      <c r="AJ70" s="2"/>
      <c r="AK70" s="2"/>
      <c r="AL70" s="2"/>
      <c r="AM70" s="2"/>
      <c r="AN70" s="2"/>
    </row>
    <row r="71" spans="1:40" ht="12.75" customHeight="1">
      <c r="A71" s="330"/>
      <c r="B71" s="2"/>
      <c r="C71" s="330"/>
      <c r="D71" s="330"/>
      <c r="E71" s="2292" t="s">
        <v>1970</v>
      </c>
      <c r="F71" s="2292"/>
      <c r="G71" s="2292"/>
      <c r="H71" s="2292"/>
      <c r="I71" s="2292"/>
      <c r="J71" s="2292"/>
      <c r="K71" s="2292"/>
      <c r="L71" s="2292"/>
      <c r="M71" s="2292"/>
      <c r="N71" s="2292"/>
      <c r="O71" s="2292"/>
      <c r="P71" s="2292"/>
      <c r="Q71" s="2292"/>
      <c r="R71" s="2292"/>
      <c r="S71" s="2292"/>
      <c r="T71" s="2292"/>
      <c r="U71" s="2292"/>
      <c r="V71" s="2292"/>
      <c r="W71" s="2292"/>
      <c r="X71" s="2292"/>
      <c r="Y71" s="2292"/>
      <c r="Z71" s="2292"/>
      <c r="AA71" s="802"/>
      <c r="AB71" s="802"/>
      <c r="AC71" s="802"/>
      <c r="AG71" s="2"/>
      <c r="AH71" s="2"/>
      <c r="AI71" s="2"/>
      <c r="AJ71" s="2"/>
      <c r="AK71" s="2"/>
      <c r="AL71" s="2"/>
      <c r="AM71" s="2"/>
      <c r="AN71" s="2"/>
    </row>
    <row r="72" spans="1:40" ht="12.75" customHeight="1">
      <c r="A72" s="330"/>
      <c r="B72" s="2"/>
      <c r="C72" s="330"/>
      <c r="D72" s="330"/>
      <c r="E72" s="2292"/>
      <c r="F72" s="2292"/>
      <c r="G72" s="2292"/>
      <c r="H72" s="2292"/>
      <c r="I72" s="2292"/>
      <c r="J72" s="2292"/>
      <c r="K72" s="2292"/>
      <c r="L72" s="2292"/>
      <c r="M72" s="2292"/>
      <c r="N72" s="2292"/>
      <c r="O72" s="2292"/>
      <c r="P72" s="2292"/>
      <c r="Q72" s="2292"/>
      <c r="R72" s="2292"/>
      <c r="S72" s="2292"/>
      <c r="T72" s="2292"/>
      <c r="U72" s="2292"/>
      <c r="V72" s="2292"/>
      <c r="W72" s="2292"/>
      <c r="X72" s="2292"/>
      <c r="Y72" s="2292"/>
      <c r="Z72" s="2292"/>
      <c r="AA72" s="802"/>
      <c r="AB72" s="802"/>
      <c r="AC72" s="802"/>
      <c r="AD72" s="1087"/>
      <c r="AE72" s="1087"/>
      <c r="AF72" s="1087"/>
      <c r="AG72" s="2"/>
      <c r="AH72" s="2"/>
      <c r="AI72" s="2"/>
      <c r="AJ72" s="2"/>
      <c r="AK72" s="2"/>
      <c r="AL72" s="2"/>
      <c r="AM72" s="2"/>
      <c r="AN72" s="2"/>
    </row>
    <row r="73" spans="1:40" ht="12" customHeight="1">
      <c r="A73" s="330"/>
      <c r="B73" s="2"/>
      <c r="C73" s="330"/>
      <c r="D73" s="330"/>
      <c r="E73" s="2292"/>
      <c r="F73" s="2292"/>
      <c r="G73" s="2292"/>
      <c r="H73" s="2292"/>
      <c r="I73" s="2292"/>
      <c r="J73" s="2292"/>
      <c r="K73" s="2292"/>
      <c r="L73" s="2292"/>
      <c r="M73" s="2292"/>
      <c r="N73" s="2292"/>
      <c r="O73" s="2292"/>
      <c r="P73" s="2292"/>
      <c r="Q73" s="2292"/>
      <c r="R73" s="2292"/>
      <c r="S73" s="2292"/>
      <c r="T73" s="2292"/>
      <c r="U73" s="2292"/>
      <c r="V73" s="2292"/>
      <c r="W73" s="2292"/>
      <c r="X73" s="2292"/>
      <c r="Y73" s="2292"/>
      <c r="Z73" s="2292"/>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5">
        <f>ROUND(IF(ISERROR((AB58/AB70)),0,(AB58/AB70)),0)</f>
        <v>0</v>
      </c>
      <c r="AC75" s="2285"/>
      <c r="AD75" s="2285"/>
      <c r="AE75" s="2285"/>
      <c r="AF75" s="2285"/>
    </row>
    <row r="76" spans="1:40" ht="12.75" customHeight="1">
      <c r="C76" s="6"/>
      <c r="D76" s="6" t="s">
        <v>116</v>
      </c>
      <c r="AB76" s="2282">
        <f>IF((Y67+AD67&lt;AB75),Y67+AD67,AB75)</f>
        <v>0</v>
      </c>
      <c r="AC76" s="2283"/>
      <c r="AD76" s="2283"/>
      <c r="AE76" s="2283"/>
      <c r="AF76" s="2284"/>
    </row>
    <row r="77" spans="1:40" ht="12.75" customHeight="1">
      <c r="C77" s="6"/>
      <c r="D77" s="6" t="s">
        <v>1045</v>
      </c>
      <c r="AB77" s="2281">
        <f>AB76*AB70</f>
        <v>0</v>
      </c>
      <c r="AC77" s="2281"/>
      <c r="AD77" s="2281"/>
      <c r="AE77" s="2281"/>
      <c r="AF77" s="2281"/>
    </row>
    <row r="78" spans="1:40" ht="12.75" customHeight="1">
      <c r="C78" s="6"/>
      <c r="D78" s="6"/>
      <c r="AB78" s="933"/>
      <c r="AC78" s="933"/>
      <c r="AD78" s="933"/>
      <c r="AE78" s="933"/>
      <c r="AF78" s="933"/>
    </row>
    <row r="79" spans="1:40" ht="12.75" customHeight="1">
      <c r="A79" s="1"/>
      <c r="B79" s="1"/>
      <c r="C79" s="1"/>
      <c r="D79" s="6" t="s">
        <v>117</v>
      </c>
      <c r="AB79" s="2266">
        <f>AB48-(AB56+AB77)</f>
        <v>0</v>
      </c>
      <c r="AC79" s="2266"/>
      <c r="AD79" s="2266"/>
      <c r="AE79" s="2266"/>
      <c r="AF79" s="226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disablePrompts="1"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52" zoomScaleNormal="100" zoomScaleSheetLayoutView="100" workbookViewId="0">
      <selection sqref="A1:AM2"/>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34" customWidth="1"/>
    <col min="41" max="41" width="5.453125" style="132" hidden="1" customWidth="1"/>
    <col min="42" max="55" width="5.453125" style="65" hidden="1" customWidth="1"/>
    <col min="56" max="60" width="5.453125" style="68" hidden="1" customWidth="1"/>
    <col min="61" max="109" width="5.453125" style="65" hidden="1" customWidth="1"/>
    <col min="110" max="16384" width="0" style="65" hidden="1"/>
  </cols>
  <sheetData>
    <row r="1" spans="1:42" ht="15.75" customHeight="1">
      <c r="A1" s="1703" t="s">
        <v>927</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row>
    <row r="2" spans="1:42" s="8" customFormat="1" ht="12.75" customHeight="1" thickBot="1">
      <c r="A2" s="1704"/>
      <c r="B2" s="1704"/>
      <c r="C2" s="1704"/>
      <c r="D2" s="1704"/>
      <c r="E2" s="1704"/>
      <c r="F2" s="1704"/>
      <c r="G2" s="1704"/>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4"/>
      <c r="AM2" s="1704"/>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1630</v>
      </c>
      <c r="AE4" s="2518" t="s">
        <v>408</v>
      </c>
      <c r="AF4" s="2518"/>
      <c r="AG4" s="2518"/>
      <c r="AH4" s="2518"/>
      <c r="AI4" s="2518"/>
      <c r="AJ4" s="2518"/>
      <c r="AK4" s="2518"/>
      <c r="AL4" s="1304"/>
      <c r="AM4" s="48"/>
      <c r="AN4" s="1136"/>
    </row>
    <row r="5" spans="1:42" s="63" customFormat="1" ht="13" customHeight="1">
      <c r="A5" s="142"/>
      <c r="AE5" s="33"/>
      <c r="AF5" s="33"/>
      <c r="AG5" s="33"/>
      <c r="AH5" s="33"/>
      <c r="AI5" s="33"/>
      <c r="AJ5" s="33"/>
      <c r="AK5" s="33"/>
      <c r="AL5" s="1304"/>
      <c r="AM5" s="48"/>
      <c r="AN5" s="1136"/>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936</v>
      </c>
      <c r="AG6" s="2368"/>
      <c r="AH6" s="2368"/>
      <c r="AI6" s="2368"/>
      <c r="AJ6" s="2368"/>
      <c r="AK6" s="2368"/>
      <c r="AL6" s="2368"/>
      <c r="AM6" s="48"/>
      <c r="AN6" s="1135"/>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346" t="s">
        <v>2499</v>
      </c>
      <c r="C8" s="2346"/>
      <c r="D8" s="2346"/>
      <c r="E8" s="2346"/>
      <c r="F8" s="2346"/>
      <c r="G8" s="2346"/>
      <c r="H8" s="2346"/>
      <c r="I8" s="2346"/>
      <c r="J8" s="2346"/>
      <c r="K8" s="2346"/>
      <c r="L8" s="2346"/>
      <c r="M8" s="2346"/>
      <c r="N8" s="2346"/>
      <c r="O8" s="2346"/>
      <c r="P8" s="2346"/>
      <c r="Q8" s="2346"/>
      <c r="R8" s="2346"/>
      <c r="S8" s="2346"/>
      <c r="T8" s="2346"/>
      <c r="U8" s="2346"/>
      <c r="V8" s="2346"/>
      <c r="W8" s="2346"/>
      <c r="X8" s="2346"/>
      <c r="Y8" s="2346"/>
      <c r="Z8" s="2346"/>
      <c r="AA8" s="2346"/>
      <c r="AB8" s="2346"/>
      <c r="AC8" s="2346"/>
      <c r="AD8" s="63"/>
      <c r="AE8" s="179"/>
      <c r="AF8" s="179"/>
      <c r="AG8" s="179"/>
      <c r="AH8" s="179"/>
      <c r="AI8" s="179"/>
      <c r="AJ8" s="179"/>
      <c r="AK8" s="179"/>
      <c r="AL8" s="1303"/>
      <c r="AM8" s="48"/>
      <c r="AN8" s="1135"/>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3" t="s">
        <v>1374</v>
      </c>
      <c r="AP10" s="745">
        <v>5</v>
      </c>
    </row>
    <row r="11" spans="1:42" s="8" customFormat="1" ht="12.75" customHeight="1">
      <c r="A11" s="142"/>
      <c r="B11" s="2346" t="s">
        <v>1375</v>
      </c>
      <c r="C11" s="2346"/>
      <c r="D11" s="2346"/>
      <c r="E11" s="2346"/>
      <c r="F11" s="2346"/>
      <c r="G11" s="2346"/>
      <c r="H11" s="2346"/>
      <c r="I11" s="2346"/>
      <c r="J11" s="2346"/>
      <c r="K11" s="2346"/>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c r="AH11" s="2346"/>
      <c r="AI11" s="2346"/>
      <c r="AM11" s="48"/>
      <c r="AN11" s="1135"/>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3"/>
      <c r="AP12" s="745"/>
    </row>
    <row r="13" spans="1:42" s="8" customFormat="1" ht="12.75" customHeight="1">
      <c r="A13" s="537"/>
      <c r="B13" s="205" t="s">
        <v>1376</v>
      </c>
      <c r="AB13" s="2521" t="s">
        <v>136</v>
      </c>
      <c r="AC13" s="2521"/>
      <c r="AD13" s="410"/>
      <c r="AE13" s="136"/>
      <c r="AF13" s="136"/>
      <c r="AG13" s="136"/>
      <c r="AH13" s="136"/>
      <c r="AI13" s="136"/>
      <c r="AJ13" s="136"/>
      <c r="AK13" s="136"/>
      <c r="AL13" s="136"/>
      <c r="AM13" s="48"/>
      <c r="AN13" s="1135"/>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3" t="s">
        <v>1377</v>
      </c>
      <c r="AP15" s="745">
        <v>5</v>
      </c>
    </row>
    <row r="16" spans="1:42" s="8" customFormat="1" ht="12.75" customHeight="1">
      <c r="A16" s="142"/>
      <c r="B16" s="2346" t="s">
        <v>1239</v>
      </c>
      <c r="C16" s="2346"/>
      <c r="D16" s="2346"/>
      <c r="E16" s="2346"/>
      <c r="F16" s="2346"/>
      <c r="G16" s="2346"/>
      <c r="H16" s="2346"/>
      <c r="I16" s="2346"/>
      <c r="J16" s="2346"/>
      <c r="K16" s="2346"/>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c r="AH16" s="2346"/>
      <c r="AI16" s="2346"/>
      <c r="AJ16" s="2346"/>
      <c r="AK16" s="779"/>
      <c r="AL16" s="779"/>
      <c r="AM16" s="779"/>
      <c r="AN16" s="1135"/>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5"/>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386" t="s">
        <v>1839</v>
      </c>
      <c r="C20" s="2386"/>
      <c r="D20" s="2386"/>
      <c r="E20" s="2386"/>
      <c r="F20" s="2386"/>
      <c r="G20" s="2386"/>
      <c r="H20" s="2386"/>
      <c r="I20" s="2386"/>
      <c r="J20" s="2386"/>
      <c r="K20" s="2386"/>
      <c r="L20" s="2386"/>
      <c r="M20" s="2386"/>
      <c r="N20" s="2386"/>
      <c r="O20" s="2386"/>
      <c r="P20" s="2386"/>
      <c r="Q20" s="2386"/>
      <c r="R20" s="2386"/>
      <c r="S20" s="2386"/>
      <c r="T20" s="2386"/>
      <c r="U20" s="2386"/>
      <c r="V20" s="2386"/>
      <c r="W20" s="2386"/>
      <c r="X20" s="2386"/>
      <c r="Y20" s="2386"/>
      <c r="Z20" s="2386"/>
      <c r="AA20" s="2386"/>
      <c r="AB20" s="2386"/>
      <c r="AC20" s="2386"/>
      <c r="AD20" s="2386"/>
      <c r="AE20" s="2386"/>
      <c r="AF20" s="2386"/>
      <c r="AG20" s="2386"/>
      <c r="AH20" s="2386"/>
      <c r="AI20" s="2386"/>
      <c r="AJ20" s="2386"/>
      <c r="AK20" s="2386"/>
      <c r="AL20" s="1305"/>
      <c r="AM20" s="38"/>
      <c r="AN20" s="1135"/>
    </row>
    <row r="21" spans="1:42" s="8" customFormat="1" ht="12.75" customHeight="1">
      <c r="A21" s="38"/>
      <c r="B21" s="2386"/>
      <c r="C21" s="2386"/>
      <c r="D21" s="2386"/>
      <c r="E21" s="2386"/>
      <c r="F21" s="2386"/>
      <c r="G21" s="2386"/>
      <c r="H21" s="2386"/>
      <c r="I21" s="2386"/>
      <c r="J21" s="2386"/>
      <c r="K21" s="2386"/>
      <c r="L21" s="2386"/>
      <c r="M21" s="2386"/>
      <c r="N21" s="2386"/>
      <c r="O21" s="2386"/>
      <c r="P21" s="2386"/>
      <c r="Q21" s="2386"/>
      <c r="R21" s="2386"/>
      <c r="S21" s="2386"/>
      <c r="T21" s="2386"/>
      <c r="U21" s="2386"/>
      <c r="V21" s="2386"/>
      <c r="W21" s="2386"/>
      <c r="X21" s="2386"/>
      <c r="Y21" s="2386"/>
      <c r="Z21" s="2386"/>
      <c r="AA21" s="2386"/>
      <c r="AB21" s="2386"/>
      <c r="AC21" s="2386"/>
      <c r="AD21" s="2386"/>
      <c r="AE21" s="2386"/>
      <c r="AF21" s="2386"/>
      <c r="AG21" s="2386"/>
      <c r="AH21" s="2386"/>
      <c r="AI21" s="2386"/>
      <c r="AJ21" s="2386"/>
      <c r="AK21" s="2386"/>
      <c r="AL21" s="1305"/>
      <c r="AM21" s="38"/>
      <c r="AN21" s="1135"/>
      <c r="AP21" s="535"/>
    </row>
    <row r="22" spans="1:42" s="8" customFormat="1" ht="12.75" customHeight="1">
      <c r="A22" s="38"/>
      <c r="B22" s="2386"/>
      <c r="C22" s="2386"/>
      <c r="D22" s="2386"/>
      <c r="E22" s="2386"/>
      <c r="F22" s="2386"/>
      <c r="G22" s="2386"/>
      <c r="H22" s="2386"/>
      <c r="I22" s="2386"/>
      <c r="J22" s="2386"/>
      <c r="K22" s="2386"/>
      <c r="L22" s="2386"/>
      <c r="M22" s="2386"/>
      <c r="N22" s="2386"/>
      <c r="O22" s="2386"/>
      <c r="P22" s="2386"/>
      <c r="Q22" s="2386"/>
      <c r="R22" s="2386"/>
      <c r="S22" s="2386"/>
      <c r="T22" s="2386"/>
      <c r="U22" s="2386"/>
      <c r="V22" s="2386"/>
      <c r="W22" s="2386"/>
      <c r="X22" s="2386"/>
      <c r="Y22" s="2386"/>
      <c r="Z22" s="2386"/>
      <c r="AA22" s="2386"/>
      <c r="AB22" s="2386"/>
      <c r="AC22" s="2386"/>
      <c r="AD22" s="2386"/>
      <c r="AE22" s="2386"/>
      <c r="AF22" s="2386"/>
      <c r="AG22" s="2386"/>
      <c r="AH22" s="2386"/>
      <c r="AI22" s="2386"/>
      <c r="AJ22" s="2386"/>
      <c r="AK22" s="2386"/>
      <c r="AL22" s="1305"/>
      <c r="AM22" s="38"/>
      <c r="AN22" s="1135"/>
    </row>
    <row r="23" spans="1:42" s="46" customFormat="1" ht="12.75" customHeight="1">
      <c r="A23" s="38"/>
      <c r="B23" s="2386"/>
      <c r="C23" s="2386"/>
      <c r="D23" s="2386"/>
      <c r="E23" s="2386"/>
      <c r="F23" s="2386"/>
      <c r="G23" s="2386"/>
      <c r="H23" s="2386"/>
      <c r="I23" s="2386"/>
      <c r="J23" s="2386"/>
      <c r="K23" s="2386"/>
      <c r="L23" s="2386"/>
      <c r="M23" s="2386"/>
      <c r="N23" s="2386"/>
      <c r="O23" s="2386"/>
      <c r="P23" s="2386"/>
      <c r="Q23" s="2386"/>
      <c r="R23" s="2386"/>
      <c r="S23" s="2386"/>
      <c r="T23" s="2386"/>
      <c r="U23" s="2386"/>
      <c r="V23" s="2386"/>
      <c r="W23" s="2386"/>
      <c r="X23" s="2386"/>
      <c r="Y23" s="2386"/>
      <c r="Z23" s="2386"/>
      <c r="AA23" s="2386"/>
      <c r="AB23" s="2386"/>
      <c r="AC23" s="2386"/>
      <c r="AD23" s="2386"/>
      <c r="AE23" s="2386"/>
      <c r="AF23" s="2386"/>
      <c r="AG23" s="2386"/>
      <c r="AH23" s="2386"/>
      <c r="AI23" s="2386"/>
      <c r="AJ23" s="2386"/>
      <c r="AK23" s="2386"/>
      <c r="AL23" s="1305"/>
      <c r="AM23" s="38"/>
      <c r="AN23" s="439"/>
    </row>
    <row r="24" spans="1:42" s="46" customFormat="1" ht="12.75" customHeight="1">
      <c r="A24" s="38"/>
      <c r="B24" s="2386"/>
      <c r="C24" s="2386"/>
      <c r="D24" s="2386"/>
      <c r="E24" s="2386"/>
      <c r="F24" s="2386"/>
      <c r="G24" s="2386"/>
      <c r="H24" s="2386"/>
      <c r="I24" s="2386"/>
      <c r="J24" s="2386"/>
      <c r="K24" s="2386"/>
      <c r="L24" s="2386"/>
      <c r="M24" s="2386"/>
      <c r="N24" s="2386"/>
      <c r="O24" s="2386"/>
      <c r="P24" s="2386"/>
      <c r="Q24" s="2386"/>
      <c r="R24" s="2386"/>
      <c r="S24" s="2386"/>
      <c r="T24" s="2386"/>
      <c r="U24" s="2386"/>
      <c r="V24" s="2386"/>
      <c r="W24" s="2386"/>
      <c r="X24" s="2386"/>
      <c r="Y24" s="2386"/>
      <c r="Z24" s="2386"/>
      <c r="AA24" s="2386"/>
      <c r="AB24" s="2386"/>
      <c r="AC24" s="2386"/>
      <c r="AD24" s="2386"/>
      <c r="AE24" s="2386"/>
      <c r="AF24" s="2386"/>
      <c r="AG24" s="2386"/>
      <c r="AH24" s="2386"/>
      <c r="AI24" s="2386"/>
      <c r="AJ24" s="2386"/>
      <c r="AK24" s="2386"/>
      <c r="AL24" s="1305"/>
      <c r="AM24" s="38"/>
      <c r="AN24" s="1138"/>
      <c r="AO24" s="155"/>
    </row>
    <row r="25" spans="1:42" s="46" customFormat="1" ht="12.75" customHeight="1">
      <c r="A25" s="38"/>
      <c r="B25" s="2386"/>
      <c r="C25" s="2386"/>
      <c r="D25" s="2386"/>
      <c r="E25" s="2386"/>
      <c r="F25" s="2386"/>
      <c r="G25" s="2386"/>
      <c r="H25" s="2386"/>
      <c r="I25" s="2386"/>
      <c r="J25" s="2386"/>
      <c r="K25" s="2386"/>
      <c r="L25" s="2386"/>
      <c r="M25" s="2386"/>
      <c r="N25" s="2386"/>
      <c r="O25" s="2386"/>
      <c r="P25" s="2386"/>
      <c r="Q25" s="2386"/>
      <c r="R25" s="2386"/>
      <c r="S25" s="2386"/>
      <c r="T25" s="2386"/>
      <c r="U25" s="2386"/>
      <c r="V25" s="2386"/>
      <c r="W25" s="2386"/>
      <c r="X25" s="2386"/>
      <c r="Y25" s="2386"/>
      <c r="Z25" s="2386"/>
      <c r="AA25" s="2386"/>
      <c r="AB25" s="2386"/>
      <c r="AC25" s="2386"/>
      <c r="AD25" s="2386"/>
      <c r="AE25" s="2386"/>
      <c r="AF25" s="2386"/>
      <c r="AG25" s="2386"/>
      <c r="AH25" s="2386"/>
      <c r="AI25" s="2386"/>
      <c r="AJ25" s="2386"/>
      <c r="AK25" s="2386"/>
      <c r="AL25" s="1305"/>
      <c r="AM25" s="38"/>
      <c r="AN25" s="1138"/>
    </row>
    <row r="26" spans="1:42" s="137" customFormat="1" ht="12.75" customHeight="1">
      <c r="A26" s="38"/>
      <c r="B26" s="2386"/>
      <c r="C26" s="2386"/>
      <c r="D26" s="2386"/>
      <c r="E26" s="2386"/>
      <c r="F26" s="2386"/>
      <c r="G26" s="2386"/>
      <c r="H26" s="2386"/>
      <c r="I26" s="2386"/>
      <c r="J26" s="2386"/>
      <c r="K26" s="2386"/>
      <c r="L26" s="2386"/>
      <c r="M26" s="2386"/>
      <c r="N26" s="2386"/>
      <c r="O26" s="2386"/>
      <c r="P26" s="2386"/>
      <c r="Q26" s="2386"/>
      <c r="R26" s="2386"/>
      <c r="S26" s="2386"/>
      <c r="T26" s="2386"/>
      <c r="U26" s="2386"/>
      <c r="V26" s="2386"/>
      <c r="W26" s="2386"/>
      <c r="X26" s="2386"/>
      <c r="Y26" s="2386"/>
      <c r="Z26" s="2386"/>
      <c r="AA26" s="2386"/>
      <c r="AB26" s="2386"/>
      <c r="AC26" s="2386"/>
      <c r="AD26" s="2386"/>
      <c r="AE26" s="2386"/>
      <c r="AF26" s="2386"/>
      <c r="AG26" s="2386"/>
      <c r="AH26" s="2386"/>
      <c r="AI26" s="2386"/>
      <c r="AJ26" s="2386"/>
      <c r="AK26" s="2386"/>
      <c r="AL26" s="1305"/>
      <c r="AM26" s="38"/>
      <c r="AN26" s="1139"/>
    </row>
    <row r="27" spans="1:42" s="46" customFormat="1" ht="12.75" customHeight="1">
      <c r="A27" s="38"/>
      <c r="B27" s="2386"/>
      <c r="C27" s="2386"/>
      <c r="D27" s="2386"/>
      <c r="E27" s="2386"/>
      <c r="F27" s="2386"/>
      <c r="G27" s="2386"/>
      <c r="H27" s="2386"/>
      <c r="I27" s="2386"/>
      <c r="J27" s="2386"/>
      <c r="K27" s="2386"/>
      <c r="L27" s="2386"/>
      <c r="M27" s="2386"/>
      <c r="N27" s="2386"/>
      <c r="O27" s="2386"/>
      <c r="P27" s="2386"/>
      <c r="Q27" s="2386"/>
      <c r="R27" s="2386"/>
      <c r="S27" s="2386"/>
      <c r="T27" s="2386"/>
      <c r="U27" s="2386"/>
      <c r="V27" s="2386"/>
      <c r="W27" s="2386"/>
      <c r="X27" s="2386"/>
      <c r="Y27" s="2386"/>
      <c r="Z27" s="2386"/>
      <c r="AA27" s="2386"/>
      <c r="AB27" s="2386"/>
      <c r="AC27" s="2386"/>
      <c r="AD27" s="2386"/>
      <c r="AE27" s="2386"/>
      <c r="AF27" s="2386"/>
      <c r="AG27" s="2386"/>
      <c r="AH27" s="2386"/>
      <c r="AI27" s="2386"/>
      <c r="AJ27" s="2386"/>
      <c r="AK27" s="2386"/>
      <c r="AL27" s="1305"/>
      <c r="AM27" s="38"/>
      <c r="AN27" s="1140"/>
    </row>
    <row r="28" spans="1:42" s="46" customFormat="1" ht="12.75" customHeight="1">
      <c r="A28" s="38"/>
      <c r="B28" s="2386"/>
      <c r="C28" s="2386"/>
      <c r="D28" s="2386"/>
      <c r="E28" s="2386"/>
      <c r="F28" s="2386"/>
      <c r="G28" s="2386"/>
      <c r="H28" s="2386"/>
      <c r="I28" s="2386"/>
      <c r="J28" s="2386"/>
      <c r="K28" s="2386"/>
      <c r="L28" s="2386"/>
      <c r="M28" s="2386"/>
      <c r="N28" s="2386"/>
      <c r="O28" s="2386"/>
      <c r="P28" s="2386"/>
      <c r="Q28" s="2386"/>
      <c r="R28" s="2386"/>
      <c r="S28" s="2386"/>
      <c r="T28" s="2386"/>
      <c r="U28" s="2386"/>
      <c r="V28" s="2386"/>
      <c r="W28" s="2386"/>
      <c r="X28" s="2386"/>
      <c r="Y28" s="2386"/>
      <c r="Z28" s="2386"/>
      <c r="AA28" s="2386"/>
      <c r="AB28" s="2386"/>
      <c r="AC28" s="2386"/>
      <c r="AD28" s="2386"/>
      <c r="AE28" s="2386"/>
      <c r="AF28" s="2386"/>
      <c r="AG28" s="2386"/>
      <c r="AH28" s="2386"/>
      <c r="AI28" s="2386"/>
      <c r="AJ28" s="2386"/>
      <c r="AK28" s="2386"/>
      <c r="AL28" s="1305"/>
      <c r="AM28" s="38"/>
      <c r="AN28" s="1140"/>
    </row>
    <row r="29" spans="1:42" s="46" customFormat="1" ht="31.75" customHeight="1">
      <c r="A29" s="38"/>
      <c r="B29" s="2386"/>
      <c r="C29" s="2386"/>
      <c r="D29" s="2386"/>
      <c r="E29" s="2386"/>
      <c r="F29" s="2386"/>
      <c r="G29" s="2386"/>
      <c r="H29" s="2386"/>
      <c r="I29" s="2386"/>
      <c r="J29" s="2386"/>
      <c r="K29" s="2386"/>
      <c r="L29" s="2386"/>
      <c r="M29" s="2386"/>
      <c r="N29" s="2386"/>
      <c r="O29" s="2386"/>
      <c r="P29" s="2386"/>
      <c r="Q29" s="2386"/>
      <c r="R29" s="2386"/>
      <c r="S29" s="2386"/>
      <c r="T29" s="2386"/>
      <c r="U29" s="2386"/>
      <c r="V29" s="2386"/>
      <c r="W29" s="2386"/>
      <c r="X29" s="2386"/>
      <c r="Y29" s="2386"/>
      <c r="Z29" s="2386"/>
      <c r="AA29" s="2386"/>
      <c r="AB29" s="2386"/>
      <c r="AC29" s="2386"/>
      <c r="AD29" s="2386"/>
      <c r="AE29" s="2386"/>
      <c r="AF29" s="2386"/>
      <c r="AG29" s="2386"/>
      <c r="AH29" s="2386"/>
      <c r="AI29" s="2386"/>
      <c r="AJ29" s="2386"/>
      <c r="AK29" s="2386"/>
      <c r="AL29" s="1305"/>
      <c r="AM29" s="38"/>
      <c r="AN29" s="1140"/>
      <c r="AO29" s="747" t="s">
        <v>86</v>
      </c>
      <c r="AP29" s="596"/>
    </row>
    <row r="30" spans="1:42" s="46" customFormat="1" ht="12.75" customHeight="1">
      <c r="A30" s="8"/>
      <c r="B30" s="2387"/>
      <c r="C30" s="2387"/>
      <c r="D30" s="2387"/>
      <c r="E30" s="2387"/>
      <c r="F30" s="2387"/>
      <c r="G30" s="2387"/>
      <c r="H30" s="2387"/>
      <c r="I30" s="2387"/>
      <c r="J30" s="2387"/>
      <c r="K30" s="2387"/>
      <c r="L30" s="2387"/>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5"/>
      <c r="AM30" s="74"/>
      <c r="AN30" s="1140"/>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9">
        <f>IF((AND(AND(OR(Application!D211="Nonprofit (qualified nonprofit organization)",Application!D211="Nonprofit (homeless assistance)",Application!D211="Special Needs/SRO"),Application!D214="Special Needs"),$AB$13="N/A")),VLOOKUP($B$16,$AO$14:$AP$16,2,FALSE),VLOOKUP($B$11,$AO$9:$AP$11,2,FALSE))</f>
        <v>7</v>
      </c>
      <c r="AK31" s="2519"/>
      <c r="AL31" s="1308"/>
      <c r="AM31" s="136"/>
      <c r="AN31" s="1140"/>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66</v>
      </c>
      <c r="AG33" s="2368"/>
      <c r="AH33" s="2368"/>
      <c r="AI33" s="2368"/>
      <c r="AJ33" s="2368"/>
      <c r="AK33" s="2368"/>
      <c r="AL33" s="2368"/>
      <c r="AM33" s="151"/>
      <c r="AN33" s="1140"/>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6"/>
      <c r="AP34" s="746"/>
    </row>
    <row r="35" spans="1:43" s="46" customFormat="1" ht="12.75" customHeight="1">
      <c r="A35" s="8"/>
      <c r="C35" s="2346" t="s">
        <v>1379</v>
      </c>
      <c r="D35" s="2346"/>
      <c r="E35" s="2346"/>
      <c r="F35" s="2346"/>
      <c r="G35" s="2346"/>
      <c r="H35" s="2346"/>
      <c r="I35" s="2346"/>
      <c r="J35" s="2346"/>
      <c r="K35" s="2346"/>
      <c r="L35" s="2346"/>
      <c r="M35" s="2346"/>
      <c r="N35" s="2346"/>
      <c r="O35" s="2346"/>
      <c r="P35" s="2346"/>
      <c r="Q35" s="2346"/>
      <c r="R35" s="2346"/>
      <c r="S35" s="2346"/>
      <c r="T35" s="2346"/>
      <c r="U35" s="2346"/>
      <c r="V35" s="2346"/>
      <c r="W35" s="2346"/>
      <c r="X35" s="2346"/>
      <c r="Y35" s="2346"/>
      <c r="Z35" s="2346"/>
      <c r="AA35" s="2346"/>
      <c r="AB35" s="2346"/>
      <c r="AC35" s="2346"/>
      <c r="AD35" s="2346"/>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1" t="s">
        <v>136</v>
      </c>
      <c r="AD37" s="2521"/>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6" t="s">
        <v>1239</v>
      </c>
      <c r="D40" s="2346"/>
      <c r="E40" s="2346"/>
      <c r="F40" s="2346"/>
      <c r="G40" s="2346"/>
      <c r="H40" s="2346"/>
      <c r="I40" s="2346"/>
      <c r="J40" s="2346"/>
      <c r="K40" s="2346"/>
      <c r="L40" s="2346"/>
      <c r="M40" s="2346"/>
      <c r="N40" s="2346"/>
      <c r="O40" s="2346"/>
      <c r="P40" s="2346"/>
      <c r="Q40" s="2346"/>
      <c r="R40" s="2346"/>
      <c r="S40" s="2346"/>
      <c r="T40" s="2346"/>
      <c r="U40" s="2346"/>
      <c r="V40" s="2346"/>
      <c r="W40" s="2346"/>
      <c r="X40" s="2346"/>
      <c r="Y40" s="2346"/>
      <c r="Z40" s="2346"/>
      <c r="AA40" s="2346"/>
      <c r="AB40" s="2346"/>
      <c r="AC40" s="2346"/>
      <c r="AD40" s="2346"/>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6" t="s">
        <v>2444</v>
      </c>
      <c r="D45" s="2346"/>
      <c r="E45" s="2346"/>
      <c r="F45" s="2346"/>
      <c r="G45" s="2346"/>
      <c r="H45" s="2346"/>
      <c r="I45" s="2346"/>
      <c r="J45" s="2346"/>
      <c r="K45" s="2346"/>
      <c r="L45" s="2346"/>
      <c r="M45" s="2346"/>
      <c r="N45" s="2346"/>
      <c r="O45" s="2346"/>
      <c r="P45" s="2346"/>
      <c r="Q45" s="2346"/>
      <c r="R45" s="2346"/>
      <c r="S45" s="2346"/>
      <c r="T45" s="2346"/>
      <c r="U45" s="2346"/>
      <c r="V45" s="2346"/>
      <c r="W45" s="2346"/>
      <c r="X45" s="2346"/>
      <c r="Y45" s="2346"/>
      <c r="Z45" s="2346"/>
      <c r="AA45" s="2346"/>
      <c r="AB45" s="2346"/>
      <c r="AC45" s="2346"/>
      <c r="AD45" s="2346"/>
      <c r="AM45" s="151"/>
      <c r="AN45" s="1139"/>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9">
        <f>IF((AND(AND(OR(Application!D211="Nonprofit (qualified nonprofit organization)",Application!D211="Nonprofit (homeless assistance)",Application!D211="Special Needs/SRO"),Application!D214="Special Needs"),$AC$37="N/A")),VLOOKUP($C$40,$AO$35:$AP$37,2,FALSE),VLOOKUP($C$35,$AO$29:$AP$32,2,FALSE))</f>
        <v>3</v>
      </c>
      <c r="AK47" s="2429"/>
      <c r="AL47" s="783"/>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8" t="s">
        <v>1644</v>
      </c>
      <c r="C49" s="2378"/>
      <c r="D49" s="2378"/>
      <c r="E49" s="2378"/>
      <c r="F49" s="2378"/>
      <c r="G49" s="2378"/>
      <c r="H49" s="2378"/>
      <c r="I49" s="2378"/>
      <c r="J49" s="2378"/>
      <c r="K49" s="2378"/>
      <c r="L49" s="2378"/>
      <c r="M49" s="2378"/>
      <c r="N49" s="2378"/>
      <c r="O49" s="2378"/>
      <c r="P49" s="2378"/>
      <c r="Q49" s="2378"/>
      <c r="R49" s="2378"/>
      <c r="S49" s="2378"/>
      <c r="T49" s="2378"/>
      <c r="U49" s="2378"/>
      <c r="V49" s="2378"/>
      <c r="W49" s="2378"/>
      <c r="X49" s="2378"/>
      <c r="Y49" s="2378"/>
      <c r="Z49" s="2378"/>
      <c r="AA49" s="2378"/>
      <c r="AB49" s="2378"/>
      <c r="AC49" s="2378"/>
      <c r="AD49" s="2378"/>
      <c r="AE49" s="2378"/>
      <c r="AF49" s="2378"/>
      <c r="AG49" s="2378"/>
      <c r="AH49" s="2378"/>
      <c r="AI49" s="2378"/>
      <c r="AJ49" s="2378"/>
      <c r="AK49" s="2378"/>
      <c r="AL49" s="1302"/>
      <c r="AM49" s="163"/>
      <c r="AN49" s="439"/>
      <c r="AP49" s="46" t="s">
        <v>623</v>
      </c>
      <c r="AQ49" s="46">
        <v>10</v>
      </c>
    </row>
    <row r="50" spans="1:43" s="46" customFormat="1" ht="12.75" customHeight="1">
      <c r="A50" s="164"/>
      <c r="B50" s="2378"/>
      <c r="C50" s="2378"/>
      <c r="D50" s="2378"/>
      <c r="E50" s="2378"/>
      <c r="F50" s="2378"/>
      <c r="G50" s="2378"/>
      <c r="H50" s="2378"/>
      <c r="I50" s="2378"/>
      <c r="J50" s="2378"/>
      <c r="K50" s="2378"/>
      <c r="L50" s="2378"/>
      <c r="M50" s="2378"/>
      <c r="N50" s="2378"/>
      <c r="O50" s="2378"/>
      <c r="P50" s="2378"/>
      <c r="Q50" s="2378"/>
      <c r="R50" s="2378"/>
      <c r="S50" s="2378"/>
      <c r="T50" s="2378"/>
      <c r="U50" s="2378"/>
      <c r="V50" s="2378"/>
      <c r="W50" s="2378"/>
      <c r="X50" s="2378"/>
      <c r="Y50" s="2378"/>
      <c r="Z50" s="2378"/>
      <c r="AA50" s="2378"/>
      <c r="AB50" s="2378"/>
      <c r="AC50" s="2378"/>
      <c r="AD50" s="2378"/>
      <c r="AE50" s="2378"/>
      <c r="AF50" s="2378"/>
      <c r="AG50" s="2378"/>
      <c r="AH50" s="2378"/>
      <c r="AI50" s="2378"/>
      <c r="AJ50" s="2378"/>
      <c r="AK50" s="2378"/>
      <c r="AL50" s="1302"/>
      <c r="AM50" s="163"/>
      <c r="AN50" s="439"/>
      <c r="AP50" s="46" t="s">
        <v>680</v>
      </c>
      <c r="AQ50" s="46">
        <v>10</v>
      </c>
    </row>
    <row r="51" spans="1:43" s="46" customFormat="1" ht="12.75" customHeight="1">
      <c r="A51" s="164"/>
      <c r="B51" s="2378"/>
      <c r="C51" s="2378"/>
      <c r="D51" s="2378"/>
      <c r="E51" s="2378"/>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2378"/>
      <c r="AB51" s="2378"/>
      <c r="AC51" s="2378"/>
      <c r="AD51" s="2378"/>
      <c r="AE51" s="2378"/>
      <c r="AF51" s="2378"/>
      <c r="AG51" s="2378"/>
      <c r="AH51" s="2378"/>
      <c r="AI51" s="2378"/>
      <c r="AJ51" s="2378"/>
      <c r="AK51" s="2378"/>
      <c r="AL51" s="1302"/>
      <c r="AM51" s="163"/>
      <c r="AN51" s="439"/>
    </row>
    <row r="52" spans="1:43" s="137" customFormat="1" ht="12.75" customHeight="1">
      <c r="A52" s="164"/>
      <c r="B52" s="2378"/>
      <c r="C52" s="2378"/>
      <c r="D52" s="2378"/>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2378"/>
      <c r="AB52" s="2378"/>
      <c r="AC52" s="2378"/>
      <c r="AD52" s="2378"/>
      <c r="AE52" s="2378"/>
      <c r="AF52" s="2378"/>
      <c r="AG52" s="2378"/>
      <c r="AH52" s="2378"/>
      <c r="AI52" s="2378"/>
      <c r="AJ52" s="2378"/>
      <c r="AK52" s="2378"/>
      <c r="AL52" s="1302"/>
      <c r="AM52" s="163"/>
      <c r="AN52" s="1139"/>
    </row>
    <row r="53" spans="1:43" s="46" customFormat="1" ht="12.75" customHeight="1">
      <c r="A53" s="164"/>
      <c r="B53" s="2378"/>
      <c r="C53" s="2378"/>
      <c r="D53" s="2378"/>
      <c r="E53" s="2378"/>
      <c r="F53" s="2378"/>
      <c r="G53" s="2378"/>
      <c r="H53" s="2378"/>
      <c r="I53" s="2378"/>
      <c r="J53" s="2378"/>
      <c r="K53" s="2378"/>
      <c r="L53" s="2378"/>
      <c r="M53" s="2378"/>
      <c r="N53" s="2378"/>
      <c r="O53" s="2378"/>
      <c r="P53" s="2378"/>
      <c r="Q53" s="2378"/>
      <c r="R53" s="2378"/>
      <c r="S53" s="2378"/>
      <c r="T53" s="2378"/>
      <c r="U53" s="2378"/>
      <c r="V53" s="2378"/>
      <c r="W53" s="2378"/>
      <c r="X53" s="2378"/>
      <c r="Y53" s="2378"/>
      <c r="Z53" s="2378"/>
      <c r="AA53" s="2378"/>
      <c r="AB53" s="2378"/>
      <c r="AC53" s="2378"/>
      <c r="AD53" s="2378"/>
      <c r="AE53" s="2378"/>
      <c r="AF53" s="2378"/>
      <c r="AG53" s="2378"/>
      <c r="AH53" s="2378"/>
      <c r="AI53" s="2378"/>
      <c r="AJ53" s="2378"/>
      <c r="AK53" s="2378"/>
      <c r="AL53" s="1302"/>
      <c r="AM53" s="163"/>
      <c r="AN53" s="439"/>
    </row>
    <row r="54" spans="1:43" s="46" customFormat="1" ht="12.75" customHeight="1">
      <c r="A54" s="164"/>
      <c r="B54" s="2378"/>
      <c r="C54" s="2378"/>
      <c r="D54" s="2378"/>
      <c r="E54" s="2378"/>
      <c r="F54" s="2378"/>
      <c r="G54" s="2378"/>
      <c r="H54" s="2378"/>
      <c r="I54" s="2378"/>
      <c r="J54" s="2378"/>
      <c r="K54" s="2378"/>
      <c r="L54" s="2378"/>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1302"/>
      <c r="AM54" s="163"/>
      <c r="AN54" s="439"/>
    </row>
    <row r="55" spans="1:43" s="46" customFormat="1" ht="33.5" customHeight="1">
      <c r="A55" s="164"/>
      <c r="B55" s="2378"/>
      <c r="C55" s="2378"/>
      <c r="D55" s="2378"/>
      <c r="E55" s="2378"/>
      <c r="F55" s="2378"/>
      <c r="G55" s="2378"/>
      <c r="H55" s="2378"/>
      <c r="I55" s="2378"/>
      <c r="J55" s="2378"/>
      <c r="K55" s="2378"/>
      <c r="L55" s="2378"/>
      <c r="M55" s="2378"/>
      <c r="N55" s="2378"/>
      <c r="O55" s="2378"/>
      <c r="P55" s="2378"/>
      <c r="Q55" s="2378"/>
      <c r="R55" s="2378"/>
      <c r="S55" s="2378"/>
      <c r="T55" s="2378"/>
      <c r="U55" s="2378"/>
      <c r="V55" s="2378"/>
      <c r="W55" s="2378"/>
      <c r="X55" s="2378"/>
      <c r="Y55" s="2378"/>
      <c r="Z55" s="2378"/>
      <c r="AA55" s="2378"/>
      <c r="AB55" s="2378"/>
      <c r="AC55" s="2378"/>
      <c r="AD55" s="2378"/>
      <c r="AE55" s="2378"/>
      <c r="AF55" s="2378"/>
      <c r="AG55" s="2378"/>
      <c r="AH55" s="2378"/>
      <c r="AI55" s="2378"/>
      <c r="AJ55" s="2378"/>
      <c r="AK55" s="2378"/>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8" t="s">
        <v>1645</v>
      </c>
      <c r="C57" s="2378"/>
      <c r="D57" s="2378"/>
      <c r="E57" s="2378"/>
      <c r="F57" s="2378"/>
      <c r="G57" s="2378"/>
      <c r="H57" s="2378"/>
      <c r="I57" s="2378"/>
      <c r="J57" s="2378"/>
      <c r="K57" s="2378"/>
      <c r="L57" s="2378"/>
      <c r="M57" s="2378"/>
      <c r="N57" s="2378"/>
      <c r="O57" s="2378"/>
      <c r="P57" s="2378"/>
      <c r="Q57" s="2378"/>
      <c r="R57" s="2378"/>
      <c r="S57" s="2378"/>
      <c r="T57" s="2378"/>
      <c r="U57" s="2378"/>
      <c r="V57" s="2378"/>
      <c r="W57" s="2378"/>
      <c r="X57" s="2378"/>
      <c r="Y57" s="2378"/>
      <c r="Z57" s="2378"/>
      <c r="AA57" s="2378"/>
      <c r="AB57" s="2378"/>
      <c r="AC57" s="2378"/>
      <c r="AD57" s="2378"/>
      <c r="AE57" s="2378"/>
      <c r="AF57" s="2378"/>
      <c r="AG57" s="2378"/>
      <c r="AH57" s="2378"/>
      <c r="AI57" s="2378"/>
      <c r="AJ57" s="2378"/>
      <c r="AK57" s="2378"/>
      <c r="AL57" s="1302"/>
      <c r="AM57" s="163"/>
      <c r="AN57" s="439"/>
    </row>
    <row r="58" spans="1:43" s="46" customFormat="1" ht="12.75" customHeight="1">
      <c r="A58" s="164"/>
      <c r="B58" s="2378"/>
      <c r="C58" s="2378"/>
      <c r="D58" s="2378"/>
      <c r="E58" s="2378"/>
      <c r="F58" s="2378"/>
      <c r="G58" s="2378"/>
      <c r="H58" s="2378"/>
      <c r="I58" s="2378"/>
      <c r="J58" s="2378"/>
      <c r="K58" s="2378"/>
      <c r="L58" s="2378"/>
      <c r="M58" s="2378"/>
      <c r="N58" s="2378"/>
      <c r="O58" s="2378"/>
      <c r="P58" s="2378"/>
      <c r="Q58" s="2378"/>
      <c r="R58" s="2378"/>
      <c r="S58" s="2378"/>
      <c r="T58" s="2378"/>
      <c r="U58" s="2378"/>
      <c r="V58" s="2378"/>
      <c r="W58" s="2378"/>
      <c r="X58" s="2378"/>
      <c r="Y58" s="2378"/>
      <c r="Z58" s="2378"/>
      <c r="AA58" s="2378"/>
      <c r="AB58" s="2378"/>
      <c r="AC58" s="2378"/>
      <c r="AD58" s="2378"/>
      <c r="AE58" s="2378"/>
      <c r="AF58" s="2378"/>
      <c r="AG58" s="2378"/>
      <c r="AH58" s="2378"/>
      <c r="AI58" s="2378"/>
      <c r="AJ58" s="2378"/>
      <c r="AK58" s="2378"/>
      <c r="AL58" s="1302"/>
      <c r="AM58" s="163"/>
      <c r="AN58" s="439"/>
    </row>
    <row r="59" spans="1:43" s="46" customFormat="1" ht="12.75" customHeight="1">
      <c r="A59" s="164"/>
      <c r="B59" s="2378"/>
      <c r="C59" s="2378"/>
      <c r="D59" s="2378"/>
      <c r="E59" s="2378"/>
      <c r="F59" s="2378"/>
      <c r="G59" s="2378"/>
      <c r="H59" s="2378"/>
      <c r="I59" s="2378"/>
      <c r="J59" s="2378"/>
      <c r="K59" s="2378"/>
      <c r="L59" s="2378"/>
      <c r="M59" s="2378"/>
      <c r="N59" s="2378"/>
      <c r="O59" s="2378"/>
      <c r="P59" s="2378"/>
      <c r="Q59" s="2378"/>
      <c r="R59" s="2378"/>
      <c r="S59" s="2378"/>
      <c r="T59" s="2378"/>
      <c r="U59" s="2378"/>
      <c r="V59" s="2378"/>
      <c r="W59" s="2378"/>
      <c r="X59" s="2378"/>
      <c r="Y59" s="2378"/>
      <c r="Z59" s="2378"/>
      <c r="AA59" s="2378"/>
      <c r="AB59" s="2378"/>
      <c r="AC59" s="2378"/>
      <c r="AD59" s="2378"/>
      <c r="AE59" s="2378"/>
      <c r="AF59" s="2378"/>
      <c r="AG59" s="2378"/>
      <c r="AH59" s="2378"/>
      <c r="AI59" s="2378"/>
      <c r="AJ59" s="2378"/>
      <c r="AK59" s="2378"/>
      <c r="AL59" s="1302"/>
      <c r="AM59" s="163"/>
      <c r="AN59" s="439"/>
    </row>
    <row r="60" spans="1:43" s="46" customFormat="1" ht="17.75" customHeight="1">
      <c r="A60" s="164"/>
      <c r="B60" s="2378"/>
      <c r="C60" s="2378"/>
      <c r="D60" s="2378"/>
      <c r="E60" s="2378"/>
      <c r="F60" s="2378"/>
      <c r="G60" s="2378"/>
      <c r="H60" s="2378"/>
      <c r="I60" s="2378"/>
      <c r="J60" s="2378"/>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8" t="s">
        <v>1646</v>
      </c>
      <c r="C62" s="2378"/>
      <c r="D62" s="2378"/>
      <c r="E62" s="2378"/>
      <c r="F62" s="2378"/>
      <c r="G62" s="2378"/>
      <c r="H62" s="2378"/>
      <c r="I62" s="2378"/>
      <c r="J62" s="2378"/>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1302"/>
      <c r="AM62" s="163"/>
      <c r="AN62" s="439"/>
    </row>
    <row r="63" spans="1:43" s="46" customFormat="1" ht="12.75" customHeight="1">
      <c r="B63" s="2378"/>
      <c r="C63" s="2378"/>
      <c r="D63" s="2378"/>
      <c r="E63" s="2378"/>
      <c r="F63" s="2378"/>
      <c r="G63" s="2378"/>
      <c r="H63" s="2378"/>
      <c r="I63" s="2378"/>
      <c r="J63" s="2378"/>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1302"/>
      <c r="AM63" s="163"/>
      <c r="AN63" s="439"/>
    </row>
    <row r="64" spans="1:43" s="46" customFormat="1" ht="23" customHeight="1">
      <c r="A64" s="675"/>
      <c r="B64" s="2378"/>
      <c r="C64" s="2378"/>
      <c r="D64" s="2378"/>
      <c r="E64" s="2378"/>
      <c r="F64" s="2378"/>
      <c r="G64" s="2378"/>
      <c r="H64" s="2378"/>
      <c r="I64" s="2378"/>
      <c r="J64" s="2378"/>
      <c r="K64" s="2378"/>
      <c r="L64" s="2378"/>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130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1241</v>
      </c>
      <c r="AK66" s="2388">
        <f>$AJ$31+$AJ$47</f>
        <v>10</v>
      </c>
      <c r="AL66" s="2389"/>
      <c r="AM66" s="239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20" t="s">
        <v>408</v>
      </c>
      <c r="AF69" s="2420"/>
      <c r="AG69" s="2420"/>
      <c r="AH69" s="2420"/>
      <c r="AI69" s="2420"/>
      <c r="AJ69" s="2420"/>
      <c r="AK69" s="2420"/>
      <c r="AL69" s="130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46" t="s">
        <v>730</v>
      </c>
      <c r="C71" s="2346"/>
      <c r="D71" s="2346"/>
      <c r="E71" s="2346"/>
      <c r="F71" s="2346"/>
      <c r="G71" s="2346"/>
      <c r="H71" s="2346"/>
      <c r="I71" s="2346"/>
      <c r="J71" s="2346"/>
      <c r="K71" s="2346"/>
      <c r="P71" s="153"/>
      <c r="Q71" s="153"/>
      <c r="R71" s="153"/>
      <c r="S71" s="153"/>
      <c r="T71" s="153"/>
      <c r="U71" s="153"/>
      <c r="V71" s="153"/>
      <c r="W71" s="153"/>
      <c r="X71" s="153"/>
      <c r="AF71" s="2368" t="s">
        <v>1041</v>
      </c>
      <c r="AG71" s="2368"/>
      <c r="AH71" s="2368"/>
      <c r="AI71" s="2368"/>
      <c r="AJ71" s="2368"/>
      <c r="AK71" s="2368"/>
      <c r="AL71" s="2368"/>
      <c r="AN71" s="439"/>
      <c r="AP71" s="46" t="s">
        <v>136</v>
      </c>
    </row>
    <row r="72" spans="1:42" s="46" customFormat="1" ht="12.75" customHeight="1">
      <c r="B72" s="2520" t="s">
        <v>1457</v>
      </c>
      <c r="C72" s="2520"/>
      <c r="D72" s="2520"/>
      <c r="E72" s="2520"/>
      <c r="F72" s="2520"/>
      <c r="G72" s="2520"/>
      <c r="H72" s="2520"/>
      <c r="I72" s="2520"/>
      <c r="J72" s="2520"/>
      <c r="K72" s="2520"/>
      <c r="L72" s="2520"/>
      <c r="M72" s="2520"/>
      <c r="N72" s="2520"/>
      <c r="O72" s="2520"/>
      <c r="P72" s="2520"/>
      <c r="Q72" s="2520"/>
      <c r="R72" s="2520"/>
      <c r="S72" s="2520"/>
      <c r="T72" s="2346" t="s">
        <v>136</v>
      </c>
      <c r="U72" s="2346"/>
      <c r="V72" s="2346"/>
      <c r="W72" s="2346"/>
      <c r="X72" s="2346"/>
      <c r="Y72" s="2346"/>
      <c r="Z72" s="2346"/>
      <c r="AA72" s="2346"/>
      <c r="AB72" s="2346"/>
      <c r="AC72" s="2346"/>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647</v>
      </c>
      <c r="AK73" s="2365">
        <f>VLOOKUP($B$71,$AP$45:$AR$50,2,FALSE)</f>
        <v>10</v>
      </c>
      <c r="AL73" s="2366"/>
      <c r="AM73" s="2366"/>
      <c r="AN73" s="1327"/>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0" t="s">
        <v>1080</v>
      </c>
      <c r="AF78" s="2420"/>
      <c r="AG78" s="2420"/>
      <c r="AH78" s="2420"/>
      <c r="AI78" s="2420"/>
      <c r="AJ78" s="2420"/>
      <c r="AK78" s="2420"/>
      <c r="AL78" s="130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8" t="s">
        <v>2078</v>
      </c>
      <c r="C80" s="2378"/>
      <c r="D80" s="2378"/>
      <c r="E80" s="2378"/>
      <c r="F80" s="2378"/>
      <c r="G80" s="2378"/>
      <c r="H80" s="2378"/>
      <c r="I80" s="2378"/>
      <c r="J80" s="2378"/>
      <c r="K80" s="2378"/>
      <c r="L80" s="2378"/>
      <c r="M80" s="2378"/>
      <c r="N80" s="2378"/>
      <c r="O80" s="2378"/>
      <c r="P80" s="2378"/>
      <c r="Q80" s="2378"/>
      <c r="R80" s="2378"/>
      <c r="S80" s="2378"/>
      <c r="T80" s="2378"/>
      <c r="U80" s="2378"/>
      <c r="V80" s="2378"/>
      <c r="W80" s="2378"/>
      <c r="X80" s="2378"/>
      <c r="Y80" s="2378"/>
      <c r="Z80" s="2378"/>
      <c r="AA80" s="2378"/>
      <c r="AB80" s="2378"/>
      <c r="AC80" s="2378"/>
      <c r="AD80" s="2378"/>
      <c r="AE80" s="2378"/>
      <c r="AF80" s="2378"/>
      <c r="AG80" s="2378"/>
      <c r="AH80" s="2378"/>
      <c r="AI80" s="2378"/>
      <c r="AJ80" s="2378"/>
      <c r="AK80" s="2378"/>
      <c r="AL80" s="1302"/>
      <c r="AM80" s="163"/>
      <c r="AN80" s="439"/>
    </row>
    <row r="81" spans="1:42" s="46" customFormat="1" ht="12.75" customHeight="1">
      <c r="A81" s="163"/>
      <c r="B81" s="2378"/>
      <c r="C81" s="2378"/>
      <c r="D81" s="2378"/>
      <c r="E81" s="2378"/>
      <c r="F81" s="2378"/>
      <c r="G81" s="2378"/>
      <c r="H81" s="2378"/>
      <c r="I81" s="2378"/>
      <c r="J81" s="2378"/>
      <c r="K81" s="2378"/>
      <c r="L81" s="2378"/>
      <c r="M81" s="2378"/>
      <c r="N81" s="2378"/>
      <c r="O81" s="2378"/>
      <c r="P81" s="2378"/>
      <c r="Q81" s="2378"/>
      <c r="R81" s="2378"/>
      <c r="S81" s="2378"/>
      <c r="T81" s="2378"/>
      <c r="U81" s="2378"/>
      <c r="V81" s="2378"/>
      <c r="W81" s="2378"/>
      <c r="X81" s="2378"/>
      <c r="Y81" s="2378"/>
      <c r="Z81" s="2378"/>
      <c r="AA81" s="2378"/>
      <c r="AB81" s="2378"/>
      <c r="AC81" s="2378"/>
      <c r="AD81" s="2378"/>
      <c r="AE81" s="2378"/>
      <c r="AF81" s="2378"/>
      <c r="AG81" s="2378"/>
      <c r="AH81" s="2378"/>
      <c r="AI81" s="2378"/>
      <c r="AJ81" s="2378"/>
      <c r="AK81" s="2378"/>
      <c r="AL81" s="1302"/>
      <c r="AM81" s="163"/>
      <c r="AN81" s="439"/>
    </row>
    <row r="82" spans="1:42" s="46" customFormat="1" ht="12.75" customHeight="1">
      <c r="A82" s="163"/>
      <c r="B82" s="2378"/>
      <c r="C82" s="2378"/>
      <c r="D82" s="2378"/>
      <c r="E82" s="2378"/>
      <c r="F82" s="2378"/>
      <c r="G82" s="2378"/>
      <c r="H82" s="2378"/>
      <c r="I82" s="2378"/>
      <c r="J82" s="2378"/>
      <c r="K82" s="2378"/>
      <c r="L82" s="2378"/>
      <c r="M82" s="2378"/>
      <c r="N82" s="2378"/>
      <c r="O82" s="2378"/>
      <c r="P82" s="2378"/>
      <c r="Q82" s="2378"/>
      <c r="R82" s="2378"/>
      <c r="S82" s="2378"/>
      <c r="T82" s="2378"/>
      <c r="U82" s="2378"/>
      <c r="V82" s="2378"/>
      <c r="W82" s="2378"/>
      <c r="X82" s="2378"/>
      <c r="Y82" s="2378"/>
      <c r="Z82" s="2378"/>
      <c r="AA82" s="2378"/>
      <c r="AB82" s="2378"/>
      <c r="AC82" s="2378"/>
      <c r="AD82" s="2378"/>
      <c r="AE82" s="2378"/>
      <c r="AF82" s="2378"/>
      <c r="AG82" s="2378"/>
      <c r="AH82" s="2378"/>
      <c r="AI82" s="2378"/>
      <c r="AJ82" s="2378"/>
      <c r="AK82" s="2378"/>
      <c r="AL82" s="1302"/>
      <c r="AM82" s="163"/>
      <c r="AN82" s="439"/>
    </row>
    <row r="83" spans="1:42" s="46" customFormat="1" ht="12.75" customHeight="1">
      <c r="A83" s="163"/>
      <c r="B83" s="2378"/>
      <c r="C83" s="2378"/>
      <c r="D83" s="2378"/>
      <c r="E83" s="2378"/>
      <c r="F83" s="2378"/>
      <c r="G83" s="2378"/>
      <c r="H83" s="2378"/>
      <c r="I83" s="2378"/>
      <c r="J83" s="2378"/>
      <c r="K83" s="2378"/>
      <c r="L83" s="2378"/>
      <c r="M83" s="2378"/>
      <c r="N83" s="2378"/>
      <c r="O83" s="2378"/>
      <c r="P83" s="2378"/>
      <c r="Q83" s="2378"/>
      <c r="R83" s="2378"/>
      <c r="S83" s="2378"/>
      <c r="T83" s="2378"/>
      <c r="U83" s="2378"/>
      <c r="V83" s="2378"/>
      <c r="W83" s="2378"/>
      <c r="X83" s="2378"/>
      <c r="Y83" s="2378"/>
      <c r="Z83" s="2378"/>
      <c r="AA83" s="2378"/>
      <c r="AB83" s="2378"/>
      <c r="AC83" s="2378"/>
      <c r="AD83" s="2378"/>
      <c r="AE83" s="2378"/>
      <c r="AF83" s="2378"/>
      <c r="AG83" s="2378"/>
      <c r="AH83" s="2378"/>
      <c r="AI83" s="2378"/>
      <c r="AJ83" s="2378"/>
      <c r="AK83" s="2378"/>
      <c r="AL83" s="1302"/>
      <c r="AM83" s="163"/>
      <c r="AN83" s="439"/>
    </row>
    <row r="84" spans="1:42" s="46" customFormat="1" ht="12.75" customHeight="1">
      <c r="A84" s="163"/>
      <c r="B84" s="2378"/>
      <c r="C84" s="2378"/>
      <c r="D84" s="2378"/>
      <c r="E84" s="2378"/>
      <c r="F84" s="2378"/>
      <c r="G84" s="2378"/>
      <c r="H84" s="2378"/>
      <c r="I84" s="2378"/>
      <c r="J84" s="2378"/>
      <c r="K84" s="2378"/>
      <c r="L84" s="2378"/>
      <c r="M84" s="2378"/>
      <c r="N84" s="2378"/>
      <c r="O84" s="2378"/>
      <c r="P84" s="2378"/>
      <c r="Q84" s="2378"/>
      <c r="R84" s="2378"/>
      <c r="S84" s="2378"/>
      <c r="T84" s="2378"/>
      <c r="U84" s="2378"/>
      <c r="V84" s="2378"/>
      <c r="W84" s="2378"/>
      <c r="X84" s="2378"/>
      <c r="Y84" s="2378"/>
      <c r="Z84" s="2378"/>
      <c r="AA84" s="2378"/>
      <c r="AB84" s="2378"/>
      <c r="AC84" s="2378"/>
      <c r="AD84" s="2378"/>
      <c r="AE84" s="2378"/>
      <c r="AF84" s="2378"/>
      <c r="AG84" s="2378"/>
      <c r="AH84" s="2378"/>
      <c r="AI84" s="2378"/>
      <c r="AJ84" s="2378"/>
      <c r="AK84" s="2378"/>
      <c r="AL84" s="1302"/>
      <c r="AM84" s="163"/>
      <c r="AN84" s="439"/>
    </row>
    <row r="85" spans="1:42" s="46" customFormat="1" ht="12.75" customHeight="1">
      <c r="A85" s="163"/>
      <c r="B85" s="2378"/>
      <c r="C85" s="2378"/>
      <c r="D85" s="2378"/>
      <c r="E85" s="2378"/>
      <c r="F85" s="2378"/>
      <c r="G85" s="2378"/>
      <c r="H85" s="2378"/>
      <c r="I85" s="2378"/>
      <c r="J85" s="2378"/>
      <c r="K85" s="2378"/>
      <c r="L85" s="2378"/>
      <c r="M85" s="2378"/>
      <c r="N85" s="2378"/>
      <c r="O85" s="2378"/>
      <c r="P85" s="2378"/>
      <c r="Q85" s="2378"/>
      <c r="R85" s="2378"/>
      <c r="S85" s="2378"/>
      <c r="T85" s="2378"/>
      <c r="U85" s="2378"/>
      <c r="V85" s="2378"/>
      <c r="W85" s="2378"/>
      <c r="X85" s="2378"/>
      <c r="Y85" s="2378"/>
      <c r="Z85" s="2378"/>
      <c r="AA85" s="2378"/>
      <c r="AB85" s="2378"/>
      <c r="AC85" s="2378"/>
      <c r="AD85" s="2378"/>
      <c r="AE85" s="2378"/>
      <c r="AF85" s="2378"/>
      <c r="AG85" s="2378"/>
      <c r="AH85" s="2378"/>
      <c r="AI85" s="2378"/>
      <c r="AJ85" s="2378"/>
      <c r="AK85" s="2378"/>
      <c r="AL85" s="1302"/>
      <c r="AM85" s="163"/>
      <c r="AN85" s="439"/>
    </row>
    <row r="86" spans="1:42" ht="12.75" customHeight="1">
      <c r="A86" s="163"/>
      <c r="B86" s="2378"/>
      <c r="C86" s="2378"/>
      <c r="D86" s="2378"/>
      <c r="E86" s="2378"/>
      <c r="F86" s="2378"/>
      <c r="G86" s="2378"/>
      <c r="H86" s="2378"/>
      <c r="I86" s="2378"/>
      <c r="J86" s="2378"/>
      <c r="K86" s="2378"/>
      <c r="L86" s="2378"/>
      <c r="M86" s="2378"/>
      <c r="N86" s="2378"/>
      <c r="O86" s="2378"/>
      <c r="P86" s="2378"/>
      <c r="Q86" s="2378"/>
      <c r="R86" s="2378"/>
      <c r="S86" s="2378"/>
      <c r="T86" s="2378"/>
      <c r="U86" s="2378"/>
      <c r="V86" s="2378"/>
      <c r="W86" s="2378"/>
      <c r="X86" s="2378"/>
      <c r="Y86" s="2378"/>
      <c r="Z86" s="2378"/>
      <c r="AA86" s="2378"/>
      <c r="AB86" s="2378"/>
      <c r="AC86" s="2378"/>
      <c r="AD86" s="2378"/>
      <c r="AE86" s="2378"/>
      <c r="AF86" s="2378"/>
      <c r="AG86" s="2378"/>
      <c r="AH86" s="2378"/>
      <c r="AI86" s="2378"/>
      <c r="AJ86" s="2378"/>
      <c r="AK86" s="2378"/>
      <c r="AL86" s="1302"/>
      <c r="AM86" s="163"/>
    </row>
    <row r="87" spans="1:42" s="46" customFormat="1" ht="12.75" customHeight="1">
      <c r="A87" s="28"/>
      <c r="B87" s="2378"/>
      <c r="C87" s="2378"/>
      <c r="D87" s="2378"/>
      <c r="E87" s="2378"/>
      <c r="F87" s="2378"/>
      <c r="G87" s="2378"/>
      <c r="H87" s="2378"/>
      <c r="I87" s="2378"/>
      <c r="J87" s="2378"/>
      <c r="K87" s="2378"/>
      <c r="L87" s="2378"/>
      <c r="M87" s="2378"/>
      <c r="N87" s="2378"/>
      <c r="O87" s="2378"/>
      <c r="P87" s="2378"/>
      <c r="Q87" s="2378"/>
      <c r="R87" s="2378"/>
      <c r="S87" s="2378"/>
      <c r="T87" s="2378"/>
      <c r="U87" s="2378"/>
      <c r="V87" s="2378"/>
      <c r="W87" s="2378"/>
      <c r="X87" s="2378"/>
      <c r="Y87" s="2378"/>
      <c r="Z87" s="2378"/>
      <c r="AA87" s="2378"/>
      <c r="AB87" s="2378"/>
      <c r="AC87" s="2378"/>
      <c r="AD87" s="2378"/>
      <c r="AE87" s="2378"/>
      <c r="AF87" s="2378"/>
      <c r="AG87" s="2378"/>
      <c r="AH87" s="2378"/>
      <c r="AI87" s="2378"/>
      <c r="AJ87" s="2378"/>
      <c r="AK87" s="2378"/>
      <c r="AL87" s="1302"/>
      <c r="AM87" s="153"/>
      <c r="AN87" s="439"/>
    </row>
    <row r="88" spans="1:42" s="46" customFormat="1" ht="12.75" customHeight="1">
      <c r="A88" s="28"/>
      <c r="B88" s="2378"/>
      <c r="C88" s="2378"/>
      <c r="D88" s="2378"/>
      <c r="E88" s="2378"/>
      <c r="F88" s="2378"/>
      <c r="G88" s="2378"/>
      <c r="H88" s="2378"/>
      <c r="I88" s="2378"/>
      <c r="J88" s="2378"/>
      <c r="K88" s="2378"/>
      <c r="L88" s="2378"/>
      <c r="M88" s="2378"/>
      <c r="N88" s="2378"/>
      <c r="O88" s="2378"/>
      <c r="P88" s="2378"/>
      <c r="Q88" s="2378"/>
      <c r="R88" s="2378"/>
      <c r="S88" s="2378"/>
      <c r="T88" s="2378"/>
      <c r="U88" s="2378"/>
      <c r="V88" s="2378"/>
      <c r="W88" s="2378"/>
      <c r="X88" s="2378"/>
      <c r="Y88" s="2378"/>
      <c r="Z88" s="2378"/>
      <c r="AA88" s="2378"/>
      <c r="AB88" s="2378"/>
      <c r="AC88" s="2378"/>
      <c r="AD88" s="2378"/>
      <c r="AE88" s="2378"/>
      <c r="AF88" s="2378"/>
      <c r="AG88" s="2378"/>
      <c r="AH88" s="2378"/>
      <c r="AI88" s="2378"/>
      <c r="AJ88" s="2378"/>
      <c r="AK88" s="2378"/>
      <c r="AL88" s="1302"/>
      <c r="AM88" s="153"/>
      <c r="AN88" s="439"/>
    </row>
    <row r="89" spans="1:42" s="46" customFormat="1" ht="14.5" customHeight="1">
      <c r="A89" s="28"/>
      <c r="B89" s="2378"/>
      <c r="C89" s="2378"/>
      <c r="D89" s="2378"/>
      <c r="E89" s="2378"/>
      <c r="F89" s="2378"/>
      <c r="G89" s="2378"/>
      <c r="H89" s="2378"/>
      <c r="I89" s="2378"/>
      <c r="J89" s="2378"/>
      <c r="K89" s="2378"/>
      <c r="L89" s="2378"/>
      <c r="M89" s="2378"/>
      <c r="N89" s="2378"/>
      <c r="O89" s="2378"/>
      <c r="P89" s="2378"/>
      <c r="Q89" s="2378"/>
      <c r="R89" s="2378"/>
      <c r="S89" s="2378"/>
      <c r="T89" s="2378"/>
      <c r="U89" s="2378"/>
      <c r="V89" s="2378"/>
      <c r="W89" s="2378"/>
      <c r="X89" s="2378"/>
      <c r="Y89" s="2378"/>
      <c r="Z89" s="2378"/>
      <c r="AA89" s="2378"/>
      <c r="AB89" s="2378"/>
      <c r="AC89" s="2378"/>
      <c r="AD89" s="2378"/>
      <c r="AE89" s="2378"/>
      <c r="AF89" s="2378"/>
      <c r="AG89" s="2378"/>
      <c r="AH89" s="2378"/>
      <c r="AI89" s="2378"/>
      <c r="AJ89" s="2378"/>
      <c r="AK89" s="2378"/>
      <c r="AL89" s="1302"/>
      <c r="AM89" s="153"/>
      <c r="AN89" s="439"/>
    </row>
    <row r="90" spans="1:42" s="46" customFormat="1" ht="12.75" customHeight="1">
      <c r="A90" s="28"/>
      <c r="B90" s="2378"/>
      <c r="C90" s="2378"/>
      <c r="D90" s="2378"/>
      <c r="E90" s="2378"/>
      <c r="F90" s="2378"/>
      <c r="G90" s="2378"/>
      <c r="H90" s="2378"/>
      <c r="I90" s="2378"/>
      <c r="J90" s="2378"/>
      <c r="K90" s="2378"/>
      <c r="L90" s="2378"/>
      <c r="M90" s="2378"/>
      <c r="N90" s="2378"/>
      <c r="O90" s="2378"/>
      <c r="P90" s="2378"/>
      <c r="Q90" s="2378"/>
      <c r="R90" s="2378"/>
      <c r="S90" s="2378"/>
      <c r="T90" s="2378"/>
      <c r="U90" s="2378"/>
      <c r="V90" s="2378"/>
      <c r="W90" s="2378"/>
      <c r="X90" s="2378"/>
      <c r="Y90" s="2378"/>
      <c r="Z90" s="2378"/>
      <c r="AA90" s="2378"/>
      <c r="AB90" s="2378"/>
      <c r="AC90" s="2378"/>
      <c r="AD90" s="2378"/>
      <c r="AE90" s="2378"/>
      <c r="AF90" s="2378"/>
      <c r="AG90" s="2378"/>
      <c r="AH90" s="2378"/>
      <c r="AI90" s="2378"/>
      <c r="AJ90" s="2378"/>
      <c r="AK90" s="2378"/>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936</v>
      </c>
      <c r="AG95" s="2368"/>
      <c r="AH95" s="2368"/>
      <c r="AI95" s="2368"/>
      <c r="AJ95" s="2368"/>
      <c r="AK95" s="2368"/>
      <c r="AL95" s="2368"/>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63</v>
      </c>
      <c r="AG100" s="2368"/>
      <c r="AH100" s="2368"/>
      <c r="AI100" s="2368"/>
      <c r="AJ100" s="2368"/>
      <c r="AK100" s="2368"/>
      <c r="AL100" s="2368"/>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64</v>
      </c>
      <c r="AG105" s="2368"/>
      <c r="AH105" s="2368"/>
      <c r="AI105" s="2368"/>
      <c r="AJ105" s="2368"/>
      <c r="AK105" s="2368"/>
      <c r="AL105" s="2368"/>
      <c r="AM105" s="153"/>
      <c r="AN105" s="439"/>
      <c r="AO105" s="144" t="s">
        <v>797</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65</v>
      </c>
      <c r="AG110" s="2368"/>
      <c r="AH110" s="2368"/>
      <c r="AI110" s="2368"/>
      <c r="AJ110" s="2368"/>
      <c r="AK110" s="2368"/>
      <c r="AL110" s="2368"/>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66</v>
      </c>
      <c r="AG114" s="2368"/>
      <c r="AH114" s="2368"/>
      <c r="AI114" s="2368"/>
      <c r="AJ114" s="2368"/>
      <c r="AK114" s="2368"/>
      <c r="AL114" s="2368"/>
      <c r="AM114" s="153"/>
      <c r="AN114" s="1139"/>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7" t="s">
        <v>640</v>
      </c>
      <c r="I117" s="2377"/>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163</v>
      </c>
      <c r="F123" s="190"/>
      <c r="G123" s="190"/>
      <c r="H123" s="2524" t="s">
        <v>136</v>
      </c>
      <c r="I123" s="2524"/>
      <c r="J123" s="2524"/>
      <c r="K123" s="2524"/>
      <c r="L123" s="2524"/>
      <c r="M123" s="2524"/>
      <c r="N123" s="2524"/>
      <c r="O123" s="2524"/>
      <c r="P123" s="2524"/>
      <c r="Q123" s="2524"/>
      <c r="R123" s="2524"/>
      <c r="S123" s="2524"/>
      <c r="T123" s="2524"/>
      <c r="U123" s="2524"/>
      <c r="V123" s="2524"/>
      <c r="W123" s="2524"/>
      <c r="X123" s="2524"/>
      <c r="Y123" s="2524"/>
      <c r="Z123" s="2524"/>
      <c r="AA123" s="2524"/>
      <c r="AB123" s="2524"/>
      <c r="AC123" s="2524"/>
      <c r="AD123" s="2524"/>
      <c r="AE123" s="2524"/>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892" t="s">
        <v>136</v>
      </c>
      <c r="C125" s="1892"/>
      <c r="D125" s="436"/>
      <c r="E125" s="2378" t="s">
        <v>1998</v>
      </c>
      <c r="F125" s="2378"/>
      <c r="G125" s="2378"/>
      <c r="H125" s="2378"/>
      <c r="I125" s="2378"/>
      <c r="J125" s="2378"/>
      <c r="K125" s="2378"/>
      <c r="L125" s="2378"/>
      <c r="M125" s="2378"/>
      <c r="N125" s="2378"/>
      <c r="O125" s="2378"/>
      <c r="P125" s="2378"/>
      <c r="Q125" s="2378"/>
      <c r="R125" s="2378"/>
      <c r="S125" s="2378"/>
      <c r="T125" s="2378"/>
      <c r="U125" s="2378"/>
      <c r="V125" s="2378"/>
      <c r="W125" s="2378"/>
      <c r="X125" s="2378"/>
      <c r="Y125" s="2378"/>
      <c r="Z125" s="2378"/>
      <c r="AA125" s="2378"/>
      <c r="AB125" s="2378"/>
      <c r="AC125" s="2378"/>
      <c r="AD125" s="2378"/>
      <c r="AE125" s="2378"/>
      <c r="AF125" s="2378"/>
      <c r="AG125" s="2378"/>
      <c r="AH125" s="436"/>
      <c r="AI125" s="436"/>
      <c r="AJ125" s="436"/>
      <c r="AK125" s="436"/>
      <c r="AL125" s="1299"/>
      <c r="AN125" s="439"/>
    </row>
    <row r="126" spans="1:47" s="46" customFormat="1" ht="12.75" customHeight="1">
      <c r="A126" s="28"/>
      <c r="B126" s="161"/>
      <c r="C126" s="187"/>
      <c r="D126" s="436"/>
      <c r="E126" s="2378"/>
      <c r="F126" s="2378"/>
      <c r="G126" s="2378"/>
      <c r="H126" s="2378"/>
      <c r="I126" s="2378"/>
      <c r="J126" s="2378"/>
      <c r="K126" s="2378"/>
      <c r="L126" s="2378"/>
      <c r="M126" s="2378"/>
      <c r="N126" s="2378"/>
      <c r="O126" s="2378"/>
      <c r="P126" s="2378"/>
      <c r="Q126" s="2378"/>
      <c r="R126" s="2378"/>
      <c r="S126" s="2378"/>
      <c r="T126" s="2378"/>
      <c r="U126" s="2378"/>
      <c r="V126" s="2378"/>
      <c r="W126" s="2378"/>
      <c r="X126" s="2378"/>
      <c r="Y126" s="2378"/>
      <c r="Z126" s="2378"/>
      <c r="AA126" s="2378"/>
      <c r="AB126" s="2378"/>
      <c r="AC126" s="2378"/>
      <c r="AD126" s="2378"/>
      <c r="AE126" s="2378"/>
      <c r="AF126" s="2378"/>
      <c r="AG126" s="2378"/>
      <c r="AH126" s="436"/>
      <c r="AI126" s="436"/>
      <c r="AJ126" s="436"/>
      <c r="AK126" s="436"/>
      <c r="AL126" s="1299"/>
      <c r="AN126" s="439"/>
    </row>
    <row r="127" spans="1:47" s="46" customFormat="1" ht="12.75" customHeight="1">
      <c r="A127" s="28"/>
      <c r="B127" s="161"/>
      <c r="C127" s="187"/>
      <c r="D127" s="436"/>
      <c r="E127" s="2378"/>
      <c r="F127" s="2378"/>
      <c r="G127" s="2378"/>
      <c r="H127" s="2378"/>
      <c r="I127" s="2378"/>
      <c r="J127" s="2378"/>
      <c r="K127" s="2378"/>
      <c r="L127" s="2378"/>
      <c r="M127" s="2378"/>
      <c r="N127" s="2378"/>
      <c r="O127" s="2378"/>
      <c r="P127" s="2378"/>
      <c r="Q127" s="2378"/>
      <c r="R127" s="2378"/>
      <c r="S127" s="2378"/>
      <c r="T127" s="2378"/>
      <c r="U127" s="2378"/>
      <c r="V127" s="2378"/>
      <c r="W127" s="2378"/>
      <c r="X127" s="2378"/>
      <c r="Y127" s="2378"/>
      <c r="Z127" s="2378"/>
      <c r="AA127" s="2378"/>
      <c r="AB127" s="2378"/>
      <c r="AC127" s="2378"/>
      <c r="AD127" s="2378"/>
      <c r="AE127" s="2378"/>
      <c r="AF127" s="2378"/>
      <c r="AG127" s="2378"/>
      <c r="AH127" s="436"/>
      <c r="AI127" s="436"/>
      <c r="AJ127" s="436"/>
      <c r="AK127" s="436"/>
      <c r="AL127" s="1299"/>
      <c r="AN127" s="439"/>
    </row>
    <row r="128" spans="1:47" s="46" customFormat="1" ht="12.75" customHeight="1">
      <c r="A128" s="28"/>
      <c r="B128" s="161"/>
      <c r="C128" s="187"/>
      <c r="D128" s="478"/>
      <c r="E128" s="2523"/>
      <c r="F128" s="2523"/>
      <c r="G128" s="2523"/>
      <c r="H128" s="2523"/>
      <c r="I128" s="2523"/>
      <c r="J128" s="2523"/>
      <c r="K128" s="2523"/>
      <c r="L128" s="2523"/>
      <c r="M128" s="2523"/>
      <c r="N128" s="2523"/>
      <c r="O128" s="2523"/>
      <c r="P128" s="2523"/>
      <c r="Q128" s="2523"/>
      <c r="R128" s="2523"/>
      <c r="S128" s="2523"/>
      <c r="T128" s="2523"/>
      <c r="U128" s="2523"/>
      <c r="V128" s="2523"/>
      <c r="W128" s="2523"/>
      <c r="X128" s="2523"/>
      <c r="Y128" s="2523"/>
      <c r="Z128" s="2523"/>
      <c r="AA128" s="2523"/>
      <c r="AB128" s="2523"/>
      <c r="AC128" s="2523"/>
      <c r="AD128" s="2523"/>
      <c r="AE128" s="2523"/>
      <c r="AF128" s="2523"/>
      <c r="AG128" s="252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65">
        <f>VLOOKUP($H$117,$AO$101:$AP$106,2,FALSE)+VLOOKUP($H$123,$AO$121:$AP$123,2,FALSE)</f>
        <v>7</v>
      </c>
      <c r="AK129" s="236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2" t="s">
        <v>2083</v>
      </c>
      <c r="F133" s="2522"/>
      <c r="G133" s="2522"/>
      <c r="H133" s="2522"/>
      <c r="I133" s="2522"/>
      <c r="J133" s="2522"/>
      <c r="K133" s="2522"/>
      <c r="L133" s="2522"/>
      <c r="M133" s="2522"/>
      <c r="N133" s="2522"/>
      <c r="O133" s="2522"/>
      <c r="P133" s="2522"/>
      <c r="Q133" s="2522"/>
      <c r="R133" s="2522"/>
      <c r="S133" s="2522"/>
      <c r="T133" s="2522"/>
      <c r="U133" s="2522"/>
      <c r="V133" s="2522"/>
      <c r="W133" s="2522"/>
      <c r="X133" s="2522"/>
      <c r="Y133" s="2522"/>
      <c r="Z133" s="2522"/>
      <c r="AA133" s="2522"/>
      <c r="AB133" s="2522"/>
      <c r="AC133" s="2522"/>
      <c r="AD133" s="2522"/>
      <c r="AF133" s="2368" t="s">
        <v>66</v>
      </c>
      <c r="AG133" s="2368"/>
      <c r="AH133" s="2368"/>
      <c r="AI133" s="2368"/>
      <c r="AJ133" s="2368"/>
      <c r="AK133" s="2368"/>
      <c r="AL133" s="2368"/>
      <c r="AM133" s="153"/>
      <c r="AN133" s="475"/>
    </row>
    <row r="134" spans="1:42" s="46" customFormat="1" ht="12.75" customHeight="1">
      <c r="A134" s="195"/>
      <c r="B134" s="161"/>
      <c r="C134" s="187"/>
      <c r="D134" s="144"/>
      <c r="E134" s="2522"/>
      <c r="F134" s="2522"/>
      <c r="G134" s="2522"/>
      <c r="H134" s="2522"/>
      <c r="I134" s="2522"/>
      <c r="J134" s="2522"/>
      <c r="K134" s="2522"/>
      <c r="L134" s="2522"/>
      <c r="M134" s="2522"/>
      <c r="N134" s="2522"/>
      <c r="O134" s="2522"/>
      <c r="P134" s="2522"/>
      <c r="Q134" s="2522"/>
      <c r="R134" s="2522"/>
      <c r="S134" s="2522"/>
      <c r="T134" s="2522"/>
      <c r="U134" s="2522"/>
      <c r="V134" s="2522"/>
      <c r="W134" s="2522"/>
      <c r="X134" s="2522"/>
      <c r="Y134" s="2522"/>
      <c r="Z134" s="2522"/>
      <c r="AA134" s="2522"/>
      <c r="AB134" s="2522"/>
      <c r="AC134" s="2522"/>
      <c r="AD134" s="2522"/>
      <c r="AE134" s="153"/>
      <c r="AF134" s="74"/>
      <c r="AG134" s="153"/>
      <c r="AH134" s="153"/>
      <c r="AI134" s="153"/>
      <c r="AJ134" s="153"/>
      <c r="AK134" s="153"/>
      <c r="AL134" s="153"/>
      <c r="AM134" s="153"/>
      <c r="AN134" s="439"/>
    </row>
    <row r="135" spans="1:42" s="46" customFormat="1" ht="12.75" customHeight="1">
      <c r="A135" s="28"/>
      <c r="B135" s="161"/>
      <c r="C135" s="188"/>
      <c r="D135" s="144"/>
      <c r="E135" s="2522"/>
      <c r="F135" s="2522"/>
      <c r="G135" s="2522"/>
      <c r="H135" s="2522"/>
      <c r="I135" s="2522"/>
      <c r="J135" s="2522"/>
      <c r="K135" s="2522"/>
      <c r="L135" s="2522"/>
      <c r="M135" s="2522"/>
      <c r="N135" s="2522"/>
      <c r="O135" s="2522"/>
      <c r="P135" s="2522"/>
      <c r="Q135" s="2522"/>
      <c r="R135" s="2522"/>
      <c r="S135" s="2522"/>
      <c r="T135" s="2522"/>
      <c r="U135" s="2522"/>
      <c r="V135" s="2522"/>
      <c r="W135" s="2522"/>
      <c r="X135" s="2522"/>
      <c r="Y135" s="2522"/>
      <c r="Z135" s="2522"/>
      <c r="AA135" s="2522"/>
      <c r="AB135" s="2522"/>
      <c r="AC135" s="2522"/>
      <c r="AD135" s="2522"/>
      <c r="AE135" s="153"/>
      <c r="AF135" s="74"/>
      <c r="AG135" s="153"/>
      <c r="AH135" s="153"/>
      <c r="AI135" s="153"/>
      <c r="AJ135" s="153"/>
      <c r="AK135" s="153"/>
      <c r="AL135" s="153"/>
      <c r="AM135" s="153"/>
      <c r="AN135" s="439"/>
    </row>
    <row r="136" spans="1:42" s="46" customFormat="1" ht="12.75" customHeight="1">
      <c r="A136" s="57"/>
      <c r="B136" s="173"/>
      <c r="C136" s="196"/>
      <c r="D136" s="144"/>
      <c r="E136" s="2522"/>
      <c r="F136" s="2522"/>
      <c r="G136" s="2522"/>
      <c r="H136" s="2522"/>
      <c r="I136" s="2522"/>
      <c r="J136" s="2522"/>
      <c r="K136" s="2522"/>
      <c r="L136" s="2522"/>
      <c r="M136" s="2522"/>
      <c r="N136" s="2522"/>
      <c r="O136" s="2522"/>
      <c r="P136" s="2522"/>
      <c r="Q136" s="2522"/>
      <c r="R136" s="2522"/>
      <c r="S136" s="2522"/>
      <c r="T136" s="2522"/>
      <c r="U136" s="2522"/>
      <c r="V136" s="2522"/>
      <c r="W136" s="2522"/>
      <c r="X136" s="2522"/>
      <c r="Y136" s="2522"/>
      <c r="Z136" s="2522"/>
      <c r="AA136" s="2522"/>
      <c r="AB136" s="2522"/>
      <c r="AC136" s="2522"/>
      <c r="AD136" s="2522"/>
      <c r="AE136" s="27"/>
      <c r="AF136" s="173"/>
      <c r="AG136" s="27"/>
      <c r="AH136" s="27"/>
      <c r="AI136" s="27"/>
      <c r="AJ136" s="27"/>
      <c r="AK136" s="153"/>
      <c r="AL136" s="153"/>
      <c r="AM136" s="153"/>
      <c r="AN136" s="439"/>
    </row>
    <row r="137" spans="1:42" s="46" customFormat="1" ht="23" customHeight="1">
      <c r="A137" s="28"/>
      <c r="B137" s="173"/>
      <c r="C137" s="196"/>
      <c r="D137" s="144"/>
      <c r="E137" s="2522"/>
      <c r="F137" s="2522"/>
      <c r="G137" s="2522"/>
      <c r="H137" s="2522"/>
      <c r="I137" s="2522"/>
      <c r="J137" s="2522"/>
      <c r="K137" s="2522"/>
      <c r="L137" s="2522"/>
      <c r="M137" s="2522"/>
      <c r="N137" s="2522"/>
      <c r="O137" s="2522"/>
      <c r="P137" s="2522"/>
      <c r="Q137" s="2522"/>
      <c r="R137" s="2522"/>
      <c r="S137" s="2522"/>
      <c r="T137" s="2522"/>
      <c r="U137" s="2522"/>
      <c r="V137" s="2522"/>
      <c r="W137" s="2522"/>
      <c r="X137" s="2522"/>
      <c r="Y137" s="2522"/>
      <c r="Z137" s="2522"/>
      <c r="AA137" s="2522"/>
      <c r="AB137" s="2522"/>
      <c r="AC137" s="2522"/>
      <c r="AD137" s="252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6"/>
      <c r="G138" s="1156"/>
      <c r="H138" s="1156"/>
      <c r="I138" s="1156"/>
      <c r="J138" s="1156"/>
      <c r="K138" s="1156"/>
      <c r="L138" s="1156"/>
      <c r="M138" s="1156"/>
      <c r="N138" s="1156"/>
      <c r="O138" s="1156"/>
      <c r="P138" s="1156"/>
      <c r="Q138" s="1156"/>
      <c r="R138" s="1156"/>
      <c r="S138" s="2525" t="s">
        <v>136</v>
      </c>
      <c r="T138" s="2525"/>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114</v>
      </c>
      <c r="AG140" s="2368"/>
      <c r="AH140" s="2368"/>
      <c r="AI140" s="2368"/>
      <c r="AJ140" s="2368"/>
      <c r="AK140" s="2368"/>
      <c r="AL140" s="2368"/>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797</v>
      </c>
      <c r="AP141" s="206">
        <v>4</v>
      </c>
    </row>
    <row r="142" spans="1:42" s="46" customFormat="1" ht="12.75" customHeight="1">
      <c r="A142" s="28"/>
      <c r="B142" s="74"/>
      <c r="C142" s="77"/>
      <c r="D142" s="28" t="s">
        <v>163</v>
      </c>
      <c r="E142" s="190"/>
      <c r="F142" s="190"/>
      <c r="G142" s="190"/>
      <c r="H142" s="2377" t="s">
        <v>640</v>
      </c>
      <c r="I142" s="2377"/>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5">
        <f>VLOOKUP($H$142,$AO$116:$AP$118,2,FALSE)</f>
        <v>3</v>
      </c>
      <c r="AK144" s="236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66</v>
      </c>
      <c r="AG148" s="2368"/>
      <c r="AH148" s="2368"/>
      <c r="AI148" s="2368"/>
      <c r="AJ148" s="2368"/>
      <c r="AK148" s="2368"/>
      <c r="AL148" s="2368"/>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114</v>
      </c>
      <c r="AG151" s="2368"/>
      <c r="AH151" s="2368"/>
      <c r="AI151" s="2368"/>
      <c r="AJ151" s="2368"/>
      <c r="AK151" s="2368"/>
      <c r="AL151" s="2368"/>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163</v>
      </c>
      <c r="E154" s="190"/>
      <c r="F154" s="190"/>
      <c r="G154" s="190"/>
      <c r="H154" s="2377" t="s">
        <v>640</v>
      </c>
      <c r="I154" s="237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5">
        <f>VLOOKUP(H154,AT116:AU118,2,FALSE)</f>
        <v>3</v>
      </c>
      <c r="AK156" s="2367"/>
      <c r="AL156" s="25"/>
      <c r="AN156" s="1139"/>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8" t="s">
        <v>816</v>
      </c>
      <c r="F161" s="2378"/>
      <c r="G161" s="2378"/>
      <c r="H161" s="2378"/>
      <c r="I161" s="2378"/>
      <c r="J161" s="2378"/>
      <c r="K161" s="2378"/>
      <c r="L161" s="2378"/>
      <c r="M161" s="2378"/>
      <c r="N161" s="2378"/>
      <c r="O161" s="2378"/>
      <c r="P161" s="2378"/>
      <c r="Q161" s="2378"/>
      <c r="R161" s="2378"/>
      <c r="S161" s="2378"/>
      <c r="T161" s="2378"/>
      <c r="U161" s="2378"/>
      <c r="V161" s="2378"/>
      <c r="W161" s="2378"/>
      <c r="X161" s="2378"/>
      <c r="Y161" s="2378"/>
      <c r="Z161" s="2378"/>
      <c r="AA161" s="2378"/>
      <c r="AB161" s="2378"/>
      <c r="AC161" s="2378"/>
      <c r="AF161" s="2368" t="s">
        <v>64</v>
      </c>
      <c r="AG161" s="2368"/>
      <c r="AH161" s="2368"/>
      <c r="AI161" s="2368"/>
      <c r="AJ161" s="2368"/>
      <c r="AK161" s="2368"/>
      <c r="AL161" s="2368"/>
      <c r="AN161" s="439"/>
    </row>
    <row r="162" spans="1:42" s="46" customFormat="1" ht="12.75" customHeight="1">
      <c r="C162" s="48"/>
      <c r="E162" s="2378"/>
      <c r="F162" s="2378"/>
      <c r="G162" s="2378"/>
      <c r="H162" s="2378"/>
      <c r="I162" s="2378"/>
      <c r="J162" s="2378"/>
      <c r="K162" s="2378"/>
      <c r="L162" s="2378"/>
      <c r="M162" s="2378"/>
      <c r="N162" s="2378"/>
      <c r="O162" s="2378"/>
      <c r="P162" s="2378"/>
      <c r="Q162" s="2378"/>
      <c r="R162" s="2378"/>
      <c r="S162" s="2378"/>
      <c r="T162" s="2378"/>
      <c r="U162" s="2378"/>
      <c r="V162" s="2378"/>
      <c r="W162" s="2378"/>
      <c r="X162" s="2378"/>
      <c r="Y162" s="2378"/>
      <c r="Z162" s="2378"/>
      <c r="AA162" s="2378"/>
      <c r="AB162" s="2378"/>
      <c r="AC162" s="2378"/>
      <c r="AN162" s="439"/>
    </row>
    <row r="163" spans="1:42" s="46" customFormat="1" ht="12.75" customHeight="1">
      <c r="C163" s="48"/>
      <c r="D163" s="144"/>
      <c r="E163" s="2378"/>
      <c r="F163" s="2378"/>
      <c r="G163" s="2378"/>
      <c r="H163" s="2378"/>
      <c r="I163" s="2378"/>
      <c r="J163" s="2378"/>
      <c r="K163" s="2378"/>
      <c r="L163" s="2378"/>
      <c r="M163" s="2378"/>
      <c r="N163" s="2378"/>
      <c r="O163" s="2378"/>
      <c r="P163" s="2378"/>
      <c r="Q163" s="2378"/>
      <c r="R163" s="2378"/>
      <c r="S163" s="2378"/>
      <c r="T163" s="2378"/>
      <c r="U163" s="2378"/>
      <c r="V163" s="2378"/>
      <c r="W163" s="2378"/>
      <c r="X163" s="2378"/>
      <c r="Y163" s="2378"/>
      <c r="Z163" s="2378"/>
      <c r="AA163" s="2378"/>
      <c r="AB163" s="2378"/>
      <c r="AC163" s="237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8" t="s">
        <v>1929</v>
      </c>
      <c r="F165" s="2378"/>
      <c r="G165" s="2378"/>
      <c r="H165" s="2378"/>
      <c r="I165" s="2378"/>
      <c r="J165" s="2378"/>
      <c r="K165" s="2378"/>
      <c r="L165" s="2378"/>
      <c r="M165" s="2378"/>
      <c r="N165" s="2378"/>
      <c r="O165" s="2378"/>
      <c r="P165" s="2378"/>
      <c r="Q165" s="2378"/>
      <c r="R165" s="2378"/>
      <c r="S165" s="2378"/>
      <c r="T165" s="2378"/>
      <c r="U165" s="2378"/>
      <c r="V165" s="2378"/>
      <c r="W165" s="2378"/>
      <c r="X165" s="2378"/>
      <c r="Y165" s="2378"/>
      <c r="Z165" s="2378"/>
      <c r="AA165" s="2378"/>
      <c r="AB165" s="2378"/>
      <c r="AC165" s="2378"/>
      <c r="AF165" s="2368" t="s">
        <v>65</v>
      </c>
      <c r="AG165" s="2368"/>
      <c r="AH165" s="2368"/>
      <c r="AI165" s="2368"/>
      <c r="AJ165" s="2368"/>
      <c r="AK165" s="2368"/>
      <c r="AL165" s="2368"/>
      <c r="AN165" s="439"/>
    </row>
    <row r="166" spans="1:42" s="46" customFormat="1" ht="12.75" customHeight="1">
      <c r="C166" s="48"/>
      <c r="E166" s="2378"/>
      <c r="F166" s="2378"/>
      <c r="G166" s="2378"/>
      <c r="H166" s="2378"/>
      <c r="I166" s="2378"/>
      <c r="J166" s="2378"/>
      <c r="K166" s="2378"/>
      <c r="L166" s="2378"/>
      <c r="M166" s="2378"/>
      <c r="N166" s="2378"/>
      <c r="O166" s="2378"/>
      <c r="P166" s="2378"/>
      <c r="Q166" s="2378"/>
      <c r="R166" s="2378"/>
      <c r="S166" s="2378"/>
      <c r="T166" s="2378"/>
      <c r="U166" s="2378"/>
      <c r="V166" s="2378"/>
      <c r="W166" s="2378"/>
      <c r="X166" s="2378"/>
      <c r="Y166" s="2378"/>
      <c r="Z166" s="2378"/>
      <c r="AA166" s="2378"/>
      <c r="AB166" s="2378"/>
      <c r="AC166" s="2378"/>
      <c r="AN166" s="439"/>
    </row>
    <row r="167" spans="1:42" s="46" customFormat="1" ht="15" customHeight="1">
      <c r="C167" s="48"/>
      <c r="D167" s="144"/>
      <c r="E167" s="2378"/>
      <c r="F167" s="2378"/>
      <c r="G167" s="2378"/>
      <c r="H167" s="2378"/>
      <c r="I167" s="2378"/>
      <c r="J167" s="2378"/>
      <c r="K167" s="2378"/>
      <c r="L167" s="2378"/>
      <c r="M167" s="2378"/>
      <c r="N167" s="2378"/>
      <c r="O167" s="2378"/>
      <c r="P167" s="2378"/>
      <c r="Q167" s="2378"/>
      <c r="R167" s="2378"/>
      <c r="S167" s="2378"/>
      <c r="T167" s="2378"/>
      <c r="U167" s="2378"/>
      <c r="V167" s="2378"/>
      <c r="W167" s="2378"/>
      <c r="X167" s="2378"/>
      <c r="Y167" s="2378"/>
      <c r="Z167" s="2378"/>
      <c r="AA167" s="2378"/>
      <c r="AB167" s="2378"/>
      <c r="AC167" s="237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9"/>
    </row>
    <row r="169" spans="1:42" s="46" customFormat="1" ht="12.75" customHeight="1">
      <c r="C169" s="48"/>
      <c r="D169" s="144" t="s">
        <v>991</v>
      </c>
      <c r="E169" s="2378" t="s">
        <v>1930</v>
      </c>
      <c r="F169" s="2378"/>
      <c r="G169" s="2378"/>
      <c r="H169" s="2378"/>
      <c r="I169" s="2378"/>
      <c r="J169" s="2378"/>
      <c r="K169" s="2378"/>
      <c r="L169" s="2378"/>
      <c r="M169" s="2378"/>
      <c r="N169" s="2378"/>
      <c r="O169" s="2378"/>
      <c r="P169" s="2378"/>
      <c r="Q169" s="2378"/>
      <c r="R169" s="2378"/>
      <c r="S169" s="2378"/>
      <c r="T169" s="2378"/>
      <c r="U169" s="2378"/>
      <c r="V169" s="2378"/>
      <c r="W169" s="2378"/>
      <c r="X169" s="2378"/>
      <c r="Y169" s="2378"/>
      <c r="Z169" s="2378"/>
      <c r="AA169" s="2378"/>
      <c r="AB169" s="2378"/>
      <c r="AC169" s="2378"/>
      <c r="AF169" s="2368" t="s">
        <v>66</v>
      </c>
      <c r="AG169" s="2368"/>
      <c r="AH169" s="2368"/>
      <c r="AI169" s="2368"/>
      <c r="AJ169" s="2368"/>
      <c r="AK169" s="2368"/>
      <c r="AL169" s="2368"/>
      <c r="AN169" s="439"/>
    </row>
    <row r="170" spans="1:42" s="46" customFormat="1" ht="12.75" customHeight="1">
      <c r="A170" s="28"/>
      <c r="B170" s="161"/>
      <c r="C170" s="18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E170" s="2368"/>
      <c r="AF170" s="2368"/>
      <c r="AG170" s="2368"/>
      <c r="AH170" s="2368"/>
      <c r="AI170" s="2368"/>
      <c r="AJ170" s="2368"/>
      <c r="AK170" s="2368"/>
      <c r="AL170" s="1303"/>
      <c r="AM170" s="153"/>
      <c r="AN170" s="439"/>
      <c r="AO170" s="46" t="s">
        <v>136</v>
      </c>
      <c r="AP170" s="753">
        <v>0</v>
      </c>
    </row>
    <row r="171" spans="1:42" s="46" customFormat="1" ht="12.75" customHeight="1">
      <c r="A171" s="195"/>
      <c r="D171" s="144"/>
      <c r="E171" s="2378"/>
      <c r="F171" s="2378"/>
      <c r="G171" s="2378"/>
      <c r="H171" s="2378"/>
      <c r="I171" s="2378"/>
      <c r="J171" s="2378"/>
      <c r="K171" s="2378"/>
      <c r="L171" s="2378"/>
      <c r="M171" s="2378"/>
      <c r="N171" s="2378"/>
      <c r="O171" s="2378"/>
      <c r="P171" s="2378"/>
      <c r="Q171" s="2378"/>
      <c r="R171" s="2378"/>
      <c r="S171" s="2378"/>
      <c r="T171" s="2378"/>
      <c r="U171" s="2378"/>
      <c r="V171" s="2378"/>
      <c r="W171" s="2378"/>
      <c r="X171" s="2378"/>
      <c r="Y171" s="2378"/>
      <c r="Z171" s="2378"/>
      <c r="AA171" s="2378"/>
      <c r="AB171" s="2378"/>
      <c r="AC171" s="2378"/>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8" t="s">
        <v>1931</v>
      </c>
      <c r="F173" s="2378"/>
      <c r="G173" s="2378"/>
      <c r="H173" s="2378"/>
      <c r="I173" s="2378"/>
      <c r="J173" s="2378"/>
      <c r="K173" s="2378"/>
      <c r="L173" s="2378"/>
      <c r="M173" s="2378"/>
      <c r="N173" s="2378"/>
      <c r="O173" s="2378"/>
      <c r="P173" s="2378"/>
      <c r="Q173" s="2378"/>
      <c r="R173" s="2378"/>
      <c r="S173" s="2378"/>
      <c r="T173" s="2378"/>
      <c r="U173" s="2378"/>
      <c r="V173" s="2378"/>
      <c r="W173" s="2378"/>
      <c r="X173" s="2378"/>
      <c r="Y173" s="2378"/>
      <c r="Z173" s="2378"/>
      <c r="AA173" s="2378"/>
      <c r="AB173" s="2378"/>
      <c r="AC173" s="2378"/>
      <c r="AF173" s="2368" t="s">
        <v>65</v>
      </c>
      <c r="AG173" s="2368"/>
      <c r="AH173" s="2368"/>
      <c r="AI173" s="2368"/>
      <c r="AJ173" s="2368"/>
      <c r="AK173" s="2368"/>
      <c r="AL173" s="2368"/>
      <c r="AN173" s="439"/>
    </row>
    <row r="174" spans="1:42" s="46" customFormat="1" ht="12.75" customHeight="1">
      <c r="A174" s="183"/>
      <c r="B174" s="161"/>
      <c r="C174" s="202"/>
      <c r="D174" s="144"/>
      <c r="E174" s="2378"/>
      <c r="F174" s="2378"/>
      <c r="G174" s="2378"/>
      <c r="H174" s="2378"/>
      <c r="I174" s="2378"/>
      <c r="J174" s="2378"/>
      <c r="K174" s="2378"/>
      <c r="L174" s="2378"/>
      <c r="M174" s="2378"/>
      <c r="N174" s="2378"/>
      <c r="O174" s="2378"/>
      <c r="P174" s="2378"/>
      <c r="Q174" s="2378"/>
      <c r="R174" s="2378"/>
      <c r="S174" s="2378"/>
      <c r="T174" s="2378"/>
      <c r="U174" s="2378"/>
      <c r="V174" s="2378"/>
      <c r="W174" s="2378"/>
      <c r="X174" s="2378"/>
      <c r="Y174" s="2378"/>
      <c r="Z174" s="2378"/>
      <c r="AA174" s="2378"/>
      <c r="AB174" s="2378"/>
      <c r="AC174" s="2378"/>
      <c r="AE174" s="179"/>
      <c r="AF174" s="179"/>
      <c r="AG174" s="179"/>
      <c r="AH174" s="179"/>
      <c r="AI174" s="179"/>
      <c r="AJ174" s="179"/>
      <c r="AK174" s="179"/>
      <c r="AL174" s="1303"/>
      <c r="AM174" s="203"/>
      <c r="AN174" s="439"/>
    </row>
    <row r="175" spans="1:42" s="46" customFormat="1" ht="12.75" customHeight="1">
      <c r="A175" s="183"/>
      <c r="B175" s="161"/>
      <c r="C175" s="202"/>
      <c r="D175" s="144"/>
      <c r="E175" s="2378"/>
      <c r="F175" s="2378"/>
      <c r="G175" s="2378"/>
      <c r="H175" s="2378"/>
      <c r="I175" s="2378"/>
      <c r="J175" s="2378"/>
      <c r="K175" s="2378"/>
      <c r="L175" s="2378"/>
      <c r="M175" s="2378"/>
      <c r="N175" s="2378"/>
      <c r="O175" s="2378"/>
      <c r="P175" s="2378"/>
      <c r="Q175" s="2378"/>
      <c r="R175" s="2378"/>
      <c r="S175" s="2378"/>
      <c r="T175" s="2378"/>
      <c r="U175" s="2378"/>
      <c r="V175" s="2378"/>
      <c r="W175" s="2378"/>
      <c r="X175" s="2378"/>
      <c r="Y175" s="2378"/>
      <c r="Z175" s="2378"/>
      <c r="AA175" s="2378"/>
      <c r="AB175" s="2378"/>
      <c r="AC175" s="2378"/>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798</v>
      </c>
      <c r="E177" s="2378" t="s">
        <v>1932</v>
      </c>
      <c r="F177" s="2378"/>
      <c r="G177" s="2378"/>
      <c r="H177" s="2378"/>
      <c r="I177" s="2378"/>
      <c r="J177" s="2378"/>
      <c r="K177" s="2378"/>
      <c r="L177" s="2378"/>
      <c r="M177" s="2378"/>
      <c r="N177" s="2378"/>
      <c r="O177" s="2378"/>
      <c r="P177" s="2378"/>
      <c r="Q177" s="2378"/>
      <c r="R177" s="2378"/>
      <c r="S177" s="2378"/>
      <c r="T177" s="2378"/>
      <c r="U177" s="2378"/>
      <c r="V177" s="2378"/>
      <c r="W177" s="2378"/>
      <c r="X177" s="2378"/>
      <c r="Y177" s="2378"/>
      <c r="Z177" s="2378"/>
      <c r="AA177" s="2378"/>
      <c r="AB177" s="2378"/>
      <c r="AC177" s="2378"/>
      <c r="AF177" s="2368" t="s">
        <v>66</v>
      </c>
      <c r="AG177" s="2368"/>
      <c r="AH177" s="2368"/>
      <c r="AI177" s="2368"/>
      <c r="AJ177" s="2368"/>
      <c r="AK177" s="2368"/>
      <c r="AL177" s="2368"/>
      <c r="AM177" s="203"/>
      <c r="AN177" s="439"/>
    </row>
    <row r="178" spans="1:42" s="46" customFormat="1" ht="12.75" customHeight="1">
      <c r="A178" s="28"/>
      <c r="B178" s="161"/>
      <c r="C178" s="188"/>
      <c r="D178" s="144"/>
      <c r="E178" s="2378"/>
      <c r="F178" s="2378"/>
      <c r="G178" s="2378"/>
      <c r="H178" s="2378"/>
      <c r="I178" s="2378"/>
      <c r="J178" s="2378"/>
      <c r="K178" s="2378"/>
      <c r="L178" s="2378"/>
      <c r="M178" s="2378"/>
      <c r="N178" s="2378"/>
      <c r="O178" s="2378"/>
      <c r="P178" s="2378"/>
      <c r="Q178" s="2378"/>
      <c r="R178" s="2378"/>
      <c r="S178" s="2378"/>
      <c r="T178" s="2378"/>
      <c r="U178" s="2378"/>
      <c r="V178" s="2378"/>
      <c r="W178" s="2378"/>
      <c r="X178" s="2378"/>
      <c r="Y178" s="2378"/>
      <c r="Z178" s="2378"/>
      <c r="AA178" s="2378"/>
      <c r="AB178" s="2378"/>
      <c r="AC178" s="2378"/>
      <c r="AE178" s="153"/>
      <c r="AF178" s="74"/>
      <c r="AH178" s="153"/>
      <c r="AI178" s="153"/>
      <c r="AJ178" s="153"/>
      <c r="AK178" s="153"/>
      <c r="AL178" s="153"/>
      <c r="AM178" s="203"/>
      <c r="AN178" s="439"/>
    </row>
    <row r="179" spans="1:42" s="46" customFormat="1" ht="12.75" customHeight="1">
      <c r="A179" s="28"/>
      <c r="B179" s="161"/>
      <c r="C179" s="188"/>
      <c r="D179" s="144"/>
      <c r="E179" s="2378"/>
      <c r="F179" s="2378"/>
      <c r="G179" s="2378"/>
      <c r="H179" s="2378"/>
      <c r="I179" s="2378"/>
      <c r="J179" s="2378"/>
      <c r="K179" s="2378"/>
      <c r="L179" s="2378"/>
      <c r="M179" s="2378"/>
      <c r="N179" s="2378"/>
      <c r="O179" s="2378"/>
      <c r="P179" s="2378"/>
      <c r="Q179" s="2378"/>
      <c r="R179" s="2378"/>
      <c r="S179" s="2378"/>
      <c r="T179" s="2378"/>
      <c r="U179" s="2378"/>
      <c r="V179" s="2378"/>
      <c r="W179" s="2378"/>
      <c r="X179" s="2378"/>
      <c r="Y179" s="2378"/>
      <c r="Z179" s="2378"/>
      <c r="AA179" s="2378"/>
      <c r="AB179" s="2378"/>
      <c r="AC179" s="237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308</v>
      </c>
      <c r="E181" s="2378" t="s">
        <v>1649</v>
      </c>
      <c r="F181" s="2378"/>
      <c r="G181" s="2378"/>
      <c r="H181" s="2378"/>
      <c r="I181" s="2378"/>
      <c r="J181" s="2378"/>
      <c r="K181" s="2378"/>
      <c r="L181" s="2378"/>
      <c r="M181" s="2378"/>
      <c r="N181" s="2378"/>
      <c r="O181" s="2378"/>
      <c r="P181" s="2378"/>
      <c r="Q181" s="2378"/>
      <c r="R181" s="2378"/>
      <c r="S181" s="2378"/>
      <c r="T181" s="2378"/>
      <c r="U181" s="2378"/>
      <c r="V181" s="2378"/>
      <c r="W181" s="2378"/>
      <c r="X181" s="2378"/>
      <c r="Y181" s="2378"/>
      <c r="Z181" s="2378"/>
      <c r="AA181" s="2378"/>
      <c r="AB181" s="2378"/>
      <c r="AC181" s="2378"/>
      <c r="AF181" s="2368" t="s">
        <v>114</v>
      </c>
      <c r="AG181" s="2368"/>
      <c r="AH181" s="2368"/>
      <c r="AI181" s="2368"/>
      <c r="AJ181" s="2368"/>
      <c r="AK181" s="2368"/>
      <c r="AL181" s="2368"/>
      <c r="AM181" s="203"/>
      <c r="AN181" s="439"/>
    </row>
    <row r="182" spans="1:42" s="46" customFormat="1" ht="23" customHeight="1">
      <c r="A182" s="195"/>
      <c r="B182" s="74"/>
      <c r="C182" s="77"/>
      <c r="D182" s="144"/>
      <c r="E182" s="2378"/>
      <c r="F182" s="2378"/>
      <c r="G182" s="2378"/>
      <c r="H182" s="2378"/>
      <c r="I182" s="2378"/>
      <c r="J182" s="2378"/>
      <c r="K182" s="2378"/>
      <c r="L182" s="2378"/>
      <c r="M182" s="2378"/>
      <c r="N182" s="2378"/>
      <c r="O182" s="2378"/>
      <c r="P182" s="2378"/>
      <c r="Q182" s="2378"/>
      <c r="R182" s="2378"/>
      <c r="S182" s="2378"/>
      <c r="T182" s="2378"/>
      <c r="U182" s="2378"/>
      <c r="V182" s="2378"/>
      <c r="W182" s="2378"/>
      <c r="X182" s="2378"/>
      <c r="Y182" s="2378"/>
      <c r="Z182" s="2378"/>
      <c r="AA182" s="2378"/>
      <c r="AB182" s="2378"/>
      <c r="AC182" s="2378"/>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8" t="s">
        <v>1650</v>
      </c>
      <c r="F184" s="2378"/>
      <c r="G184" s="2378"/>
      <c r="H184" s="2378"/>
      <c r="I184" s="2378"/>
      <c r="J184" s="2378"/>
      <c r="K184" s="2378"/>
      <c r="L184" s="2378"/>
      <c r="M184" s="2378"/>
      <c r="N184" s="2378"/>
      <c r="O184" s="2378"/>
      <c r="P184" s="2378"/>
      <c r="Q184" s="2378"/>
      <c r="R184" s="2378"/>
      <c r="S184" s="2378"/>
      <c r="T184" s="2378"/>
      <c r="U184" s="2378"/>
      <c r="V184" s="2378"/>
      <c r="W184" s="2378"/>
      <c r="X184" s="2378"/>
      <c r="Y184" s="2378"/>
      <c r="Z184" s="2378"/>
      <c r="AA184" s="2378"/>
      <c r="AB184" s="2378"/>
      <c r="AC184" s="2378"/>
      <c r="AF184" s="2368" t="s">
        <v>354</v>
      </c>
      <c r="AG184" s="2368"/>
      <c r="AH184" s="2368"/>
      <c r="AI184" s="2368"/>
      <c r="AJ184" s="2368"/>
      <c r="AK184" s="2368"/>
      <c r="AL184" s="2368"/>
      <c r="AM184" s="203"/>
      <c r="AN184" s="439"/>
      <c r="AO184" s="144" t="s">
        <v>640</v>
      </c>
      <c r="AP184" s="46">
        <v>3</v>
      </c>
    </row>
    <row r="185" spans="1:42" s="46" customFormat="1" ht="23" customHeight="1">
      <c r="A185" s="195"/>
      <c r="B185" s="74"/>
      <c r="C185" s="77"/>
      <c r="D185" s="144"/>
      <c r="E185" s="2378"/>
      <c r="F185" s="2378"/>
      <c r="G185" s="2378"/>
      <c r="H185" s="2378"/>
      <c r="I185" s="2378"/>
      <c r="J185" s="2378"/>
      <c r="K185" s="2378"/>
      <c r="L185" s="2378"/>
      <c r="M185" s="2378"/>
      <c r="N185" s="2378"/>
      <c r="O185" s="2378"/>
      <c r="P185" s="2378"/>
      <c r="Q185" s="2378"/>
      <c r="R185" s="2378"/>
      <c r="S185" s="2378"/>
      <c r="T185" s="2378"/>
      <c r="U185" s="2378"/>
      <c r="V185" s="2378"/>
      <c r="W185" s="2378"/>
      <c r="X185" s="2378"/>
      <c r="Y185" s="2378"/>
      <c r="Z185" s="2378"/>
      <c r="AA185" s="2378"/>
      <c r="AB185" s="2378"/>
      <c r="AC185" s="2378"/>
      <c r="AE185" s="179"/>
      <c r="AF185" s="179"/>
      <c r="AG185" s="179"/>
      <c r="AH185" s="179"/>
      <c r="AI185" s="179"/>
      <c r="AJ185" s="179"/>
      <c r="AK185" s="179"/>
      <c r="AL185" s="1303"/>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163</v>
      </c>
      <c r="E187" s="190"/>
      <c r="F187" s="190"/>
      <c r="G187" s="190"/>
      <c r="H187" s="2377" t="s">
        <v>214</v>
      </c>
      <c r="I187" s="237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5">
        <f>VLOOKUP($H$187,$AO$137:$AP$144,2,FALSE)</f>
        <v>4</v>
      </c>
      <c r="AK189" s="236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8" t="s">
        <v>2234</v>
      </c>
      <c r="F193" s="2378"/>
      <c r="G193" s="2378"/>
      <c r="H193" s="2378"/>
      <c r="I193" s="2378"/>
      <c r="J193" s="2378"/>
      <c r="K193" s="2378"/>
      <c r="L193" s="2378"/>
      <c r="M193" s="2378"/>
      <c r="N193" s="2378"/>
      <c r="O193" s="2378"/>
      <c r="P193" s="2378"/>
      <c r="Q193" s="2378"/>
      <c r="R193" s="2378"/>
      <c r="S193" s="2378"/>
      <c r="T193" s="2378"/>
      <c r="U193" s="2378"/>
      <c r="V193" s="2378"/>
      <c r="W193" s="2378"/>
      <c r="X193" s="2378"/>
      <c r="Y193" s="2378"/>
      <c r="Z193" s="2378"/>
      <c r="AA193" s="2378"/>
      <c r="AB193" s="2378"/>
      <c r="AC193" s="46"/>
      <c r="AD193" s="46"/>
      <c r="AF193" s="2368" t="s">
        <v>66</v>
      </c>
      <c r="AG193" s="2368"/>
      <c r="AH193" s="2368"/>
      <c r="AI193" s="2368"/>
      <c r="AJ193" s="2368"/>
      <c r="AK193" s="2368"/>
      <c r="AL193" s="2368"/>
      <c r="AM193" s="153"/>
      <c r="AN193" s="1139"/>
    </row>
    <row r="194" spans="1:42" s="137" customFormat="1" ht="12.75" customHeight="1">
      <c r="A194" s="28"/>
      <c r="B194" s="161"/>
      <c r="C194" s="196"/>
      <c r="D194" s="144"/>
      <c r="E194" s="2378"/>
      <c r="F194" s="2378"/>
      <c r="G194" s="2378"/>
      <c r="H194" s="2378"/>
      <c r="I194" s="2378"/>
      <c r="J194" s="2378"/>
      <c r="K194" s="2378"/>
      <c r="L194" s="2378"/>
      <c r="M194" s="2378"/>
      <c r="N194" s="2378"/>
      <c r="O194" s="2378"/>
      <c r="P194" s="2378"/>
      <c r="Q194" s="2378"/>
      <c r="R194" s="2378"/>
      <c r="S194" s="2378"/>
      <c r="T194" s="2378"/>
      <c r="U194" s="2378"/>
      <c r="V194" s="2378"/>
      <c r="W194" s="2378"/>
      <c r="X194" s="2378"/>
      <c r="Y194" s="2378"/>
      <c r="Z194" s="2378"/>
      <c r="AA194" s="2378"/>
      <c r="AB194" s="2378"/>
      <c r="AC194" s="46"/>
      <c r="AD194" s="46"/>
      <c r="AE194" s="27"/>
      <c r="AM194" s="153"/>
      <c r="AN194" s="1139"/>
      <c r="AO194" s="2596"/>
      <c r="AP194" s="2596"/>
    </row>
    <row r="195" spans="1:42" s="137" customFormat="1" ht="12.75" customHeight="1">
      <c r="A195" s="28"/>
      <c r="B195" s="161"/>
      <c r="C195" s="196"/>
      <c r="D195" s="144"/>
      <c r="E195" s="2378"/>
      <c r="F195" s="2378"/>
      <c r="G195" s="2378"/>
      <c r="H195" s="2378"/>
      <c r="I195" s="2378"/>
      <c r="J195" s="2378"/>
      <c r="K195" s="2378"/>
      <c r="L195" s="2378"/>
      <c r="M195" s="2378"/>
      <c r="N195" s="2378"/>
      <c r="O195" s="2378"/>
      <c r="P195" s="2378"/>
      <c r="Q195" s="2378"/>
      <c r="R195" s="2378"/>
      <c r="S195" s="2378"/>
      <c r="T195" s="2378"/>
      <c r="U195" s="2378"/>
      <c r="V195" s="2378"/>
      <c r="W195" s="2378"/>
      <c r="X195" s="2378"/>
      <c r="Y195" s="2378"/>
      <c r="Z195" s="2378"/>
      <c r="AA195" s="2378"/>
      <c r="AB195" s="2378"/>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78"/>
      <c r="F196" s="2378"/>
      <c r="G196" s="2378"/>
      <c r="H196" s="2378"/>
      <c r="I196" s="2378"/>
      <c r="J196" s="2378"/>
      <c r="K196" s="2378"/>
      <c r="L196" s="2378"/>
      <c r="M196" s="2378"/>
      <c r="N196" s="2378"/>
      <c r="O196" s="2378"/>
      <c r="P196" s="2378"/>
      <c r="Q196" s="2378"/>
      <c r="R196" s="2378"/>
      <c r="S196" s="2378"/>
      <c r="T196" s="2378"/>
      <c r="U196" s="2378"/>
      <c r="V196" s="2378"/>
      <c r="W196" s="2378"/>
      <c r="X196" s="2378"/>
      <c r="Y196" s="2378"/>
      <c r="Z196" s="2378"/>
      <c r="AA196" s="2378"/>
      <c r="AB196" s="237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8" t="s">
        <v>2235</v>
      </c>
      <c r="F198" s="2378"/>
      <c r="G198" s="2378"/>
      <c r="H198" s="2378"/>
      <c r="I198" s="2378"/>
      <c r="J198" s="2378"/>
      <c r="K198" s="2378"/>
      <c r="L198" s="2378"/>
      <c r="M198" s="2378"/>
      <c r="N198" s="2378"/>
      <c r="O198" s="2378"/>
      <c r="P198" s="2378"/>
      <c r="Q198" s="2378"/>
      <c r="R198" s="2378"/>
      <c r="S198" s="2378"/>
      <c r="T198" s="2378"/>
      <c r="U198" s="2378"/>
      <c r="V198" s="2378"/>
      <c r="W198" s="2378"/>
      <c r="X198" s="2378"/>
      <c r="Y198" s="2378"/>
      <c r="Z198" s="2378"/>
      <c r="AA198" s="2378"/>
      <c r="AB198" s="2378"/>
      <c r="AF198" s="2368" t="s">
        <v>114</v>
      </c>
      <c r="AG198" s="2368"/>
      <c r="AH198" s="2368"/>
      <c r="AI198" s="2368"/>
      <c r="AJ198" s="2368"/>
      <c r="AK198" s="2368"/>
      <c r="AL198" s="2368"/>
      <c r="AM198" s="153"/>
      <c r="AN198" s="439"/>
      <c r="AO198" s="144" t="s">
        <v>214</v>
      </c>
      <c r="AP198" s="46">
        <v>1</v>
      </c>
    </row>
    <row r="199" spans="1:42" s="46" customFormat="1" ht="12.75" customHeight="1">
      <c r="A199" s="153"/>
      <c r="B199" s="8"/>
      <c r="C199" s="204"/>
      <c r="E199" s="2378"/>
      <c r="F199" s="2378"/>
      <c r="G199" s="2378"/>
      <c r="H199" s="2378"/>
      <c r="I199" s="2378"/>
      <c r="J199" s="2378"/>
      <c r="K199" s="2378"/>
      <c r="L199" s="2378"/>
      <c r="M199" s="2378"/>
      <c r="N199" s="2378"/>
      <c r="O199" s="2378"/>
      <c r="P199" s="2378"/>
      <c r="Q199" s="2378"/>
      <c r="R199" s="2378"/>
      <c r="S199" s="2378"/>
      <c r="T199" s="2378"/>
      <c r="U199" s="2378"/>
      <c r="V199" s="2378"/>
      <c r="W199" s="2378"/>
      <c r="X199" s="2378"/>
      <c r="Y199" s="2378"/>
      <c r="Z199" s="2378"/>
      <c r="AA199" s="2378"/>
      <c r="AB199" s="2378"/>
      <c r="AD199" s="8"/>
      <c r="AE199" s="27"/>
      <c r="AM199" s="153"/>
      <c r="AN199" s="439"/>
    </row>
    <row r="200" spans="1:42" s="46" customFormat="1" ht="12.75" customHeight="1">
      <c r="A200" s="153"/>
      <c r="B200" s="8"/>
      <c r="C200" s="204"/>
      <c r="E200" s="2378"/>
      <c r="F200" s="2378"/>
      <c r="G200" s="2378"/>
      <c r="H200" s="2378"/>
      <c r="I200" s="2378"/>
      <c r="J200" s="2378"/>
      <c r="K200" s="2378"/>
      <c r="L200" s="2378"/>
      <c r="M200" s="2378"/>
      <c r="N200" s="2378"/>
      <c r="O200" s="2378"/>
      <c r="P200" s="2378"/>
      <c r="Q200" s="2378"/>
      <c r="R200" s="2378"/>
      <c r="S200" s="2378"/>
      <c r="T200" s="2378"/>
      <c r="U200" s="2378"/>
      <c r="V200" s="2378"/>
      <c r="W200" s="2378"/>
      <c r="X200" s="2378"/>
      <c r="Y200" s="2378"/>
      <c r="Z200" s="2378"/>
      <c r="AA200" s="2378"/>
      <c r="AB200" s="2378"/>
      <c r="AD200" s="8"/>
      <c r="AE200" s="27"/>
      <c r="AM200" s="153"/>
      <c r="AN200" s="439"/>
    </row>
    <row r="201" spans="1:42" s="16" customFormat="1" ht="12.75" customHeight="1">
      <c r="A201" s="153"/>
      <c r="B201" s="8"/>
      <c r="C201" s="204"/>
      <c r="D201" s="46"/>
      <c r="E201" s="2378"/>
      <c r="F201" s="2378"/>
      <c r="G201" s="2378"/>
      <c r="H201" s="2378"/>
      <c r="I201" s="2378"/>
      <c r="J201" s="2378"/>
      <c r="K201" s="2378"/>
      <c r="L201" s="2378"/>
      <c r="M201" s="2378"/>
      <c r="N201" s="2378"/>
      <c r="O201" s="2378"/>
      <c r="P201" s="2378"/>
      <c r="Q201" s="2378"/>
      <c r="R201" s="2378"/>
      <c r="S201" s="2378"/>
      <c r="T201" s="2378"/>
      <c r="U201" s="2378"/>
      <c r="V201" s="2378"/>
      <c r="W201" s="2378"/>
      <c r="X201" s="2378"/>
      <c r="Y201" s="2378"/>
      <c r="Z201" s="2378"/>
      <c r="AA201" s="2378"/>
      <c r="AB201" s="2378"/>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c r="AA202" s="1389"/>
      <c r="AB202" s="138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40" t="s">
        <v>2236</v>
      </c>
      <c r="F203" s="2340"/>
      <c r="G203" s="2340"/>
      <c r="H203" s="2340"/>
      <c r="I203" s="2340"/>
      <c r="J203" s="2340"/>
      <c r="K203" s="2340"/>
      <c r="L203" s="2340"/>
      <c r="M203" s="2340"/>
      <c r="N203" s="2340"/>
      <c r="O203" s="2340"/>
      <c r="P203" s="2340"/>
      <c r="Q203" s="2340"/>
      <c r="R203" s="2340"/>
      <c r="S203" s="2340"/>
      <c r="T203" s="2340"/>
      <c r="U203" s="2340"/>
      <c r="V203" s="2340"/>
      <c r="W203" s="2340"/>
      <c r="X203" s="2340"/>
      <c r="Y203" s="2340"/>
      <c r="Z203" s="2340"/>
      <c r="AA203" s="2340"/>
      <c r="AB203" s="234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40"/>
      <c r="F204" s="2340"/>
      <c r="G204" s="2340"/>
      <c r="H204" s="2340"/>
      <c r="I204" s="2340"/>
      <c r="J204" s="2340"/>
      <c r="K204" s="2340"/>
      <c r="L204" s="2340"/>
      <c r="M204" s="2340"/>
      <c r="N204" s="2340"/>
      <c r="O204" s="2340"/>
      <c r="P204" s="2340"/>
      <c r="Q204" s="2340"/>
      <c r="R204" s="2340"/>
      <c r="S204" s="2340"/>
      <c r="T204" s="2340"/>
      <c r="U204" s="2340"/>
      <c r="V204" s="2340"/>
      <c r="W204" s="2340"/>
      <c r="X204" s="2340"/>
      <c r="Y204" s="2340"/>
      <c r="Z204" s="2340"/>
      <c r="AA204" s="2340"/>
      <c r="AB204" s="234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40"/>
      <c r="F205" s="2340"/>
      <c r="G205" s="2340"/>
      <c r="H205" s="2340"/>
      <c r="I205" s="2340"/>
      <c r="J205" s="2340"/>
      <c r="K205" s="2340"/>
      <c r="L205" s="2340"/>
      <c r="M205" s="2340"/>
      <c r="N205" s="2340"/>
      <c r="O205" s="2340"/>
      <c r="P205" s="2340"/>
      <c r="Q205" s="2340"/>
      <c r="R205" s="2340"/>
      <c r="S205" s="2340"/>
      <c r="T205" s="2340"/>
      <c r="U205" s="2340"/>
      <c r="V205" s="2340"/>
      <c r="W205" s="2340"/>
      <c r="X205" s="2340"/>
      <c r="Y205" s="2340"/>
      <c r="Z205" s="2340"/>
      <c r="AA205" s="2340"/>
      <c r="AB205" s="234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7" t="s">
        <v>136</v>
      </c>
      <c r="I206" s="237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5">
        <f>VLOOKUP($H$206,$AO$156:$AP$158,2,FALSE)</f>
        <v>0</v>
      </c>
      <c r="AK208" s="236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6" t="s">
        <v>1386</v>
      </c>
      <c r="F212" s="2526"/>
      <c r="G212" s="2526"/>
      <c r="H212" s="2526"/>
      <c r="I212" s="2526"/>
      <c r="J212" s="2526"/>
      <c r="K212" s="2526"/>
      <c r="L212" s="2526"/>
      <c r="M212" s="2526"/>
      <c r="N212" s="2526"/>
      <c r="O212" s="2526"/>
      <c r="P212" s="2526"/>
      <c r="Q212" s="2526"/>
      <c r="R212" s="2526"/>
      <c r="S212" s="2526"/>
      <c r="T212" s="2526"/>
      <c r="U212" s="2526"/>
      <c r="V212" s="2526"/>
      <c r="W212" s="2526"/>
      <c r="X212" s="2526"/>
      <c r="Y212" s="2526"/>
      <c r="Z212" s="2526"/>
      <c r="AA212" s="2526"/>
      <c r="AB212" s="2526"/>
      <c r="AC212" s="46"/>
      <c r="AD212" s="46"/>
      <c r="AF212" s="2368" t="s">
        <v>66</v>
      </c>
      <c r="AG212" s="2368"/>
      <c r="AH212" s="2368"/>
      <c r="AI212" s="2368"/>
      <c r="AJ212" s="2368"/>
      <c r="AK212" s="2368"/>
      <c r="AL212" s="2368"/>
      <c r="AM212" s="153"/>
      <c r="AN212" s="317"/>
      <c r="AP212" s="50" t="s">
        <v>109</v>
      </c>
    </row>
    <row r="213" spans="1:52" s="16" customFormat="1" ht="12" customHeight="1">
      <c r="A213" s="28"/>
      <c r="B213" s="161"/>
      <c r="C213" s="187"/>
      <c r="D213" s="144"/>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A213" s="2526"/>
      <c r="AB213" s="2526"/>
      <c r="AC213" s="46"/>
      <c r="AD213" s="46"/>
      <c r="AE213" s="28"/>
      <c r="AM213" s="153"/>
      <c r="AN213" s="317"/>
      <c r="AP213" s="50" t="s">
        <v>106</v>
      </c>
    </row>
    <row r="214" spans="1:52" s="16" customFormat="1" ht="14" customHeight="1">
      <c r="A214" s="28"/>
      <c r="B214" s="148"/>
      <c r="C214" s="188"/>
      <c r="D214" s="144"/>
      <c r="E214" s="2526"/>
      <c r="F214" s="2526"/>
      <c r="G214" s="2526"/>
      <c r="H214" s="2526"/>
      <c r="I214" s="2526"/>
      <c r="J214" s="2526"/>
      <c r="K214" s="2526"/>
      <c r="L214" s="2526"/>
      <c r="M214" s="2526"/>
      <c r="N214" s="2526"/>
      <c r="O214" s="2526"/>
      <c r="P214" s="2526"/>
      <c r="Q214" s="2526"/>
      <c r="R214" s="2526"/>
      <c r="S214" s="2526"/>
      <c r="T214" s="2526"/>
      <c r="U214" s="2526"/>
      <c r="V214" s="2526"/>
      <c r="W214" s="2526"/>
      <c r="X214" s="2526"/>
      <c r="Y214" s="2526"/>
      <c r="Z214" s="2526"/>
      <c r="AA214" s="2526"/>
      <c r="AB214" s="2526"/>
      <c r="AC214" s="46"/>
      <c r="AD214" s="46"/>
      <c r="AE214" s="27"/>
      <c r="AM214" s="153"/>
      <c r="AN214" s="317"/>
      <c r="AP214" s="50" t="s">
        <v>107</v>
      </c>
    </row>
    <row r="215" spans="1:52" s="16" customFormat="1" ht="14" customHeight="1">
      <c r="A215" s="28"/>
      <c r="B215" s="74"/>
      <c r="C215" s="77"/>
      <c r="D215" s="144" t="s">
        <v>214</v>
      </c>
      <c r="E215" s="2385" t="s">
        <v>1387</v>
      </c>
      <c r="F215" s="2385"/>
      <c r="G215" s="2385"/>
      <c r="H215" s="2385"/>
      <c r="I215" s="2385"/>
      <c r="J215" s="2385"/>
      <c r="K215" s="2385"/>
      <c r="L215" s="2385"/>
      <c r="M215" s="2385"/>
      <c r="N215" s="2385"/>
      <c r="O215" s="2385"/>
      <c r="P215" s="2385"/>
      <c r="Q215" s="2385"/>
      <c r="R215" s="2385"/>
      <c r="S215" s="2385"/>
      <c r="T215" s="2385"/>
      <c r="U215" s="2385"/>
      <c r="V215" s="2385"/>
      <c r="W215" s="2385"/>
      <c r="X215" s="2385"/>
      <c r="Y215" s="2385"/>
      <c r="Z215" s="2385"/>
      <c r="AA215" s="2385"/>
      <c r="AB215" s="2385"/>
      <c r="AC215" s="46"/>
      <c r="AD215" s="46"/>
      <c r="AF215" s="2368" t="s">
        <v>114</v>
      </c>
      <c r="AG215" s="2368"/>
      <c r="AH215" s="2368"/>
      <c r="AI215" s="2368"/>
      <c r="AJ215" s="2368"/>
      <c r="AK215" s="2368"/>
      <c r="AL215" s="2368"/>
      <c r="AM215" s="153"/>
      <c r="AN215" s="1141"/>
      <c r="AP215" s="499" t="s">
        <v>389</v>
      </c>
    </row>
    <row r="216" spans="1:52" s="16" customFormat="1" ht="12.75" customHeight="1">
      <c r="A216" s="28"/>
      <c r="B216" s="161"/>
      <c r="C216" s="187"/>
      <c r="D216" s="28"/>
      <c r="E216" s="2385"/>
      <c r="F216" s="2385"/>
      <c r="G216" s="2385"/>
      <c r="H216" s="2385"/>
      <c r="I216" s="2385"/>
      <c r="J216" s="2385"/>
      <c r="K216" s="2385"/>
      <c r="L216" s="2385"/>
      <c r="M216" s="2385"/>
      <c r="N216" s="2385"/>
      <c r="O216" s="2385"/>
      <c r="P216" s="2385"/>
      <c r="Q216" s="2385"/>
      <c r="R216" s="2385"/>
      <c r="S216" s="2385"/>
      <c r="T216" s="2385"/>
      <c r="U216" s="2385"/>
      <c r="V216" s="2385"/>
      <c r="W216" s="2385"/>
      <c r="X216" s="2385"/>
      <c r="Y216" s="2385"/>
      <c r="Z216" s="2385"/>
      <c r="AA216" s="2385"/>
      <c r="AB216" s="2385"/>
      <c r="AC216" s="28"/>
      <c r="AD216" s="161"/>
      <c r="AE216" s="28"/>
      <c r="AF216" s="28"/>
      <c r="AG216" s="28"/>
      <c r="AH216" s="28"/>
      <c r="AI216" s="28"/>
      <c r="AJ216" s="46"/>
      <c r="AK216" s="153"/>
      <c r="AL216" s="153"/>
      <c r="AM216" s="153"/>
      <c r="AN216" s="317"/>
      <c r="AP216" s="46" t="s">
        <v>136</v>
      </c>
      <c r="AQ216" s="753">
        <v>0</v>
      </c>
    </row>
    <row r="217" spans="1:52" s="16" customFormat="1" ht="14" customHeight="1">
      <c r="A217" s="28"/>
      <c r="B217" s="161"/>
      <c r="C217" s="187"/>
      <c r="D217" s="28"/>
      <c r="E217" s="2385"/>
      <c r="F217" s="2385"/>
      <c r="G217" s="2385"/>
      <c r="H217" s="2385"/>
      <c r="I217" s="2385"/>
      <c r="J217" s="2385"/>
      <c r="K217" s="2385"/>
      <c r="L217" s="2385"/>
      <c r="M217" s="2385"/>
      <c r="N217" s="2385"/>
      <c r="O217" s="2385"/>
      <c r="P217" s="2385"/>
      <c r="Q217" s="2385"/>
      <c r="R217" s="2385"/>
      <c r="S217" s="2385"/>
      <c r="T217" s="2385"/>
      <c r="U217" s="2385"/>
      <c r="V217" s="2385"/>
      <c r="W217" s="2385"/>
      <c r="X217" s="2385"/>
      <c r="Y217" s="2385"/>
      <c r="Z217" s="2385"/>
      <c r="AA217" s="2385"/>
      <c r="AB217" s="2385"/>
      <c r="AC217" s="28"/>
      <c r="AD217" s="161"/>
      <c r="AE217" s="28"/>
      <c r="AF217" s="28"/>
      <c r="AG217" s="28"/>
      <c r="AH217" s="28"/>
      <c r="AI217" s="28"/>
      <c r="AJ217" s="46"/>
      <c r="AK217" s="153"/>
      <c r="AL217" s="153"/>
      <c r="AM217" s="153"/>
      <c r="AN217" s="317"/>
      <c r="AP217" s="144" t="s">
        <v>640</v>
      </c>
      <c r="AQ217" s="46">
        <v>2</v>
      </c>
    </row>
    <row r="218" spans="1:52" s="16" customFormat="1" ht="14" customHeight="1">
      <c r="A218" s="28"/>
      <c r="B218" s="161"/>
      <c r="C218" s="187"/>
      <c r="D218" s="28" t="s">
        <v>163</v>
      </c>
      <c r="E218" s="190"/>
      <c r="F218" s="190"/>
      <c r="G218" s="190"/>
      <c r="H218" s="2377" t="s">
        <v>136</v>
      </c>
      <c r="I218" s="237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5">
        <f>VLOOKUP($H$218,$AO$156:$AP$158,2,FALSE)</f>
        <v>0</v>
      </c>
      <c r="AK220" s="2367"/>
      <c r="AL220" s="25"/>
      <c r="AM220" s="137"/>
      <c r="AN220" s="1142"/>
      <c r="AP220" s="2365"/>
      <c r="AQ220" s="236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640</v>
      </c>
      <c r="E224" s="2378" t="s">
        <v>1667</v>
      </c>
      <c r="F224" s="2378"/>
      <c r="G224" s="2378"/>
      <c r="H224" s="2378"/>
      <c r="I224" s="2378"/>
      <c r="J224" s="2378"/>
      <c r="K224" s="2378"/>
      <c r="L224" s="2378"/>
      <c r="M224" s="2378"/>
      <c r="N224" s="2378"/>
      <c r="O224" s="2378"/>
      <c r="P224" s="2378"/>
      <c r="Q224" s="2378"/>
      <c r="R224" s="2378"/>
      <c r="S224" s="2378"/>
      <c r="T224" s="2378"/>
      <c r="U224" s="2378"/>
      <c r="V224" s="2378"/>
      <c r="W224" s="2378"/>
      <c r="X224" s="2378"/>
      <c r="Y224" s="2378"/>
      <c r="Z224" s="2378"/>
      <c r="AA224" s="2378"/>
      <c r="AB224" s="2378"/>
      <c r="AC224" s="46"/>
      <c r="AD224" s="46"/>
      <c r="AF224" s="2368" t="s">
        <v>66</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78"/>
      <c r="F225" s="2378"/>
      <c r="G225" s="2378"/>
      <c r="H225" s="2378"/>
      <c r="I225" s="2378"/>
      <c r="J225" s="2378"/>
      <c r="K225" s="2378"/>
      <c r="L225" s="2378"/>
      <c r="M225" s="2378"/>
      <c r="N225" s="2378"/>
      <c r="O225" s="2378"/>
      <c r="P225" s="2378"/>
      <c r="Q225" s="2378"/>
      <c r="R225" s="2378"/>
      <c r="S225" s="2378"/>
      <c r="T225" s="2378"/>
      <c r="U225" s="2378"/>
      <c r="V225" s="2378"/>
      <c r="W225" s="2378"/>
      <c r="X225" s="2378"/>
      <c r="Y225" s="2378"/>
      <c r="Z225" s="2378"/>
      <c r="AA225" s="2378"/>
      <c r="AB225" s="237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8" t="s">
        <v>980</v>
      </c>
      <c r="F227" s="2378"/>
      <c r="G227" s="2378"/>
      <c r="H227" s="2378"/>
      <c r="I227" s="2378"/>
      <c r="J227" s="2378"/>
      <c r="K227" s="2378"/>
      <c r="L227" s="2378"/>
      <c r="M227" s="2378"/>
      <c r="N227" s="2378"/>
      <c r="O227" s="2378"/>
      <c r="P227" s="2378"/>
      <c r="Q227" s="2378"/>
      <c r="R227" s="2378"/>
      <c r="S227" s="2378"/>
      <c r="T227" s="2378"/>
      <c r="U227" s="2378"/>
      <c r="V227" s="2378"/>
      <c r="W227" s="2378"/>
      <c r="X227" s="2378"/>
      <c r="Y227" s="2378"/>
      <c r="Z227" s="2378"/>
      <c r="AA227" s="2378"/>
      <c r="AB227" s="2378"/>
      <c r="AC227" s="46"/>
      <c r="AD227" s="46"/>
      <c r="AF227" s="2368" t="s">
        <v>114</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78"/>
      <c r="F228" s="2378"/>
      <c r="G228" s="2378"/>
      <c r="H228" s="2378"/>
      <c r="I228" s="2378"/>
      <c r="J228" s="2378"/>
      <c r="K228" s="2378"/>
      <c r="L228" s="2378"/>
      <c r="M228" s="2378"/>
      <c r="N228" s="2378"/>
      <c r="O228" s="2378"/>
      <c r="P228" s="2378"/>
      <c r="Q228" s="2378"/>
      <c r="R228" s="2378"/>
      <c r="S228" s="2378"/>
      <c r="T228" s="2378"/>
      <c r="U228" s="2378"/>
      <c r="V228" s="2378"/>
      <c r="W228" s="2378"/>
      <c r="X228" s="2378"/>
      <c r="Y228" s="2378"/>
      <c r="Z228" s="2378"/>
      <c r="AA228" s="2378"/>
      <c r="AB228" s="237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7" t="s">
        <v>136</v>
      </c>
      <c r="I230" s="237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5">
        <f>VLOOKUP($H$230,$AO$170:$AP$172,2,FALSE)</f>
        <v>0</v>
      </c>
      <c r="AK232" s="236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640</v>
      </c>
      <c r="E236" s="2378" t="s">
        <v>1244</v>
      </c>
      <c r="F236" s="2378"/>
      <c r="G236" s="2378"/>
      <c r="H236" s="2378"/>
      <c r="I236" s="2378"/>
      <c r="J236" s="2378"/>
      <c r="K236" s="2378"/>
      <c r="L236" s="2378"/>
      <c r="M236" s="2378"/>
      <c r="N236" s="2378"/>
      <c r="O236" s="2378"/>
      <c r="P236" s="2378"/>
      <c r="Q236" s="2378"/>
      <c r="R236" s="2378"/>
      <c r="S236" s="2378"/>
      <c r="T236" s="2378"/>
      <c r="U236" s="2378"/>
      <c r="V236" s="2378"/>
      <c r="W236" s="2378"/>
      <c r="X236" s="2378"/>
      <c r="Y236" s="2378"/>
      <c r="Z236" s="2378"/>
      <c r="AA236" s="2378"/>
      <c r="AB236" s="2378"/>
      <c r="AC236" s="46"/>
      <c r="AD236" s="46"/>
      <c r="AF236" s="2368" t="s">
        <v>66</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78"/>
      <c r="F237" s="2378"/>
      <c r="G237" s="2378"/>
      <c r="H237" s="2378"/>
      <c r="I237" s="2378"/>
      <c r="J237" s="2378"/>
      <c r="K237" s="2378"/>
      <c r="L237" s="2378"/>
      <c r="M237" s="2378"/>
      <c r="N237" s="2378"/>
      <c r="O237" s="2378"/>
      <c r="P237" s="2378"/>
      <c r="Q237" s="2378"/>
      <c r="R237" s="2378"/>
      <c r="S237" s="2378"/>
      <c r="T237" s="2378"/>
      <c r="U237" s="2378"/>
      <c r="V237" s="2378"/>
      <c r="W237" s="2378"/>
      <c r="X237" s="2378"/>
      <c r="Y237" s="2378"/>
      <c r="Z237" s="2378"/>
      <c r="AA237" s="2378"/>
      <c r="AB237" s="2378"/>
      <c r="AC237" s="46"/>
      <c r="AD237" s="46"/>
      <c r="AL237" s="153"/>
      <c r="AM237" s="153"/>
      <c r="AN237" s="317"/>
    </row>
    <row r="238" spans="1:82" s="50" customFormat="1" ht="12.75" customHeight="1">
      <c r="A238" s="28"/>
      <c r="B238" s="161"/>
      <c r="C238" s="187"/>
      <c r="D238" s="144"/>
      <c r="E238" s="2378"/>
      <c r="F238" s="2378"/>
      <c r="G238" s="2378"/>
      <c r="H238" s="2378"/>
      <c r="I238" s="2378"/>
      <c r="J238" s="2378"/>
      <c r="K238" s="2378"/>
      <c r="L238" s="2378"/>
      <c r="M238" s="2378"/>
      <c r="N238" s="2378"/>
      <c r="O238" s="2378"/>
      <c r="P238" s="2378"/>
      <c r="Q238" s="2378"/>
      <c r="R238" s="2378"/>
      <c r="S238" s="2378"/>
      <c r="T238" s="2378"/>
      <c r="U238" s="2378"/>
      <c r="V238" s="2378"/>
      <c r="W238" s="2378"/>
      <c r="X238" s="2378"/>
      <c r="Y238" s="2378"/>
      <c r="Z238" s="2378"/>
      <c r="AA238" s="2378"/>
      <c r="AB238" s="2378"/>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
      <c r="A240" s="28"/>
      <c r="B240" s="74"/>
      <c r="C240" s="77"/>
      <c r="D240" s="144" t="s">
        <v>214</v>
      </c>
      <c r="E240" s="2378" t="s">
        <v>1245</v>
      </c>
      <c r="F240" s="2378"/>
      <c r="G240" s="2378"/>
      <c r="H240" s="2378"/>
      <c r="I240" s="2378"/>
      <c r="J240" s="2378"/>
      <c r="K240" s="2378"/>
      <c r="L240" s="2378"/>
      <c r="M240" s="2378"/>
      <c r="N240" s="2378"/>
      <c r="O240" s="2378"/>
      <c r="P240" s="2378"/>
      <c r="Q240" s="2378"/>
      <c r="R240" s="2378"/>
      <c r="S240" s="2378"/>
      <c r="T240" s="2378"/>
      <c r="U240" s="2378"/>
      <c r="V240" s="2378"/>
      <c r="W240" s="2378"/>
      <c r="X240" s="2378"/>
      <c r="Y240" s="2378"/>
      <c r="Z240" s="2378"/>
      <c r="AA240" s="2378"/>
      <c r="AB240" s="540"/>
      <c r="AC240" s="46"/>
      <c r="AD240" s="46"/>
      <c r="AF240" s="2368" t="s">
        <v>114</v>
      </c>
      <c r="AG240" s="2368"/>
      <c r="AH240" s="2368"/>
      <c r="AI240" s="2368"/>
      <c r="AJ240" s="2368"/>
      <c r="AK240" s="2368"/>
      <c r="AL240" s="2368"/>
      <c r="AM240" s="153"/>
      <c r="AN240" s="317"/>
      <c r="AO240" s="132"/>
      <c r="AP240" s="65"/>
    </row>
    <row r="241" spans="1:74" s="16" customFormat="1" ht="13">
      <c r="A241" s="28"/>
      <c r="B241" s="74"/>
      <c r="C241" s="77"/>
      <c r="D241" s="28"/>
      <c r="E241" s="2378"/>
      <c r="F241" s="2378"/>
      <c r="G241" s="2378"/>
      <c r="H241" s="2378"/>
      <c r="I241" s="2378"/>
      <c r="J241" s="2378"/>
      <c r="K241" s="2378"/>
      <c r="L241" s="2378"/>
      <c r="M241" s="2378"/>
      <c r="N241" s="2378"/>
      <c r="O241" s="2378"/>
      <c r="P241" s="2378"/>
      <c r="Q241" s="2378"/>
      <c r="R241" s="2378"/>
      <c r="S241" s="2378"/>
      <c r="T241" s="2378"/>
      <c r="U241" s="2378"/>
      <c r="V241" s="2378"/>
      <c r="W241" s="2378"/>
      <c r="X241" s="2378"/>
      <c r="Y241" s="2378"/>
      <c r="Z241" s="2378"/>
      <c r="AA241" s="2378"/>
      <c r="AB241" s="540"/>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78"/>
      <c r="F242" s="2378"/>
      <c r="G242" s="2378"/>
      <c r="H242" s="2378"/>
      <c r="I242" s="2378"/>
      <c r="J242" s="2378"/>
      <c r="K242" s="2378"/>
      <c r="L242" s="2378"/>
      <c r="M242" s="2378"/>
      <c r="N242" s="2378"/>
      <c r="O242" s="2378"/>
      <c r="P242" s="2378"/>
      <c r="Q242" s="2378"/>
      <c r="R242" s="2378"/>
      <c r="S242" s="2378"/>
      <c r="T242" s="2378"/>
      <c r="U242" s="2378"/>
      <c r="V242" s="2378"/>
      <c r="W242" s="2378"/>
      <c r="X242" s="2378"/>
      <c r="Y242" s="2378"/>
      <c r="Z242" s="2378"/>
      <c r="AA242" s="2378"/>
      <c r="AB242" s="540"/>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7" t="s">
        <v>136</v>
      </c>
      <c r="I244" s="237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5">
        <f>VLOOKUP($H$244,$AO$183:$AP$185,2,FALSE)</f>
        <v>0</v>
      </c>
      <c r="AK246" s="2367"/>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640</v>
      </c>
      <c r="E250" s="2378" t="s">
        <v>353</v>
      </c>
      <c r="F250" s="2378"/>
      <c r="G250" s="2378"/>
      <c r="H250" s="2378"/>
      <c r="I250" s="2378"/>
      <c r="J250" s="2378"/>
      <c r="K250" s="2378"/>
      <c r="L250" s="2378"/>
      <c r="M250" s="2378"/>
      <c r="N250" s="2378"/>
      <c r="O250" s="2378"/>
      <c r="P250" s="2378"/>
      <c r="Q250" s="2378"/>
      <c r="R250" s="2378"/>
      <c r="S250" s="2378"/>
      <c r="T250" s="2378"/>
      <c r="U250" s="2378"/>
      <c r="V250" s="2378"/>
      <c r="W250" s="2378"/>
      <c r="X250" s="2378"/>
      <c r="Y250" s="2378"/>
      <c r="Z250" s="2378"/>
      <c r="AA250" s="2378"/>
      <c r="AB250" s="2378"/>
      <c r="AC250" s="46"/>
      <c r="AD250" s="46"/>
      <c r="AF250" s="2368" t="s">
        <v>114</v>
      </c>
      <c r="AG250" s="2368"/>
      <c r="AH250" s="2368"/>
      <c r="AI250" s="2368"/>
      <c r="AJ250" s="2368"/>
      <c r="AK250" s="2368"/>
      <c r="AL250" s="2368"/>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8"/>
      <c r="F251" s="2378"/>
      <c r="G251" s="2378"/>
      <c r="H251" s="2378"/>
      <c r="I251" s="2378"/>
      <c r="J251" s="2378"/>
      <c r="K251" s="2378"/>
      <c r="L251" s="2378"/>
      <c r="M251" s="2378"/>
      <c r="N251" s="2378"/>
      <c r="O251" s="2378"/>
      <c r="P251" s="2378"/>
      <c r="Q251" s="2378"/>
      <c r="R251" s="2378"/>
      <c r="S251" s="2378"/>
      <c r="T251" s="2378"/>
      <c r="U251" s="2378"/>
      <c r="V251" s="2378"/>
      <c r="W251" s="2378"/>
      <c r="X251" s="2378"/>
      <c r="Y251" s="2378"/>
      <c r="Z251" s="2378"/>
      <c r="AA251" s="2378"/>
      <c r="AB251" s="2378"/>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214</v>
      </c>
      <c r="E253" s="2378" t="s">
        <v>1388</v>
      </c>
      <c r="F253" s="2378"/>
      <c r="G253" s="2378"/>
      <c r="H253" s="2378"/>
      <c r="I253" s="2378"/>
      <c r="J253" s="2378"/>
      <c r="K253" s="2378"/>
      <c r="L253" s="2378"/>
      <c r="M253" s="2378"/>
      <c r="N253" s="2378"/>
      <c r="O253" s="2378"/>
      <c r="P253" s="2378"/>
      <c r="Q253" s="2378"/>
      <c r="R253" s="2378"/>
      <c r="S253" s="2378"/>
      <c r="T253" s="2378"/>
      <c r="U253" s="2378"/>
      <c r="V253" s="2378"/>
      <c r="W253" s="2378"/>
      <c r="X253" s="2378"/>
      <c r="Y253" s="2378"/>
      <c r="Z253" s="2378"/>
      <c r="AA253" s="2378"/>
      <c r="AB253" s="2378"/>
      <c r="AC253" s="46"/>
      <c r="AD253" s="46"/>
      <c r="AF253" s="2368" t="s">
        <v>354</v>
      </c>
      <c r="AG253" s="2368"/>
      <c r="AH253" s="2368"/>
      <c r="AI253" s="2368"/>
      <c r="AJ253" s="2368"/>
      <c r="AK253" s="2368"/>
      <c r="AL253" s="2368"/>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8"/>
      <c r="F254" s="2378"/>
      <c r="G254" s="2378"/>
      <c r="H254" s="2378"/>
      <c r="I254" s="2378"/>
      <c r="J254" s="2378"/>
      <c r="K254" s="2378"/>
      <c r="L254" s="2378"/>
      <c r="M254" s="2378"/>
      <c r="N254" s="2378"/>
      <c r="O254" s="2378"/>
      <c r="P254" s="2378"/>
      <c r="Q254" s="2378"/>
      <c r="R254" s="2378"/>
      <c r="S254" s="2378"/>
      <c r="T254" s="2378"/>
      <c r="U254" s="2378"/>
      <c r="V254" s="2378"/>
      <c r="W254" s="2378"/>
      <c r="X254" s="2378"/>
      <c r="Y254" s="2378"/>
      <c r="Z254" s="2378"/>
      <c r="AA254" s="2378"/>
      <c r="AB254" s="2378"/>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7" t="s">
        <v>214</v>
      </c>
      <c r="I256" s="237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5">
        <f>VLOOKUP($H$256,$AO$196:$AP$198,2,FALSE)</f>
        <v>1</v>
      </c>
      <c r="AK258" s="2367"/>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640</v>
      </c>
      <c r="E262" s="2378" t="s">
        <v>2232</v>
      </c>
      <c r="F262" s="2378"/>
      <c r="G262" s="2378"/>
      <c r="H262" s="2378"/>
      <c r="I262" s="2378"/>
      <c r="J262" s="2378"/>
      <c r="K262" s="2378"/>
      <c r="L262" s="2378"/>
      <c r="M262" s="2378"/>
      <c r="N262" s="2378"/>
      <c r="O262" s="2378"/>
      <c r="P262" s="2378"/>
      <c r="Q262" s="2378"/>
      <c r="R262" s="2378"/>
      <c r="S262" s="2378"/>
      <c r="T262" s="2378"/>
      <c r="U262" s="2378"/>
      <c r="V262" s="2378"/>
      <c r="W262" s="2378"/>
      <c r="X262" s="2378"/>
      <c r="Y262" s="2378"/>
      <c r="Z262" s="2378"/>
      <c r="AA262" s="2378"/>
      <c r="AB262" s="2378"/>
      <c r="AC262" s="2378"/>
      <c r="AD262" s="2378"/>
      <c r="AF262" s="2368" t="s">
        <v>114</v>
      </c>
      <c r="AG262" s="2368"/>
      <c r="AH262" s="2368"/>
      <c r="AI262" s="2368"/>
      <c r="AJ262" s="2368"/>
      <c r="AK262" s="2368"/>
      <c r="AL262" s="2368"/>
      <c r="AM262" s="175"/>
      <c r="AN262" s="317"/>
    </row>
    <row r="263" spans="1:74" s="16" customFormat="1" ht="13">
      <c r="A263" s="28"/>
      <c r="B263" s="173"/>
      <c r="C263" s="218"/>
      <c r="D263" s="144"/>
      <c r="E263" s="2378"/>
      <c r="F263" s="2378"/>
      <c r="G263" s="2378"/>
      <c r="H263" s="2378"/>
      <c r="I263" s="2378"/>
      <c r="J263" s="2378"/>
      <c r="K263" s="2378"/>
      <c r="L263" s="2378"/>
      <c r="M263" s="2378"/>
      <c r="N263" s="2378"/>
      <c r="O263" s="2378"/>
      <c r="P263" s="2378"/>
      <c r="Q263" s="2378"/>
      <c r="R263" s="2378"/>
      <c r="S263" s="2378"/>
      <c r="T263" s="2378"/>
      <c r="U263" s="2378"/>
      <c r="V263" s="2378"/>
      <c r="W263" s="2378"/>
      <c r="X263" s="2378"/>
      <c r="Y263" s="2378"/>
      <c r="Z263" s="2378"/>
      <c r="AA263" s="2378"/>
      <c r="AB263" s="2378"/>
      <c r="AC263" s="2378"/>
      <c r="AD263" s="2378"/>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78"/>
      <c r="F264" s="2378"/>
      <c r="G264" s="2378"/>
      <c r="H264" s="2378"/>
      <c r="I264" s="2378"/>
      <c r="J264" s="2378"/>
      <c r="K264" s="2378"/>
      <c r="L264" s="2378"/>
      <c r="M264" s="2378"/>
      <c r="N264" s="2378"/>
      <c r="O264" s="2378"/>
      <c r="P264" s="2378"/>
      <c r="Q264" s="2378"/>
      <c r="R264" s="2378"/>
      <c r="S264" s="2378"/>
      <c r="T264" s="2378"/>
      <c r="U264" s="2378"/>
      <c r="V264" s="2378"/>
      <c r="W264" s="2378"/>
      <c r="X264" s="2378"/>
      <c r="Y264" s="2378"/>
      <c r="Z264" s="2378"/>
      <c r="AA264" s="2378"/>
      <c r="AB264" s="2378"/>
      <c r="AC264" s="2378"/>
      <c r="AD264" s="2378"/>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94" t="s">
        <v>2233</v>
      </c>
      <c r="F266" s="2594"/>
      <c r="G266" s="2594"/>
      <c r="H266" s="2594"/>
      <c r="I266" s="2594"/>
      <c r="J266" s="2594"/>
      <c r="K266" s="2594"/>
      <c r="L266" s="2594"/>
      <c r="M266" s="2594"/>
      <c r="N266" s="2594"/>
      <c r="O266" s="2594"/>
      <c r="P266" s="2594"/>
      <c r="Q266" s="2594"/>
      <c r="R266" s="2594"/>
      <c r="S266" s="2594"/>
      <c r="T266" s="2594"/>
      <c r="U266" s="2594"/>
      <c r="V266" s="2594"/>
      <c r="W266" s="2594"/>
      <c r="X266" s="2594"/>
      <c r="Y266" s="2594"/>
      <c r="Z266" s="2594"/>
      <c r="AA266" s="2594"/>
      <c r="AB266" s="2594"/>
      <c r="AC266" s="2594"/>
      <c r="AD266" s="2594"/>
      <c r="AF266" s="2368" t="s">
        <v>66</v>
      </c>
      <c r="AG266" s="2368"/>
      <c r="AH266" s="2368"/>
      <c r="AI266" s="2368"/>
      <c r="AJ266" s="2368"/>
      <c r="AK266" s="2368"/>
      <c r="AL266" s="2368"/>
      <c r="AM266" s="175"/>
      <c r="AN266" s="439"/>
    </row>
    <row r="267" spans="1:74" s="46" customFormat="1" ht="12.75" customHeight="1">
      <c r="A267" s="28"/>
      <c r="B267" s="173"/>
      <c r="C267" s="218"/>
      <c r="D267" s="144"/>
      <c r="E267" s="2594"/>
      <c r="F267" s="2594"/>
      <c r="G267" s="2594"/>
      <c r="H267" s="2594"/>
      <c r="I267" s="2594"/>
      <c r="J267" s="2594"/>
      <c r="K267" s="2594"/>
      <c r="L267" s="2594"/>
      <c r="M267" s="2594"/>
      <c r="N267" s="2594"/>
      <c r="O267" s="2594"/>
      <c r="P267" s="2594"/>
      <c r="Q267" s="2594"/>
      <c r="R267" s="2594"/>
      <c r="S267" s="2594"/>
      <c r="T267" s="2594"/>
      <c r="U267" s="2594"/>
      <c r="V267" s="2594"/>
      <c r="W267" s="2594"/>
      <c r="X267" s="2594"/>
      <c r="Y267" s="2594"/>
      <c r="Z267" s="2594"/>
      <c r="AA267" s="2594"/>
      <c r="AB267" s="2594"/>
      <c r="AC267" s="2594"/>
      <c r="AD267" s="2594"/>
      <c r="AE267" s="179"/>
      <c r="AF267" s="179"/>
      <c r="AG267" s="179"/>
      <c r="AH267" s="179"/>
      <c r="AI267" s="179"/>
      <c r="AJ267" s="179"/>
      <c r="AK267" s="179"/>
      <c r="AL267" s="1303"/>
      <c r="AM267" s="175"/>
      <c r="AN267" s="439"/>
    </row>
    <row r="268" spans="1:74" s="46" customFormat="1" ht="12.75" customHeight="1">
      <c r="A268" s="28"/>
      <c r="B268" s="173"/>
      <c r="C268" s="218"/>
      <c r="D268" s="144"/>
      <c r="E268" s="2594"/>
      <c r="F268" s="2594"/>
      <c r="G268" s="2594"/>
      <c r="H268" s="2594"/>
      <c r="I268" s="2594"/>
      <c r="J268" s="2594"/>
      <c r="K268" s="2594"/>
      <c r="L268" s="2594"/>
      <c r="M268" s="2594"/>
      <c r="N268" s="2594"/>
      <c r="O268" s="2594"/>
      <c r="P268" s="2594"/>
      <c r="Q268" s="2594"/>
      <c r="R268" s="2594"/>
      <c r="S268" s="2594"/>
      <c r="T268" s="2594"/>
      <c r="U268" s="2594"/>
      <c r="V268" s="2594"/>
      <c r="W268" s="2594"/>
      <c r="X268" s="2594"/>
      <c r="Y268" s="2594"/>
      <c r="Z268" s="2594"/>
      <c r="AA268" s="2594"/>
      <c r="AB268" s="2594"/>
      <c r="AC268" s="2594"/>
      <c r="AD268" s="2594"/>
      <c r="AE268" s="179"/>
      <c r="AF268" s="179"/>
      <c r="AG268" s="179"/>
      <c r="AH268" s="179"/>
      <c r="AI268" s="179"/>
      <c r="AJ268" s="179"/>
      <c r="AK268" s="179"/>
      <c r="AL268" s="1303"/>
      <c r="AM268" s="175"/>
      <c r="AN268" s="439"/>
    </row>
    <row r="269" spans="1:74" s="46" customFormat="1" ht="12.75" customHeight="1">
      <c r="A269" s="28"/>
      <c r="B269" s="173"/>
      <c r="C269" s="218"/>
      <c r="D269" s="144"/>
      <c r="E269" s="2594"/>
      <c r="F269" s="2594"/>
      <c r="G269" s="2594"/>
      <c r="H269" s="2594"/>
      <c r="I269" s="2594"/>
      <c r="J269" s="2594"/>
      <c r="K269" s="2594"/>
      <c r="L269" s="2594"/>
      <c r="M269" s="2594"/>
      <c r="N269" s="2594"/>
      <c r="O269" s="2594"/>
      <c r="P269" s="2594"/>
      <c r="Q269" s="2594"/>
      <c r="R269" s="2594"/>
      <c r="S269" s="2594"/>
      <c r="T269" s="2594"/>
      <c r="U269" s="2594"/>
      <c r="V269" s="2594"/>
      <c r="W269" s="2594"/>
      <c r="X269" s="2594"/>
      <c r="Y269" s="2594"/>
      <c r="Z269" s="2594"/>
      <c r="AA269" s="2594"/>
      <c r="AB269" s="2594"/>
      <c r="AC269" s="2594"/>
      <c r="AD269" s="2594"/>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7" t="s">
        <v>136</v>
      </c>
      <c r="I271" s="237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5">
        <f>VLOOKUP($H$271,$AP$216:$AQ$218,2,FALSE)</f>
        <v>0</v>
      </c>
      <c r="AK273" s="2367"/>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ht="13">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5" customHeight="1">
      <c r="A277" s="28"/>
      <c r="B277" s="173"/>
      <c r="C277" s="218"/>
      <c r="D277" s="144" t="s">
        <v>640</v>
      </c>
      <c r="E277" s="2378" t="s">
        <v>2231</v>
      </c>
      <c r="F277" s="2378"/>
      <c r="G277" s="2378"/>
      <c r="H277" s="2378"/>
      <c r="I277" s="2378"/>
      <c r="J277" s="2378"/>
      <c r="K277" s="2378"/>
      <c r="L277" s="2378"/>
      <c r="M277" s="2378"/>
      <c r="N277" s="2378"/>
      <c r="O277" s="2378"/>
      <c r="P277" s="2378"/>
      <c r="Q277" s="2378"/>
      <c r="R277" s="2378"/>
      <c r="S277" s="2378"/>
      <c r="T277" s="2378"/>
      <c r="U277" s="2378"/>
      <c r="V277" s="2378"/>
      <c r="W277" s="2378"/>
      <c r="X277" s="2378"/>
      <c r="Y277" s="2378"/>
      <c r="Z277" s="2378"/>
      <c r="AA277" s="2378"/>
      <c r="AB277" s="2378"/>
      <c r="AC277" s="2378"/>
      <c r="AD277" s="2378"/>
      <c r="AF277" s="2368" t="s">
        <v>1838</v>
      </c>
      <c r="AG277" s="2368"/>
      <c r="AH277" s="2368"/>
      <c r="AI277" s="2368"/>
      <c r="AJ277" s="2368"/>
      <c r="AK277" s="2368"/>
      <c r="AL277" s="2368"/>
      <c r="AM277" s="175"/>
      <c r="AN277" s="317"/>
      <c r="AO277" s="144" t="s">
        <v>119</v>
      </c>
      <c r="AP277" s="46">
        <v>8</v>
      </c>
      <c r="AT277" s="1029"/>
      <c r="AU277" s="1029"/>
      <c r="AV277" s="1029"/>
      <c r="AW277" s="1029"/>
      <c r="AX277" s="1029"/>
      <c r="AY277" s="1029"/>
      <c r="AZ277" s="1029"/>
    </row>
    <row r="278" spans="1:82" s="16" customFormat="1" ht="13">
      <c r="A278" s="28"/>
      <c r="B278" s="173"/>
      <c r="C278" s="218"/>
      <c r="D278" s="144"/>
      <c r="E278" s="2378"/>
      <c r="F278" s="2378"/>
      <c r="G278" s="2378"/>
      <c r="H278" s="2378"/>
      <c r="I278" s="2378"/>
      <c r="J278" s="2378"/>
      <c r="K278" s="2378"/>
      <c r="L278" s="2378"/>
      <c r="M278" s="2378"/>
      <c r="N278" s="2378"/>
      <c r="O278" s="2378"/>
      <c r="P278" s="2378"/>
      <c r="Q278" s="2378"/>
      <c r="R278" s="2378"/>
      <c r="S278" s="2378"/>
      <c r="T278" s="2378"/>
      <c r="U278" s="2378"/>
      <c r="V278" s="2378"/>
      <c r="W278" s="2378"/>
      <c r="X278" s="2378"/>
      <c r="Y278" s="2378"/>
      <c r="Z278" s="2378"/>
      <c r="AA278" s="2378"/>
      <c r="AB278" s="2378"/>
      <c r="AC278" s="2378"/>
      <c r="AD278" s="2378"/>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ht="13">
      <c r="A279" s="28"/>
      <c r="B279" s="173"/>
      <c r="C279" s="218"/>
      <c r="D279" s="144"/>
      <c r="E279" s="2378"/>
      <c r="F279" s="2378"/>
      <c r="G279" s="2378"/>
      <c r="H279" s="2378"/>
      <c r="I279" s="2378"/>
      <c r="J279" s="2378"/>
      <c r="K279" s="2378"/>
      <c r="L279" s="2378"/>
      <c r="M279" s="2378"/>
      <c r="N279" s="2378"/>
      <c r="O279" s="2378"/>
      <c r="P279" s="2378"/>
      <c r="Q279" s="2378"/>
      <c r="R279" s="2378"/>
      <c r="S279" s="2378"/>
      <c r="T279" s="2378"/>
      <c r="U279" s="2378"/>
      <c r="V279" s="2378"/>
      <c r="W279" s="2378"/>
      <c r="X279" s="2378"/>
      <c r="Y279" s="2378"/>
      <c r="Z279" s="2378"/>
      <c r="AA279" s="2378"/>
      <c r="AB279" s="2378"/>
      <c r="AC279" s="2378"/>
      <c r="AD279" s="2378"/>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ht="13">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ht="13">
      <c r="A281" s="28"/>
      <c r="B281" s="173"/>
      <c r="C281" s="218"/>
      <c r="D281" s="28" t="s">
        <v>163</v>
      </c>
      <c r="E281" s="1024"/>
      <c r="F281" s="1024"/>
      <c r="G281" s="1024"/>
      <c r="H281" s="2377" t="s">
        <v>136</v>
      </c>
      <c r="I281" s="237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1939</v>
      </c>
      <c r="AJ283" s="2365">
        <f>VLOOKUP($H$281,$AO$276:$AP$277,2,FALSE)</f>
        <v>0</v>
      </c>
      <c r="AK283" s="2367"/>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65">
        <f>$AJ$129+$AJ$144+$AJ$156+$AJ$189+$AJ$208+$AJ$220+$AJ$232+$AJ$246+$AJ$258+$AJ$273+AJ283</f>
        <v>18</v>
      </c>
      <c r="AL285" s="2366"/>
      <c r="AM285" s="236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8" t="s">
        <v>2500</v>
      </c>
      <c r="I289" s="1698"/>
      <c r="J289" s="1698"/>
      <c r="K289" s="1698"/>
      <c r="L289" s="1698"/>
      <c r="M289" s="1698"/>
      <c r="N289" s="1698"/>
      <c r="O289" s="1698"/>
      <c r="P289" s="1698"/>
      <c r="Q289" s="1698"/>
      <c r="R289" s="1698"/>
      <c r="S289" s="16"/>
      <c r="T289" s="72" t="s">
        <v>100</v>
      </c>
      <c r="U289" s="16"/>
      <c r="V289" s="72"/>
      <c r="W289" s="72"/>
      <c r="X289" s="72"/>
      <c r="Y289" s="72"/>
      <c r="Z289" s="16"/>
      <c r="AA289" s="1698" t="s">
        <v>2505</v>
      </c>
      <c r="AB289" s="1698"/>
      <c r="AC289" s="1698"/>
      <c r="AD289" s="1698"/>
      <c r="AE289" s="1698"/>
      <c r="AF289" s="1698"/>
      <c r="AG289" s="1698"/>
      <c r="AH289" s="1698"/>
      <c r="AI289" s="1698"/>
      <c r="AJ289" s="1698"/>
      <c r="AK289" s="1698"/>
      <c r="AL289" s="25"/>
      <c r="AM289" s="137"/>
      <c r="AN289" s="439"/>
    </row>
    <row r="290" spans="1:41" s="46" customFormat="1" ht="12.75" customHeight="1">
      <c r="A290" s="153"/>
      <c r="B290" s="72" t="s">
        <v>764</v>
      </c>
      <c r="C290" s="72"/>
      <c r="D290" s="72"/>
      <c r="E290" s="72"/>
      <c r="F290" s="72"/>
      <c r="G290" s="16"/>
      <c r="H290" s="1696" t="s">
        <v>2501</v>
      </c>
      <c r="I290" s="1696"/>
      <c r="J290" s="1696"/>
      <c r="K290" s="1696"/>
      <c r="L290" s="1696"/>
      <c r="M290" s="1696"/>
      <c r="N290" s="1696"/>
      <c r="O290" s="1696"/>
      <c r="P290" s="1696"/>
      <c r="Q290" s="1696"/>
      <c r="R290" s="1696"/>
      <c r="S290" s="16"/>
      <c r="T290" s="72" t="s">
        <v>764</v>
      </c>
      <c r="U290" s="16"/>
      <c r="V290" s="72"/>
      <c r="W290" s="72"/>
      <c r="X290" s="72"/>
      <c r="Y290" s="72"/>
      <c r="Z290" s="16"/>
      <c r="AA290" s="1696" t="s">
        <v>2506</v>
      </c>
      <c r="AB290" s="1696"/>
      <c r="AC290" s="1696"/>
      <c r="AD290" s="1696"/>
      <c r="AE290" s="1696"/>
      <c r="AF290" s="1696"/>
      <c r="AG290" s="1696"/>
      <c r="AH290" s="1696"/>
      <c r="AI290" s="1696"/>
      <c r="AJ290" s="1696"/>
      <c r="AK290" s="1696"/>
      <c r="AL290" s="25"/>
      <c r="AM290" s="137"/>
      <c r="AN290" s="439"/>
    </row>
    <row r="291" spans="1:41" s="46" customFormat="1" ht="12.75" customHeight="1">
      <c r="A291" s="153"/>
      <c r="B291" s="72" t="s">
        <v>110</v>
      </c>
      <c r="C291" s="72"/>
      <c r="D291" s="72"/>
      <c r="E291" s="72"/>
      <c r="F291" s="72"/>
      <c r="G291" s="16"/>
      <c r="H291" s="1696" t="s">
        <v>2502</v>
      </c>
      <c r="I291" s="1696"/>
      <c r="J291" s="1696"/>
      <c r="K291" s="1696"/>
      <c r="L291" s="1696"/>
      <c r="M291" s="1696"/>
      <c r="N291" s="1696"/>
      <c r="O291" s="1696"/>
      <c r="P291" s="1696"/>
      <c r="Q291" s="1696"/>
      <c r="R291" s="1696"/>
      <c r="S291" s="16"/>
      <c r="T291" s="72" t="s">
        <v>110</v>
      </c>
      <c r="U291" s="16"/>
      <c r="V291" s="72"/>
      <c r="W291" s="72"/>
      <c r="X291" s="72"/>
      <c r="Y291" s="72"/>
      <c r="Z291" s="16"/>
      <c r="AA291" s="1696" t="str">
        <f>H291</f>
        <v>Ventura 93001</v>
      </c>
      <c r="AB291" s="1696"/>
      <c r="AC291" s="1696"/>
      <c r="AD291" s="1696"/>
      <c r="AE291" s="1696"/>
      <c r="AF291" s="1696"/>
      <c r="AG291" s="1696"/>
      <c r="AH291" s="1696"/>
      <c r="AI291" s="1696"/>
      <c r="AJ291" s="1696"/>
      <c r="AK291" s="1696"/>
      <c r="AL291" s="25"/>
      <c r="AM291" s="137"/>
      <c r="AN291" s="439"/>
      <c r="AO291" s="331"/>
    </row>
    <row r="292" spans="1:41" s="46" customFormat="1" ht="12.75" customHeight="1">
      <c r="A292" s="153"/>
      <c r="B292" s="72" t="s">
        <v>418</v>
      </c>
      <c r="C292" s="72"/>
      <c r="D292" s="72"/>
      <c r="E292" s="72"/>
      <c r="F292" s="72"/>
      <c r="G292" s="16"/>
      <c r="H292" s="1696"/>
      <c r="I292" s="1696"/>
      <c r="J292" s="1696"/>
      <c r="K292" s="1696"/>
      <c r="L292" s="1696"/>
      <c r="M292" s="1696"/>
      <c r="N292" s="1696"/>
      <c r="O292" s="1696"/>
      <c r="P292" s="1696"/>
      <c r="Q292" s="1696"/>
      <c r="R292" s="1696"/>
      <c r="S292" s="16"/>
      <c r="T292" s="72" t="s">
        <v>418</v>
      </c>
      <c r="U292" s="16"/>
      <c r="V292" s="72"/>
      <c r="W292" s="72"/>
      <c r="X292" s="72"/>
      <c r="Y292" s="72"/>
      <c r="Z292" s="16"/>
      <c r="AA292" s="1696" t="s">
        <v>2507</v>
      </c>
      <c r="AB292" s="1696"/>
      <c r="AC292" s="1696"/>
      <c r="AD292" s="1696"/>
      <c r="AE292" s="1696"/>
      <c r="AF292" s="1696"/>
      <c r="AG292" s="1696"/>
      <c r="AH292" s="1696"/>
      <c r="AI292" s="1696"/>
      <c r="AJ292" s="1696"/>
      <c r="AK292" s="1696"/>
      <c r="AL292" s="25"/>
      <c r="AM292" s="137"/>
      <c r="AN292" s="439"/>
      <c r="AO292" s="331"/>
    </row>
    <row r="293" spans="1:41" s="46" customFormat="1" ht="12.75" customHeight="1">
      <c r="A293" s="153"/>
      <c r="B293" s="72" t="s">
        <v>419</v>
      </c>
      <c r="C293" s="72"/>
      <c r="D293" s="72"/>
      <c r="E293" s="72"/>
      <c r="F293" s="72"/>
      <c r="G293" s="72"/>
      <c r="H293" s="1701" t="s">
        <v>2503</v>
      </c>
      <c r="I293" s="1702"/>
      <c r="J293" s="1702"/>
      <c r="K293" s="1702"/>
      <c r="L293" s="1702"/>
      <c r="M293" s="1702"/>
      <c r="N293" s="8" t="s">
        <v>899</v>
      </c>
      <c r="O293" s="8"/>
      <c r="P293" s="1692"/>
      <c r="Q293" s="1692"/>
      <c r="R293" s="1692"/>
      <c r="S293" s="72"/>
      <c r="T293" s="72" t="s">
        <v>419</v>
      </c>
      <c r="U293" s="16"/>
      <c r="V293" s="72"/>
      <c r="W293" s="72"/>
      <c r="X293" s="72"/>
      <c r="Y293" s="72"/>
      <c r="Z293" s="16"/>
      <c r="AA293" s="1701" t="s">
        <v>2508</v>
      </c>
      <c r="AB293" s="1702"/>
      <c r="AC293" s="1702"/>
      <c r="AD293" s="1702"/>
      <c r="AE293" s="1702"/>
      <c r="AF293" s="1702"/>
      <c r="AG293" s="8" t="s">
        <v>899</v>
      </c>
      <c r="AH293" s="8"/>
      <c r="AI293" s="1692"/>
      <c r="AJ293" s="1692"/>
      <c r="AK293" s="1692"/>
      <c r="AL293" s="25"/>
      <c r="AM293" s="137"/>
      <c r="AN293" s="439"/>
      <c r="AO293" s="331"/>
    </row>
    <row r="294" spans="1:41" s="46" customFormat="1" ht="12.75" customHeight="1">
      <c r="A294" s="153"/>
      <c r="B294" s="72" t="s">
        <v>99</v>
      </c>
      <c r="C294" s="72"/>
      <c r="D294" s="72"/>
      <c r="E294" s="72"/>
      <c r="F294" s="72"/>
      <c r="G294" s="72"/>
      <c r="H294" s="1696" t="s">
        <v>102</v>
      </c>
      <c r="I294" s="1696"/>
      <c r="J294" s="1696"/>
      <c r="K294" s="1696"/>
      <c r="L294" s="1696"/>
      <c r="M294" s="1696"/>
      <c r="N294" s="1696"/>
      <c r="O294" s="1696"/>
      <c r="P294" s="1696"/>
      <c r="Q294" s="1696"/>
      <c r="R294" s="1696"/>
      <c r="S294" s="72"/>
      <c r="T294" s="72" t="s">
        <v>99</v>
      </c>
      <c r="U294" s="16"/>
      <c r="V294" s="72"/>
      <c r="W294" s="72"/>
      <c r="X294" s="72"/>
      <c r="Y294" s="72"/>
      <c r="Z294" s="16"/>
      <c r="AA294" s="1696" t="s">
        <v>103</v>
      </c>
      <c r="AB294" s="1696"/>
      <c r="AC294" s="1696"/>
      <c r="AD294" s="1696"/>
      <c r="AE294" s="1696"/>
      <c r="AF294" s="1696"/>
      <c r="AG294" s="1696"/>
      <c r="AH294" s="1696"/>
      <c r="AI294" s="1696"/>
      <c r="AJ294" s="1696"/>
      <c r="AK294" s="1696"/>
      <c r="AL294" s="25"/>
      <c r="AM294" s="137"/>
      <c r="AN294" s="439"/>
      <c r="AO294" s="331"/>
    </row>
    <row r="295" spans="1:41" s="46" customFormat="1" ht="12.75" customHeight="1">
      <c r="A295" s="153"/>
      <c r="B295" s="72" t="s">
        <v>101</v>
      </c>
      <c r="C295" s="72"/>
      <c r="D295" s="72"/>
      <c r="E295" s="72"/>
      <c r="F295" s="72"/>
      <c r="G295" s="72"/>
      <c r="H295" s="1696" t="s">
        <v>2504</v>
      </c>
      <c r="I295" s="1696"/>
      <c r="J295" s="1696"/>
      <c r="K295" s="1696"/>
      <c r="L295" s="1696"/>
      <c r="M295" s="1696"/>
      <c r="N295" s="1696"/>
      <c r="O295" s="1696"/>
      <c r="P295" s="1696"/>
      <c r="Q295" s="1696"/>
      <c r="R295" s="1696"/>
      <c r="S295" s="72"/>
      <c r="T295" s="72" t="s">
        <v>101</v>
      </c>
      <c r="U295" s="16"/>
      <c r="V295" s="72"/>
      <c r="W295" s="72"/>
      <c r="X295" s="72"/>
      <c r="Y295" s="72"/>
      <c r="Z295" s="16"/>
      <c r="AA295" s="1696"/>
      <c r="AB295" s="1696"/>
      <c r="AC295" s="1696"/>
      <c r="AD295" s="1696"/>
      <c r="AE295" s="1696"/>
      <c r="AF295" s="1696"/>
      <c r="AG295" s="1696"/>
      <c r="AH295" s="1696"/>
      <c r="AI295" s="1696"/>
      <c r="AJ295" s="1696"/>
      <c r="AK295" s="1696"/>
      <c r="AL295" s="25"/>
      <c r="AM295" s="137"/>
      <c r="AN295" s="439"/>
    </row>
    <row r="296" spans="1:41" s="137" customFormat="1" ht="12.75" customHeight="1">
      <c r="A296" s="153"/>
      <c r="B296" s="72" t="s">
        <v>112</v>
      </c>
      <c r="C296" s="72"/>
      <c r="D296" s="72"/>
      <c r="E296" s="72"/>
      <c r="F296" s="72"/>
      <c r="G296" s="72"/>
      <c r="H296" s="2419">
        <v>0.21</v>
      </c>
      <c r="I296" s="2419"/>
      <c r="J296" s="2419"/>
      <c r="K296" s="2419"/>
      <c r="L296" s="2419"/>
      <c r="M296" s="2419"/>
      <c r="N296" s="2419"/>
      <c r="O296" s="2419"/>
      <c r="P296" s="2419"/>
      <c r="Q296" s="2419"/>
      <c r="R296" s="2419"/>
      <c r="S296" s="72"/>
      <c r="T296" s="72" t="s">
        <v>112</v>
      </c>
      <c r="U296" s="72"/>
      <c r="V296" s="72"/>
      <c r="W296" s="72"/>
      <c r="X296" s="72"/>
      <c r="Y296" s="72"/>
      <c r="Z296" s="18"/>
      <c r="AA296" s="2419">
        <v>0.02</v>
      </c>
      <c r="AB296" s="2419"/>
      <c r="AC296" s="2419"/>
      <c r="AD296" s="2419"/>
      <c r="AE296" s="2419"/>
      <c r="AF296" s="2419"/>
      <c r="AG296" s="2419"/>
      <c r="AH296" s="2419"/>
      <c r="AI296" s="2419"/>
      <c r="AJ296" s="2419"/>
      <c r="AK296" s="2419"/>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8" t="s">
        <v>2509</v>
      </c>
      <c r="I298" s="1698"/>
      <c r="J298" s="1698"/>
      <c r="K298" s="1698"/>
      <c r="L298" s="1698"/>
      <c r="M298" s="1698"/>
      <c r="N298" s="1698"/>
      <c r="O298" s="1698"/>
      <c r="P298" s="1698"/>
      <c r="Q298" s="1698"/>
      <c r="R298" s="1698"/>
      <c r="S298" s="16"/>
      <c r="T298" s="72" t="s">
        <v>100</v>
      </c>
      <c r="U298" s="16"/>
      <c r="V298" s="72"/>
      <c r="W298" s="72"/>
      <c r="X298" s="72"/>
      <c r="Y298" s="72"/>
      <c r="Z298" s="16"/>
      <c r="AA298" s="1698" t="s">
        <v>2514</v>
      </c>
      <c r="AB298" s="1698"/>
      <c r="AC298" s="1698"/>
      <c r="AD298" s="1698"/>
      <c r="AE298" s="1698"/>
      <c r="AF298" s="1698"/>
      <c r="AG298" s="1698"/>
      <c r="AH298" s="1698"/>
      <c r="AI298" s="1698"/>
      <c r="AJ298" s="1698"/>
      <c r="AK298" s="1698"/>
      <c r="AL298" s="25"/>
      <c r="AM298" s="137"/>
      <c r="AN298" s="439"/>
    </row>
    <row r="299" spans="1:41" s="205" customFormat="1" ht="12.75" customHeight="1">
      <c r="A299" s="153"/>
      <c r="B299" s="72" t="s">
        <v>764</v>
      </c>
      <c r="C299" s="72"/>
      <c r="D299" s="72"/>
      <c r="E299" s="72"/>
      <c r="F299" s="72"/>
      <c r="G299" s="16"/>
      <c r="H299" s="1696" t="s">
        <v>2510</v>
      </c>
      <c r="I299" s="1696"/>
      <c r="J299" s="1696"/>
      <c r="K299" s="1696"/>
      <c r="L299" s="1696"/>
      <c r="M299" s="1696"/>
      <c r="N299" s="1696"/>
      <c r="O299" s="1696"/>
      <c r="P299" s="1696"/>
      <c r="Q299" s="1696"/>
      <c r="R299" s="1696"/>
      <c r="S299" s="16"/>
      <c r="T299" s="72" t="s">
        <v>764</v>
      </c>
      <c r="U299" s="16"/>
      <c r="V299" s="72"/>
      <c r="W299" s="72"/>
      <c r="X299" s="72"/>
      <c r="Y299" s="72"/>
      <c r="Z299" s="16"/>
      <c r="AA299" s="1696" t="s">
        <v>2515</v>
      </c>
      <c r="AB299" s="1696"/>
      <c r="AC299" s="1696"/>
      <c r="AD299" s="1696"/>
      <c r="AE299" s="1696"/>
      <c r="AF299" s="1696"/>
      <c r="AG299" s="1696"/>
      <c r="AH299" s="1696"/>
      <c r="AI299" s="1696"/>
      <c r="AJ299" s="1696"/>
      <c r="AK299" s="1696"/>
      <c r="AL299" s="25"/>
      <c r="AM299" s="137"/>
      <c r="AN299" s="439"/>
      <c r="AO299" s="46"/>
    </row>
    <row r="300" spans="1:41" s="205" customFormat="1" ht="12.75" customHeight="1">
      <c r="A300" s="153"/>
      <c r="B300" s="72" t="s">
        <v>110</v>
      </c>
      <c r="C300" s="72"/>
      <c r="D300" s="72"/>
      <c r="E300" s="72"/>
      <c r="F300" s="72"/>
      <c r="G300" s="16"/>
      <c r="H300" s="1696" t="str">
        <f>H291</f>
        <v>Ventura 93001</v>
      </c>
      <c r="I300" s="1696"/>
      <c r="J300" s="1696"/>
      <c r="K300" s="1696"/>
      <c r="L300" s="1696"/>
      <c r="M300" s="1696"/>
      <c r="N300" s="1696"/>
      <c r="O300" s="1696"/>
      <c r="P300" s="1696"/>
      <c r="Q300" s="1696"/>
      <c r="R300" s="1696"/>
      <c r="S300" s="16"/>
      <c r="T300" s="72" t="s">
        <v>110</v>
      </c>
      <c r="U300" s="16"/>
      <c r="V300" s="72"/>
      <c r="W300" s="72"/>
      <c r="X300" s="72"/>
      <c r="Y300" s="72"/>
      <c r="Z300" s="16"/>
      <c r="AA300" s="1696" t="str">
        <f>H291</f>
        <v>Ventura 93001</v>
      </c>
      <c r="AB300" s="1696"/>
      <c r="AC300" s="1696"/>
      <c r="AD300" s="1696"/>
      <c r="AE300" s="1696"/>
      <c r="AF300" s="1696"/>
      <c r="AG300" s="1696"/>
      <c r="AH300" s="1696"/>
      <c r="AI300" s="1696"/>
      <c r="AJ300" s="1696"/>
      <c r="AK300" s="1696"/>
      <c r="AL300" s="25"/>
      <c r="AM300" s="137"/>
      <c r="AN300" s="439"/>
      <c r="AO300" s="46"/>
    </row>
    <row r="301" spans="1:41" s="46" customFormat="1" ht="12.75" customHeight="1">
      <c r="A301" s="153"/>
      <c r="B301" s="72" t="s">
        <v>418</v>
      </c>
      <c r="C301" s="72"/>
      <c r="D301" s="72"/>
      <c r="E301" s="72"/>
      <c r="F301" s="72"/>
      <c r="G301" s="16"/>
      <c r="H301" s="1696" t="s">
        <v>2511</v>
      </c>
      <c r="I301" s="1696"/>
      <c r="J301" s="1696"/>
      <c r="K301" s="1696"/>
      <c r="L301" s="1696"/>
      <c r="M301" s="1696"/>
      <c r="N301" s="1696"/>
      <c r="O301" s="1696"/>
      <c r="P301" s="1696"/>
      <c r="Q301" s="1696"/>
      <c r="R301" s="1696"/>
      <c r="S301" s="16"/>
      <c r="T301" s="72" t="s">
        <v>418</v>
      </c>
      <c r="U301" s="16"/>
      <c r="V301" s="72"/>
      <c r="W301" s="72"/>
      <c r="X301" s="72"/>
      <c r="Y301" s="72"/>
      <c r="Z301" s="16"/>
      <c r="AA301" s="1696" t="s">
        <v>2516</v>
      </c>
      <c r="AB301" s="1696"/>
      <c r="AC301" s="1696"/>
      <c r="AD301" s="1696"/>
      <c r="AE301" s="1696"/>
      <c r="AF301" s="1696"/>
      <c r="AG301" s="1696"/>
      <c r="AH301" s="1696"/>
      <c r="AI301" s="1696"/>
      <c r="AJ301" s="1696"/>
      <c r="AK301" s="1696"/>
      <c r="AL301" s="25"/>
      <c r="AM301" s="137"/>
      <c r="AN301" s="439"/>
    </row>
    <row r="302" spans="1:41" s="46" customFormat="1" ht="12.75" customHeight="1">
      <c r="A302" s="153"/>
      <c r="B302" s="72" t="s">
        <v>419</v>
      </c>
      <c r="C302" s="72"/>
      <c r="D302" s="72"/>
      <c r="E302" s="72"/>
      <c r="F302" s="72"/>
      <c r="G302" s="72"/>
      <c r="H302" s="1701" t="s">
        <v>2513</v>
      </c>
      <c r="I302" s="1702"/>
      <c r="J302" s="1702"/>
      <c r="K302" s="1702"/>
      <c r="L302" s="1702"/>
      <c r="M302" s="1702"/>
      <c r="N302" s="8" t="s">
        <v>899</v>
      </c>
      <c r="O302" s="8"/>
      <c r="P302" s="1692"/>
      <c r="Q302" s="1692"/>
      <c r="R302" s="1692"/>
      <c r="S302" s="72"/>
      <c r="T302" s="72" t="s">
        <v>419</v>
      </c>
      <c r="U302" s="16"/>
      <c r="V302" s="72"/>
      <c r="W302" s="72"/>
      <c r="X302" s="72"/>
      <c r="Y302" s="72"/>
      <c r="Z302" s="16"/>
      <c r="AA302" s="1701" t="s">
        <v>2517</v>
      </c>
      <c r="AB302" s="1702"/>
      <c r="AC302" s="1702"/>
      <c r="AD302" s="1702"/>
      <c r="AE302" s="1702"/>
      <c r="AF302" s="1702"/>
      <c r="AG302" s="8" t="s">
        <v>899</v>
      </c>
      <c r="AH302" s="8"/>
      <c r="AI302" s="1692"/>
      <c r="AJ302" s="1692"/>
      <c r="AK302" s="1692"/>
      <c r="AL302" s="25"/>
      <c r="AM302" s="137"/>
      <c r="AN302" s="439"/>
    </row>
    <row r="303" spans="1:41" s="46" customFormat="1" ht="12.75" customHeight="1">
      <c r="A303" s="153"/>
      <c r="B303" s="72" t="s">
        <v>99</v>
      </c>
      <c r="C303" s="72"/>
      <c r="D303" s="72"/>
      <c r="E303" s="72"/>
      <c r="F303" s="72"/>
      <c r="G303" s="72"/>
      <c r="H303" s="1696" t="s">
        <v>104</v>
      </c>
      <c r="I303" s="1696"/>
      <c r="J303" s="1696"/>
      <c r="K303" s="1696"/>
      <c r="L303" s="1696"/>
      <c r="M303" s="1696"/>
      <c r="N303" s="1696"/>
      <c r="O303" s="1696"/>
      <c r="P303" s="1696"/>
      <c r="Q303" s="1696"/>
      <c r="R303" s="1696"/>
      <c r="S303" s="72"/>
      <c r="T303" s="72" t="s">
        <v>99</v>
      </c>
      <c r="U303" s="16"/>
      <c r="V303" s="72"/>
      <c r="W303" s="72"/>
      <c r="X303" s="72"/>
      <c r="Y303" s="72"/>
      <c r="Z303" s="16"/>
      <c r="AA303" s="1696" t="s">
        <v>388</v>
      </c>
      <c r="AB303" s="1696"/>
      <c r="AC303" s="1696"/>
      <c r="AD303" s="1696"/>
      <c r="AE303" s="1696"/>
      <c r="AF303" s="1696"/>
      <c r="AG303" s="1696"/>
      <c r="AH303" s="1696"/>
      <c r="AI303" s="1696"/>
      <c r="AJ303" s="1696"/>
      <c r="AK303" s="1696"/>
      <c r="AL303" s="25"/>
      <c r="AM303" s="137"/>
      <c r="AN303" s="439"/>
    </row>
    <row r="304" spans="1:41" s="46" customFormat="1" ht="12.75" customHeight="1">
      <c r="A304" s="153"/>
      <c r="B304" s="72" t="s">
        <v>101</v>
      </c>
      <c r="C304" s="72"/>
      <c r="D304" s="72"/>
      <c r="E304" s="72"/>
      <c r="F304" s="72"/>
      <c r="G304" s="72"/>
      <c r="H304" s="1696" t="s">
        <v>2512</v>
      </c>
      <c r="I304" s="1696"/>
      <c r="J304" s="1696"/>
      <c r="K304" s="1696"/>
      <c r="L304" s="1696"/>
      <c r="M304" s="1696"/>
      <c r="N304" s="1696"/>
      <c r="O304" s="1696"/>
      <c r="P304" s="1696"/>
      <c r="Q304" s="1696"/>
      <c r="R304" s="1696"/>
      <c r="S304" s="72"/>
      <c r="T304" s="72" t="s">
        <v>101</v>
      </c>
      <c r="U304" s="16"/>
      <c r="V304" s="72"/>
      <c r="W304" s="72"/>
      <c r="X304" s="72"/>
      <c r="Y304" s="72"/>
      <c r="Z304" s="16"/>
      <c r="AA304" s="1696" t="s">
        <v>2518</v>
      </c>
      <c r="AB304" s="1696"/>
      <c r="AC304" s="1696"/>
      <c r="AD304" s="1696"/>
      <c r="AE304" s="1696"/>
      <c r="AF304" s="1696"/>
      <c r="AG304" s="1696"/>
      <c r="AH304" s="1696"/>
      <c r="AI304" s="1696"/>
      <c r="AJ304" s="1696"/>
      <c r="AK304" s="1696"/>
      <c r="AL304" s="25"/>
      <c r="AM304" s="137"/>
      <c r="AN304" s="439"/>
    </row>
    <row r="305" spans="1:40" s="46" customFormat="1" ht="12.75" customHeight="1">
      <c r="A305" s="153"/>
      <c r="B305" s="72" t="s">
        <v>112</v>
      </c>
      <c r="C305" s="72"/>
      <c r="D305" s="72"/>
      <c r="E305" s="72"/>
      <c r="F305" s="72"/>
      <c r="G305" s="72"/>
      <c r="H305" s="2419">
        <v>0.34</v>
      </c>
      <c r="I305" s="2419"/>
      <c r="J305" s="2419"/>
      <c r="K305" s="2419"/>
      <c r="L305" s="2419"/>
      <c r="M305" s="2419"/>
      <c r="N305" s="2419"/>
      <c r="O305" s="2419"/>
      <c r="P305" s="2419"/>
      <c r="Q305" s="2419"/>
      <c r="R305" s="2419"/>
      <c r="S305" s="72"/>
      <c r="T305" s="72" t="s">
        <v>112</v>
      </c>
      <c r="U305" s="72"/>
      <c r="V305" s="72"/>
      <c r="W305" s="72"/>
      <c r="X305" s="72"/>
      <c r="Y305" s="72"/>
      <c r="Z305" s="18"/>
      <c r="AA305" s="2419">
        <v>0.74</v>
      </c>
      <c r="AB305" s="2419"/>
      <c r="AC305" s="2419"/>
      <c r="AD305" s="2419"/>
      <c r="AE305" s="2419"/>
      <c r="AF305" s="2419"/>
      <c r="AG305" s="2419"/>
      <c r="AH305" s="2419"/>
      <c r="AI305" s="2419"/>
      <c r="AJ305" s="2419"/>
      <c r="AK305" s="241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8" t="s">
        <v>2519</v>
      </c>
      <c r="I307" s="1698"/>
      <c r="J307" s="1698"/>
      <c r="K307" s="1698"/>
      <c r="L307" s="1698"/>
      <c r="M307" s="1698"/>
      <c r="N307" s="1698"/>
      <c r="O307" s="1698"/>
      <c r="P307" s="1698"/>
      <c r="Q307" s="1698"/>
      <c r="R307" s="1698"/>
      <c r="S307" s="16"/>
      <c r="T307" s="72" t="s">
        <v>100</v>
      </c>
      <c r="U307" s="16"/>
      <c r="V307" s="72"/>
      <c r="W307" s="72"/>
      <c r="X307" s="72"/>
      <c r="Y307" s="72"/>
      <c r="Z307" s="16"/>
      <c r="AA307" s="1698"/>
      <c r="AB307" s="1698"/>
      <c r="AC307" s="1698"/>
      <c r="AD307" s="1698"/>
      <c r="AE307" s="1698"/>
      <c r="AF307" s="1698"/>
      <c r="AG307" s="1698"/>
      <c r="AH307" s="1698"/>
      <c r="AI307" s="1698"/>
      <c r="AJ307" s="1698"/>
      <c r="AK307" s="1698"/>
      <c r="AL307" s="25"/>
      <c r="AM307" s="137"/>
      <c r="AN307" s="439"/>
    </row>
    <row r="308" spans="1:40" s="46" customFormat="1" ht="12.75" customHeight="1">
      <c r="A308" s="153"/>
      <c r="B308" s="72" t="s">
        <v>764</v>
      </c>
      <c r="C308" s="72"/>
      <c r="D308" s="72"/>
      <c r="E308" s="72"/>
      <c r="F308" s="72"/>
      <c r="G308" s="16"/>
      <c r="H308" s="1696" t="s">
        <v>2520</v>
      </c>
      <c r="I308" s="1696"/>
      <c r="J308" s="1696"/>
      <c r="K308" s="1696"/>
      <c r="L308" s="1696"/>
      <c r="M308" s="1696"/>
      <c r="N308" s="1696"/>
      <c r="O308" s="1696"/>
      <c r="P308" s="1696"/>
      <c r="Q308" s="1696"/>
      <c r="R308" s="1696"/>
      <c r="S308" s="16"/>
      <c r="T308" s="72" t="s">
        <v>764</v>
      </c>
      <c r="U308" s="16"/>
      <c r="V308" s="72"/>
      <c r="W308" s="72"/>
      <c r="X308" s="72"/>
      <c r="Y308" s="72"/>
      <c r="Z308" s="16"/>
      <c r="AA308" s="1696"/>
      <c r="AB308" s="1696"/>
      <c r="AC308" s="1696"/>
      <c r="AD308" s="1696"/>
      <c r="AE308" s="1696"/>
      <c r="AF308" s="1696"/>
      <c r="AG308" s="1696"/>
      <c r="AH308" s="1696"/>
      <c r="AI308" s="1696"/>
      <c r="AJ308" s="1696"/>
      <c r="AK308" s="1696"/>
      <c r="AL308" s="25"/>
      <c r="AM308" s="137"/>
      <c r="AN308" s="439"/>
    </row>
    <row r="309" spans="1:40" s="46" customFormat="1" ht="12.75" customHeight="1">
      <c r="A309" s="153"/>
      <c r="B309" s="72" t="s">
        <v>110</v>
      </c>
      <c r="C309" s="72"/>
      <c r="D309" s="72"/>
      <c r="E309" s="72"/>
      <c r="F309" s="72"/>
      <c r="G309" s="16"/>
      <c r="H309" s="1696" t="str">
        <f>H291</f>
        <v>Ventura 93001</v>
      </c>
      <c r="I309" s="1696"/>
      <c r="J309" s="1696"/>
      <c r="K309" s="1696"/>
      <c r="L309" s="1696"/>
      <c r="M309" s="1696"/>
      <c r="N309" s="1696"/>
      <c r="O309" s="1696"/>
      <c r="P309" s="1696"/>
      <c r="Q309" s="1696"/>
      <c r="R309" s="1696"/>
      <c r="S309" s="16"/>
      <c r="T309" s="72" t="s">
        <v>110</v>
      </c>
      <c r="U309" s="16"/>
      <c r="V309" s="72"/>
      <c r="W309" s="72"/>
      <c r="X309" s="72"/>
      <c r="Y309" s="72"/>
      <c r="Z309" s="16"/>
      <c r="AA309" s="1696"/>
      <c r="AB309" s="1696"/>
      <c r="AC309" s="1696"/>
      <c r="AD309" s="1696"/>
      <c r="AE309" s="1696"/>
      <c r="AF309" s="1696"/>
      <c r="AG309" s="1696"/>
      <c r="AH309" s="1696"/>
      <c r="AI309" s="1696"/>
      <c r="AJ309" s="1696"/>
      <c r="AK309" s="1696"/>
      <c r="AL309" s="25"/>
      <c r="AM309" s="137"/>
      <c r="AN309" s="439"/>
    </row>
    <row r="310" spans="1:40" s="46" customFormat="1" ht="12.75" customHeight="1">
      <c r="A310" s="153"/>
      <c r="B310" s="72" t="s">
        <v>418</v>
      </c>
      <c r="C310" s="72"/>
      <c r="D310" s="72"/>
      <c r="E310" s="72"/>
      <c r="F310" s="72"/>
      <c r="G310" s="16"/>
      <c r="H310" s="1696"/>
      <c r="I310" s="1696"/>
      <c r="J310" s="1696"/>
      <c r="K310" s="1696"/>
      <c r="L310" s="1696"/>
      <c r="M310" s="1696"/>
      <c r="N310" s="1696"/>
      <c r="O310" s="1696"/>
      <c r="P310" s="1696"/>
      <c r="Q310" s="1696"/>
      <c r="R310" s="1696"/>
      <c r="S310" s="16"/>
      <c r="T310" s="72" t="s">
        <v>418</v>
      </c>
      <c r="U310" s="16"/>
      <c r="V310" s="72"/>
      <c r="W310" s="72"/>
      <c r="X310" s="72"/>
      <c r="Y310" s="72"/>
      <c r="Z310" s="16"/>
      <c r="AA310" s="1696"/>
      <c r="AB310" s="1696"/>
      <c r="AC310" s="1696"/>
      <c r="AD310" s="1696"/>
      <c r="AE310" s="1696"/>
      <c r="AF310" s="1696"/>
      <c r="AG310" s="1696"/>
      <c r="AH310" s="1696"/>
      <c r="AI310" s="1696"/>
      <c r="AJ310" s="1696"/>
      <c r="AK310" s="1696"/>
      <c r="AL310" s="25"/>
      <c r="AM310" s="137"/>
      <c r="AN310" s="439"/>
    </row>
    <row r="311" spans="1:40" s="46" customFormat="1" ht="12.75" customHeight="1">
      <c r="A311" s="153"/>
      <c r="B311" s="72" t="s">
        <v>419</v>
      </c>
      <c r="C311" s="72"/>
      <c r="D311" s="72"/>
      <c r="E311" s="72"/>
      <c r="F311" s="72"/>
      <c r="G311" s="72"/>
      <c r="H311" s="1701" t="s">
        <v>2521</v>
      </c>
      <c r="I311" s="1702"/>
      <c r="J311" s="1702"/>
      <c r="K311" s="1702"/>
      <c r="L311" s="1702"/>
      <c r="M311" s="1702"/>
      <c r="N311" s="8" t="s">
        <v>899</v>
      </c>
      <c r="O311" s="8"/>
      <c r="P311" s="1692"/>
      <c r="Q311" s="1692"/>
      <c r="R311" s="1692"/>
      <c r="S311" s="72"/>
      <c r="T311" s="72" t="s">
        <v>419</v>
      </c>
      <c r="U311" s="16"/>
      <c r="V311" s="72"/>
      <c r="W311" s="72"/>
      <c r="X311" s="72"/>
      <c r="Y311" s="72"/>
      <c r="Z311" s="16"/>
      <c r="AA311" s="1702"/>
      <c r="AB311" s="1702"/>
      <c r="AC311" s="1702"/>
      <c r="AD311" s="1702"/>
      <c r="AE311" s="1702"/>
      <c r="AF311" s="1702"/>
      <c r="AG311" s="8" t="s">
        <v>899</v>
      </c>
      <c r="AH311" s="8"/>
      <c r="AI311" s="1692"/>
      <c r="AJ311" s="1692"/>
      <c r="AK311" s="1692"/>
      <c r="AL311" s="25"/>
      <c r="AM311" s="137"/>
      <c r="AN311" s="439"/>
    </row>
    <row r="312" spans="1:40" s="46" customFormat="1" ht="12.75" customHeight="1">
      <c r="A312" s="153"/>
      <c r="B312" s="72" t="s">
        <v>99</v>
      </c>
      <c r="C312" s="72"/>
      <c r="D312" s="72"/>
      <c r="E312" s="72"/>
      <c r="F312" s="72"/>
      <c r="G312" s="72"/>
      <c r="H312" s="1696" t="s">
        <v>107</v>
      </c>
      <c r="I312" s="1696"/>
      <c r="J312" s="1696"/>
      <c r="K312" s="1696"/>
      <c r="L312" s="1696"/>
      <c r="M312" s="1696"/>
      <c r="N312" s="1696"/>
      <c r="O312" s="1696"/>
      <c r="P312" s="1696"/>
      <c r="Q312" s="1696"/>
      <c r="R312" s="1696"/>
      <c r="S312" s="72"/>
      <c r="T312" s="72" t="s">
        <v>99</v>
      </c>
      <c r="U312" s="16"/>
      <c r="V312" s="72"/>
      <c r="W312" s="72"/>
      <c r="X312" s="72"/>
      <c r="Y312" s="72"/>
      <c r="Z312" s="16"/>
      <c r="AA312" s="1696"/>
      <c r="AB312" s="1696"/>
      <c r="AC312" s="1696"/>
      <c r="AD312" s="1696"/>
      <c r="AE312" s="1696"/>
      <c r="AF312" s="1696"/>
      <c r="AG312" s="1696"/>
      <c r="AH312" s="1696"/>
      <c r="AI312" s="1696"/>
      <c r="AJ312" s="1696"/>
      <c r="AK312" s="1696"/>
      <c r="AL312" s="25"/>
      <c r="AM312" s="137"/>
      <c r="AN312" s="439"/>
    </row>
    <row r="313" spans="1:40" s="46" customFormat="1" ht="12.75" customHeight="1">
      <c r="A313" s="153"/>
      <c r="B313" s="72" t="s">
        <v>101</v>
      </c>
      <c r="C313" s="72"/>
      <c r="D313" s="72"/>
      <c r="E313" s="72"/>
      <c r="F313" s="72"/>
      <c r="G313" s="72"/>
      <c r="H313" s="1696" t="s">
        <v>2522</v>
      </c>
      <c r="I313" s="1696"/>
      <c r="J313" s="1696"/>
      <c r="K313" s="1696"/>
      <c r="L313" s="1696"/>
      <c r="M313" s="1696"/>
      <c r="N313" s="1696"/>
      <c r="O313" s="1696"/>
      <c r="P313" s="1696"/>
      <c r="Q313" s="1696"/>
      <c r="R313" s="1696"/>
      <c r="S313" s="72"/>
      <c r="T313" s="72" t="s">
        <v>101</v>
      </c>
      <c r="U313" s="16"/>
      <c r="V313" s="72"/>
      <c r="W313" s="72"/>
      <c r="X313" s="72"/>
      <c r="Y313" s="72"/>
      <c r="Z313" s="16"/>
      <c r="AA313" s="1696"/>
      <c r="AB313" s="1696"/>
      <c r="AC313" s="1696"/>
      <c r="AD313" s="1696"/>
      <c r="AE313" s="1696"/>
      <c r="AF313" s="1696"/>
      <c r="AG313" s="1696"/>
      <c r="AH313" s="1696"/>
      <c r="AI313" s="1696"/>
      <c r="AJ313" s="1696"/>
      <c r="AK313" s="1696"/>
      <c r="AL313" s="25"/>
      <c r="AM313" s="137"/>
      <c r="AN313" s="439"/>
    </row>
    <row r="314" spans="1:40" s="46" customFormat="1" ht="12.75" customHeight="1">
      <c r="A314" s="153"/>
      <c r="B314" s="72" t="s">
        <v>112</v>
      </c>
      <c r="C314" s="72"/>
      <c r="D314" s="72"/>
      <c r="E314" s="72"/>
      <c r="F314" s="72"/>
      <c r="G314" s="72"/>
      <c r="H314" s="2419">
        <v>0.74</v>
      </c>
      <c r="I314" s="2419"/>
      <c r="J314" s="2419"/>
      <c r="K314" s="2419"/>
      <c r="L314" s="2419"/>
      <c r="M314" s="2419"/>
      <c r="N314" s="2419"/>
      <c r="O314" s="2419"/>
      <c r="P314" s="2419"/>
      <c r="Q314" s="2419"/>
      <c r="R314" s="2419"/>
      <c r="S314" s="72"/>
      <c r="T314" s="72" t="s">
        <v>112</v>
      </c>
      <c r="U314" s="72"/>
      <c r="V314" s="72"/>
      <c r="W314" s="72"/>
      <c r="X314" s="72"/>
      <c r="Y314" s="72"/>
      <c r="Z314" s="18"/>
      <c r="AA314" s="2419"/>
      <c r="AB314" s="2419"/>
      <c r="AC314" s="2419"/>
      <c r="AD314" s="2419"/>
      <c r="AE314" s="2419"/>
      <c r="AF314" s="2419"/>
      <c r="AG314" s="2419"/>
      <c r="AH314" s="2419"/>
      <c r="AI314" s="2419"/>
      <c r="AJ314" s="2419"/>
      <c r="AK314" s="241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8"/>
      <c r="I316" s="1698"/>
      <c r="J316" s="1698"/>
      <c r="K316" s="1698"/>
      <c r="L316" s="1698"/>
      <c r="M316" s="1698"/>
      <c r="N316" s="1698"/>
      <c r="O316" s="1698"/>
      <c r="P316" s="1698"/>
      <c r="Q316" s="1698"/>
      <c r="R316" s="1698"/>
      <c r="S316" s="16"/>
      <c r="T316" s="72" t="s">
        <v>100</v>
      </c>
      <c r="U316" s="16"/>
      <c r="V316" s="72"/>
      <c r="W316" s="72"/>
      <c r="X316" s="72"/>
      <c r="Y316" s="72"/>
      <c r="Z316" s="16"/>
      <c r="AA316" s="1698"/>
      <c r="AB316" s="1698"/>
      <c r="AC316" s="1698"/>
      <c r="AD316" s="1698"/>
      <c r="AE316" s="1698"/>
      <c r="AF316" s="1698"/>
      <c r="AG316" s="1698"/>
      <c r="AH316" s="1698"/>
      <c r="AI316" s="1698"/>
      <c r="AJ316" s="1698"/>
      <c r="AK316" s="1698"/>
      <c r="AL316" s="25"/>
      <c r="AM316" s="137"/>
      <c r="AN316" s="439"/>
    </row>
    <row r="317" spans="1:40" s="46" customFormat="1" ht="12.75" customHeight="1">
      <c r="A317" s="153"/>
      <c r="B317" s="72" t="s">
        <v>764</v>
      </c>
      <c r="C317" s="72"/>
      <c r="D317" s="72"/>
      <c r="E317" s="72"/>
      <c r="F317" s="72"/>
      <c r="G317" s="16"/>
      <c r="H317" s="1696"/>
      <c r="I317" s="1696"/>
      <c r="J317" s="1696"/>
      <c r="K317" s="1696"/>
      <c r="L317" s="1696"/>
      <c r="M317" s="1696"/>
      <c r="N317" s="1696"/>
      <c r="O317" s="1696"/>
      <c r="P317" s="1696"/>
      <c r="Q317" s="1696"/>
      <c r="R317" s="1696"/>
      <c r="S317" s="16"/>
      <c r="T317" s="72" t="s">
        <v>764</v>
      </c>
      <c r="U317" s="16"/>
      <c r="V317" s="72"/>
      <c r="W317" s="72"/>
      <c r="X317" s="72"/>
      <c r="Y317" s="72"/>
      <c r="Z317" s="16"/>
      <c r="AA317" s="1696"/>
      <c r="AB317" s="1696"/>
      <c r="AC317" s="1696"/>
      <c r="AD317" s="1696"/>
      <c r="AE317" s="1696"/>
      <c r="AF317" s="1696"/>
      <c r="AG317" s="1696"/>
      <c r="AH317" s="1696"/>
      <c r="AI317" s="1696"/>
      <c r="AJ317" s="1696"/>
      <c r="AK317" s="1696"/>
      <c r="AL317" s="25"/>
      <c r="AM317" s="137"/>
      <c r="AN317" s="439"/>
    </row>
    <row r="318" spans="1:40" s="46" customFormat="1" ht="12.75" customHeight="1">
      <c r="A318" s="153"/>
      <c r="B318" s="72" t="s">
        <v>110</v>
      </c>
      <c r="C318" s="72"/>
      <c r="D318" s="72"/>
      <c r="E318" s="72"/>
      <c r="F318" s="72"/>
      <c r="G318" s="16"/>
      <c r="H318" s="1696"/>
      <c r="I318" s="1696"/>
      <c r="J318" s="1696"/>
      <c r="K318" s="1696"/>
      <c r="L318" s="1696"/>
      <c r="M318" s="1696"/>
      <c r="N318" s="1696"/>
      <c r="O318" s="1696"/>
      <c r="P318" s="1696"/>
      <c r="Q318" s="1696"/>
      <c r="R318" s="1696"/>
      <c r="S318" s="16"/>
      <c r="T318" s="72" t="s">
        <v>110</v>
      </c>
      <c r="U318" s="16"/>
      <c r="V318" s="72"/>
      <c r="W318" s="72"/>
      <c r="X318" s="72"/>
      <c r="Y318" s="72"/>
      <c r="Z318" s="16"/>
      <c r="AA318" s="1696"/>
      <c r="AB318" s="1696"/>
      <c r="AC318" s="1696"/>
      <c r="AD318" s="1696"/>
      <c r="AE318" s="1696"/>
      <c r="AF318" s="1696"/>
      <c r="AG318" s="1696"/>
      <c r="AH318" s="1696"/>
      <c r="AI318" s="1696"/>
      <c r="AJ318" s="1696"/>
      <c r="AK318" s="1696"/>
      <c r="AL318" s="25"/>
      <c r="AM318" s="137"/>
      <c r="AN318" s="439"/>
    </row>
    <row r="319" spans="1:40" s="46" customFormat="1" ht="12.75" customHeight="1">
      <c r="A319" s="153"/>
      <c r="B319" s="72" t="s">
        <v>418</v>
      </c>
      <c r="C319" s="72"/>
      <c r="D319" s="72"/>
      <c r="E319" s="72"/>
      <c r="F319" s="72"/>
      <c r="G319" s="16"/>
      <c r="H319" s="1696"/>
      <c r="I319" s="1696"/>
      <c r="J319" s="1696"/>
      <c r="K319" s="1696"/>
      <c r="L319" s="1696"/>
      <c r="M319" s="1696"/>
      <c r="N319" s="1696"/>
      <c r="O319" s="1696"/>
      <c r="P319" s="1696"/>
      <c r="Q319" s="1696"/>
      <c r="R319" s="1696"/>
      <c r="S319" s="16"/>
      <c r="T319" s="72" t="s">
        <v>418</v>
      </c>
      <c r="U319" s="16"/>
      <c r="V319" s="72"/>
      <c r="W319" s="72"/>
      <c r="X319" s="72"/>
      <c r="Y319" s="72"/>
      <c r="Z319" s="16"/>
      <c r="AA319" s="1696"/>
      <c r="AB319" s="1696"/>
      <c r="AC319" s="1696"/>
      <c r="AD319" s="1696"/>
      <c r="AE319" s="1696"/>
      <c r="AF319" s="1696"/>
      <c r="AG319" s="1696"/>
      <c r="AH319" s="1696"/>
      <c r="AI319" s="1696"/>
      <c r="AJ319" s="1696"/>
      <c r="AK319" s="1696"/>
      <c r="AL319" s="25"/>
      <c r="AM319" s="137"/>
      <c r="AN319" s="439"/>
    </row>
    <row r="320" spans="1:40" s="46" customFormat="1" ht="12.75" customHeight="1">
      <c r="A320" s="153"/>
      <c r="B320" s="72" t="s">
        <v>419</v>
      </c>
      <c r="C320" s="72"/>
      <c r="D320" s="72"/>
      <c r="E320" s="72"/>
      <c r="F320" s="72"/>
      <c r="G320" s="72"/>
      <c r="H320" s="1702"/>
      <c r="I320" s="1702"/>
      <c r="J320" s="1702"/>
      <c r="K320" s="1702"/>
      <c r="L320" s="1702"/>
      <c r="M320" s="1702"/>
      <c r="N320" s="8" t="s">
        <v>899</v>
      </c>
      <c r="O320" s="8"/>
      <c r="P320" s="1692"/>
      <c r="Q320" s="1692"/>
      <c r="R320" s="1692"/>
      <c r="S320" s="72"/>
      <c r="T320" s="72" t="s">
        <v>419</v>
      </c>
      <c r="U320" s="16"/>
      <c r="V320" s="72"/>
      <c r="W320" s="72"/>
      <c r="X320" s="72"/>
      <c r="Y320" s="72"/>
      <c r="Z320" s="16"/>
      <c r="AA320" s="1702"/>
      <c r="AB320" s="1702"/>
      <c r="AC320" s="1702"/>
      <c r="AD320" s="1702"/>
      <c r="AE320" s="1702"/>
      <c r="AF320" s="1702"/>
      <c r="AG320" s="8" t="s">
        <v>899</v>
      </c>
      <c r="AH320" s="8"/>
      <c r="AI320" s="1692"/>
      <c r="AJ320" s="1692"/>
      <c r="AK320" s="1692"/>
      <c r="AL320" s="25"/>
      <c r="AM320" s="137"/>
      <c r="AN320" s="439"/>
    </row>
    <row r="321" spans="1:76" s="46" customFormat="1" ht="12.75" customHeight="1">
      <c r="A321" s="153"/>
      <c r="B321" s="72" t="s">
        <v>99</v>
      </c>
      <c r="C321" s="72"/>
      <c r="D321" s="72"/>
      <c r="E321" s="72"/>
      <c r="F321" s="72"/>
      <c r="G321" s="72"/>
      <c r="H321" s="1696"/>
      <c r="I321" s="1696"/>
      <c r="J321" s="1696"/>
      <c r="K321" s="1696"/>
      <c r="L321" s="1696"/>
      <c r="M321" s="1696"/>
      <c r="N321" s="1696"/>
      <c r="O321" s="1696"/>
      <c r="P321" s="1696"/>
      <c r="Q321" s="1696"/>
      <c r="R321" s="1696"/>
      <c r="S321" s="72"/>
      <c r="T321" s="72" t="s">
        <v>99</v>
      </c>
      <c r="U321" s="16"/>
      <c r="V321" s="72"/>
      <c r="W321" s="72"/>
      <c r="X321" s="72"/>
      <c r="Y321" s="72"/>
      <c r="Z321" s="16"/>
      <c r="AA321" s="1696"/>
      <c r="AB321" s="1696"/>
      <c r="AC321" s="1696"/>
      <c r="AD321" s="1696"/>
      <c r="AE321" s="1696"/>
      <c r="AF321" s="1696"/>
      <c r="AG321" s="1696"/>
      <c r="AH321" s="1696"/>
      <c r="AI321" s="1696"/>
      <c r="AJ321" s="1696"/>
      <c r="AK321" s="1696"/>
      <c r="AL321" s="25"/>
      <c r="AM321" s="137"/>
      <c r="AN321" s="439"/>
    </row>
    <row r="322" spans="1:76" s="46" customFormat="1" ht="12.75" customHeight="1">
      <c r="A322" s="153"/>
      <c r="B322" s="72" t="s">
        <v>101</v>
      </c>
      <c r="C322" s="72"/>
      <c r="D322" s="72"/>
      <c r="E322" s="72"/>
      <c r="F322" s="72"/>
      <c r="G322" s="72"/>
      <c r="H322" s="1696"/>
      <c r="I322" s="1696"/>
      <c r="J322" s="1696"/>
      <c r="K322" s="1696"/>
      <c r="L322" s="1696"/>
      <c r="M322" s="1696"/>
      <c r="N322" s="1696"/>
      <c r="O322" s="1696"/>
      <c r="P322" s="1696"/>
      <c r="Q322" s="1696"/>
      <c r="R322" s="1696"/>
      <c r="S322" s="72"/>
      <c r="T322" s="72" t="s">
        <v>101</v>
      </c>
      <c r="U322" s="16"/>
      <c r="V322" s="72"/>
      <c r="W322" s="72"/>
      <c r="X322" s="72"/>
      <c r="Y322" s="72"/>
      <c r="Z322" s="16"/>
      <c r="AA322" s="1696"/>
      <c r="AB322" s="1696"/>
      <c r="AC322" s="1696"/>
      <c r="AD322" s="1696"/>
      <c r="AE322" s="1696"/>
      <c r="AF322" s="1696"/>
      <c r="AG322" s="1696"/>
      <c r="AH322" s="1696"/>
      <c r="AI322" s="1696"/>
      <c r="AJ322" s="1696"/>
      <c r="AK322" s="1696"/>
      <c r="AL322" s="25"/>
      <c r="AM322" s="137"/>
      <c r="AN322" s="439"/>
    </row>
    <row r="323" spans="1:76" s="46" customFormat="1" ht="12.75" customHeight="1">
      <c r="A323" s="153"/>
      <c r="B323" s="72" t="s">
        <v>112</v>
      </c>
      <c r="C323" s="72"/>
      <c r="D323" s="72"/>
      <c r="E323" s="72"/>
      <c r="F323" s="72"/>
      <c r="G323" s="72"/>
      <c r="H323" s="2419"/>
      <c r="I323" s="2419"/>
      <c r="J323" s="2419"/>
      <c r="K323" s="2419"/>
      <c r="L323" s="2419"/>
      <c r="M323" s="2419"/>
      <c r="N323" s="2419"/>
      <c r="O323" s="2419"/>
      <c r="P323" s="2419"/>
      <c r="Q323" s="2419"/>
      <c r="R323" s="2419"/>
      <c r="S323" s="72"/>
      <c r="T323" s="72" t="s">
        <v>112</v>
      </c>
      <c r="U323" s="72"/>
      <c r="V323" s="72"/>
      <c r="W323" s="72"/>
      <c r="X323" s="72"/>
      <c r="Y323" s="72"/>
      <c r="Z323" s="18"/>
      <c r="AA323" s="2419"/>
      <c r="AB323" s="2419"/>
      <c r="AC323" s="2419"/>
      <c r="AD323" s="2419"/>
      <c r="AE323" s="2419"/>
      <c r="AF323" s="2419"/>
      <c r="AG323" s="2419"/>
      <c r="AH323" s="2419"/>
      <c r="AI323" s="2419"/>
      <c r="AJ323" s="2419"/>
      <c r="AK323" s="241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8"/>
      <c r="I325" s="1698"/>
      <c r="J325" s="1698"/>
      <c r="K325" s="1698"/>
      <c r="L325" s="1698"/>
      <c r="M325" s="1698"/>
      <c r="N325" s="1698"/>
      <c r="O325" s="1698"/>
      <c r="P325" s="1698"/>
      <c r="Q325" s="1698"/>
      <c r="R325" s="1698"/>
      <c r="S325" s="16"/>
      <c r="T325" s="72" t="s">
        <v>100</v>
      </c>
      <c r="U325" s="16"/>
      <c r="V325" s="72"/>
      <c r="W325" s="72"/>
      <c r="X325" s="72"/>
      <c r="Y325" s="72"/>
      <c r="Z325" s="16"/>
      <c r="AA325" s="1698"/>
      <c r="AB325" s="1698"/>
      <c r="AC325" s="1698"/>
      <c r="AD325" s="1698"/>
      <c r="AE325" s="1698"/>
      <c r="AF325" s="1698"/>
      <c r="AG325" s="1698"/>
      <c r="AH325" s="1698"/>
      <c r="AI325" s="1698"/>
      <c r="AJ325" s="1698"/>
      <c r="AK325" s="1698"/>
      <c r="AL325" s="327"/>
      <c r="AM325" s="137"/>
      <c r="AN325" s="439"/>
    </row>
    <row r="326" spans="1:76" s="46" customFormat="1" ht="12.75" customHeight="1">
      <c r="A326" s="153"/>
      <c r="B326" s="72" t="s">
        <v>764</v>
      </c>
      <c r="C326" s="72"/>
      <c r="D326" s="72"/>
      <c r="E326" s="72"/>
      <c r="F326" s="72"/>
      <c r="G326" s="16"/>
      <c r="H326" s="1696"/>
      <c r="I326" s="1696"/>
      <c r="J326" s="1696"/>
      <c r="K326" s="1696"/>
      <c r="L326" s="1696"/>
      <c r="M326" s="1696"/>
      <c r="N326" s="1696"/>
      <c r="O326" s="1696"/>
      <c r="P326" s="1696"/>
      <c r="Q326" s="1696"/>
      <c r="R326" s="1696"/>
      <c r="S326" s="16"/>
      <c r="T326" s="72" t="s">
        <v>764</v>
      </c>
      <c r="U326" s="16"/>
      <c r="V326" s="72"/>
      <c r="W326" s="72"/>
      <c r="X326" s="72"/>
      <c r="Y326" s="72"/>
      <c r="Z326" s="16"/>
      <c r="AA326" s="1696"/>
      <c r="AB326" s="1696"/>
      <c r="AC326" s="1696"/>
      <c r="AD326" s="1696"/>
      <c r="AE326" s="1696"/>
      <c r="AF326" s="1696"/>
      <c r="AG326" s="1696"/>
      <c r="AH326" s="1696"/>
      <c r="AI326" s="1696"/>
      <c r="AJ326" s="1696"/>
      <c r="AK326" s="1696"/>
      <c r="AL326" s="327"/>
      <c r="AM326" s="137"/>
      <c r="AN326" s="439"/>
    </row>
    <row r="327" spans="1:76" s="46" customFormat="1" ht="18" customHeight="1">
      <c r="A327" s="153"/>
      <c r="B327" s="72" t="s">
        <v>110</v>
      </c>
      <c r="C327" s="72"/>
      <c r="D327" s="72"/>
      <c r="E327" s="72"/>
      <c r="F327" s="72"/>
      <c r="G327" s="16"/>
      <c r="H327" s="1696"/>
      <c r="I327" s="1696"/>
      <c r="J327" s="1696"/>
      <c r="K327" s="1696"/>
      <c r="L327" s="1696"/>
      <c r="M327" s="1696"/>
      <c r="N327" s="1696"/>
      <c r="O327" s="1696"/>
      <c r="P327" s="1696"/>
      <c r="Q327" s="1696"/>
      <c r="R327" s="1696"/>
      <c r="S327" s="16"/>
      <c r="T327" s="72" t="s">
        <v>110</v>
      </c>
      <c r="U327" s="16"/>
      <c r="V327" s="72"/>
      <c r="W327" s="72"/>
      <c r="X327" s="72"/>
      <c r="Y327" s="72"/>
      <c r="Z327" s="16"/>
      <c r="AA327" s="1696"/>
      <c r="AB327" s="1696"/>
      <c r="AC327" s="1696"/>
      <c r="AD327" s="1696"/>
      <c r="AE327" s="1696"/>
      <c r="AF327" s="1696"/>
      <c r="AG327" s="1696"/>
      <c r="AH327" s="1696"/>
      <c r="AI327" s="1696"/>
      <c r="AJ327" s="1696"/>
      <c r="AK327" s="1696"/>
      <c r="AL327" s="327"/>
      <c r="AM327" s="137"/>
      <c r="AN327" s="439"/>
    </row>
    <row r="328" spans="1:76" s="46" customFormat="1" ht="12.75" customHeight="1">
      <c r="A328" s="153"/>
      <c r="B328" s="72" t="s">
        <v>418</v>
      </c>
      <c r="C328" s="72"/>
      <c r="D328" s="72"/>
      <c r="E328" s="72"/>
      <c r="F328" s="72"/>
      <c r="G328" s="16"/>
      <c r="H328" s="1696"/>
      <c r="I328" s="1696"/>
      <c r="J328" s="1696"/>
      <c r="K328" s="1696"/>
      <c r="L328" s="1696"/>
      <c r="M328" s="1696"/>
      <c r="N328" s="1696"/>
      <c r="O328" s="1696"/>
      <c r="P328" s="1696"/>
      <c r="Q328" s="1696"/>
      <c r="R328" s="1696"/>
      <c r="S328" s="16"/>
      <c r="T328" s="72" t="s">
        <v>418</v>
      </c>
      <c r="U328" s="16"/>
      <c r="V328" s="72"/>
      <c r="W328" s="72"/>
      <c r="X328" s="72"/>
      <c r="Y328" s="72"/>
      <c r="Z328" s="16"/>
      <c r="AA328" s="1696"/>
      <c r="AB328" s="1696"/>
      <c r="AC328" s="1696"/>
      <c r="AD328" s="1696"/>
      <c r="AE328" s="1696"/>
      <c r="AF328" s="1696"/>
      <c r="AG328" s="1696"/>
      <c r="AH328" s="1696"/>
      <c r="AI328" s="1696"/>
      <c r="AJ328" s="1696"/>
      <c r="AK328" s="1696"/>
      <c r="AL328" s="327"/>
      <c r="AM328" s="137"/>
      <c r="AN328" s="439"/>
    </row>
    <row r="329" spans="1:76" s="46" customFormat="1" ht="12.75" customHeight="1">
      <c r="A329" s="153"/>
      <c r="B329" s="72" t="s">
        <v>419</v>
      </c>
      <c r="C329" s="72"/>
      <c r="D329" s="72"/>
      <c r="E329" s="72"/>
      <c r="F329" s="72"/>
      <c r="G329" s="72"/>
      <c r="H329" s="1702"/>
      <c r="I329" s="1702"/>
      <c r="J329" s="1702"/>
      <c r="K329" s="1702"/>
      <c r="L329" s="1702"/>
      <c r="M329" s="1702"/>
      <c r="N329" s="8" t="s">
        <v>899</v>
      </c>
      <c r="O329" s="8"/>
      <c r="P329" s="1692"/>
      <c r="Q329" s="1692"/>
      <c r="R329" s="1692"/>
      <c r="S329" s="72"/>
      <c r="T329" s="72" t="s">
        <v>419</v>
      </c>
      <c r="U329" s="16"/>
      <c r="V329" s="72"/>
      <c r="W329" s="72"/>
      <c r="X329" s="72"/>
      <c r="Y329" s="72"/>
      <c r="Z329" s="16"/>
      <c r="AA329" s="1702"/>
      <c r="AB329" s="1702"/>
      <c r="AC329" s="1702"/>
      <c r="AD329" s="1702"/>
      <c r="AE329" s="1702"/>
      <c r="AF329" s="1702"/>
      <c r="AG329" s="8" t="s">
        <v>899</v>
      </c>
      <c r="AH329" s="8"/>
      <c r="AI329" s="1692"/>
      <c r="AJ329" s="1692"/>
      <c r="AK329" s="1692"/>
      <c r="AL329" s="327"/>
      <c r="AM329" s="137"/>
      <c r="AN329" s="439"/>
    </row>
    <row r="330" spans="1:76" s="137" customFormat="1" ht="12.75" customHeight="1">
      <c r="A330" s="153"/>
      <c r="B330" s="72" t="s">
        <v>99</v>
      </c>
      <c r="C330" s="72"/>
      <c r="D330" s="72"/>
      <c r="E330" s="72"/>
      <c r="F330" s="72"/>
      <c r="G330" s="72"/>
      <c r="H330" s="1696"/>
      <c r="I330" s="1696"/>
      <c r="J330" s="1696"/>
      <c r="K330" s="1696"/>
      <c r="L330" s="1696"/>
      <c r="M330" s="1696"/>
      <c r="N330" s="1696"/>
      <c r="O330" s="1696"/>
      <c r="P330" s="1696"/>
      <c r="Q330" s="1696"/>
      <c r="R330" s="1696"/>
      <c r="S330" s="72"/>
      <c r="T330" s="72" t="s">
        <v>99</v>
      </c>
      <c r="U330" s="16"/>
      <c r="V330" s="72"/>
      <c r="W330" s="72"/>
      <c r="X330" s="72"/>
      <c r="Y330" s="72"/>
      <c r="Z330" s="16"/>
      <c r="AA330" s="1696"/>
      <c r="AB330" s="1696"/>
      <c r="AC330" s="1696"/>
      <c r="AD330" s="1696"/>
      <c r="AE330" s="1696"/>
      <c r="AF330" s="1696"/>
      <c r="AG330" s="1696"/>
      <c r="AH330" s="1696"/>
      <c r="AI330" s="1696"/>
      <c r="AJ330" s="1696"/>
      <c r="AK330" s="1696"/>
      <c r="AL330" s="327"/>
      <c r="AN330" s="1139"/>
    </row>
    <row r="331" spans="1:76" s="46" customFormat="1" ht="12.75" customHeight="1">
      <c r="A331" s="153"/>
      <c r="B331" s="72" t="s">
        <v>101</v>
      </c>
      <c r="C331" s="72"/>
      <c r="D331" s="72"/>
      <c r="E331" s="72"/>
      <c r="F331" s="72"/>
      <c r="G331" s="72"/>
      <c r="H331" s="1696"/>
      <c r="I331" s="1696"/>
      <c r="J331" s="1696"/>
      <c r="K331" s="1696"/>
      <c r="L331" s="1696"/>
      <c r="M331" s="1696"/>
      <c r="N331" s="1696"/>
      <c r="O331" s="1696"/>
      <c r="P331" s="1696"/>
      <c r="Q331" s="1696"/>
      <c r="R331" s="1696"/>
      <c r="S331" s="72"/>
      <c r="T331" s="72" t="s">
        <v>101</v>
      </c>
      <c r="U331" s="16"/>
      <c r="V331" s="72"/>
      <c r="W331" s="72"/>
      <c r="X331" s="72"/>
      <c r="Y331" s="72"/>
      <c r="Z331" s="16"/>
      <c r="AA331" s="1696"/>
      <c r="AB331" s="1696"/>
      <c r="AC331" s="1696"/>
      <c r="AD331" s="1696"/>
      <c r="AE331" s="1696"/>
      <c r="AF331" s="1696"/>
      <c r="AG331" s="1696"/>
      <c r="AH331" s="1696"/>
      <c r="AI331" s="1696"/>
      <c r="AJ331" s="1696"/>
      <c r="AK331" s="1696"/>
      <c r="AL331" s="327"/>
      <c r="AM331" s="137"/>
      <c r="AN331" s="439"/>
    </row>
    <row r="332" spans="1:76" s="46" customFormat="1" ht="12.75" customHeight="1">
      <c r="A332" s="153"/>
      <c r="B332" s="72" t="s">
        <v>112</v>
      </c>
      <c r="C332" s="72"/>
      <c r="D332" s="72"/>
      <c r="E332" s="72"/>
      <c r="F332" s="72"/>
      <c r="G332" s="72"/>
      <c r="H332" s="2419"/>
      <c r="I332" s="2419"/>
      <c r="J332" s="2419"/>
      <c r="K332" s="2419"/>
      <c r="L332" s="2419"/>
      <c r="M332" s="2419"/>
      <c r="N332" s="2419"/>
      <c r="O332" s="2419"/>
      <c r="P332" s="2419"/>
      <c r="Q332" s="2419"/>
      <c r="R332" s="2419"/>
      <c r="S332" s="72"/>
      <c r="T332" s="72" t="s">
        <v>112</v>
      </c>
      <c r="U332" s="72"/>
      <c r="V332" s="72"/>
      <c r="W332" s="72"/>
      <c r="X332" s="72"/>
      <c r="Y332" s="72"/>
      <c r="Z332" s="18"/>
      <c r="AA332" s="2419"/>
      <c r="AB332" s="2419"/>
      <c r="AC332" s="2419"/>
      <c r="AD332" s="2419"/>
      <c r="AE332" s="2419"/>
      <c r="AF332" s="2419"/>
      <c r="AG332" s="2419"/>
      <c r="AH332" s="2419"/>
      <c r="AI332" s="2419"/>
      <c r="AJ332" s="2419"/>
      <c r="AK332" s="241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0" t="s">
        <v>408</v>
      </c>
      <c r="AF335" s="2420"/>
      <c r="AG335" s="2420"/>
      <c r="AH335" s="2420"/>
      <c r="AI335" s="2420"/>
      <c r="AJ335" s="2420"/>
      <c r="AK335" s="2420"/>
      <c r="AL335" s="152"/>
      <c r="AM335" s="1417"/>
      <c r="AN335" s="152"/>
    </row>
    <row r="336" spans="1:76" s="46" customFormat="1" ht="12.75" customHeight="1">
      <c r="A336" s="152"/>
      <c r="B336" s="161"/>
      <c r="C336" s="2421" t="s">
        <v>2084</v>
      </c>
      <c r="D336" s="2421"/>
      <c r="E336" s="2421"/>
      <c r="F336" s="2421"/>
      <c r="G336" s="2421"/>
      <c r="H336" s="2421"/>
      <c r="I336" s="2421"/>
      <c r="J336" s="2421"/>
      <c r="K336" s="2421"/>
      <c r="L336" s="2421"/>
      <c r="M336" s="2421"/>
      <c r="N336" s="2421"/>
      <c r="O336" s="2421"/>
      <c r="P336" s="2421"/>
      <c r="Q336" s="2421"/>
      <c r="R336" s="2421"/>
      <c r="S336" s="2421"/>
      <c r="T336" s="2421"/>
      <c r="U336" s="2421"/>
      <c r="V336" s="2421"/>
      <c r="W336" s="2421"/>
      <c r="X336" s="2421"/>
      <c r="Y336" s="2421"/>
      <c r="Z336" s="2421"/>
      <c r="AA336" s="2421"/>
      <c r="AB336" s="2421"/>
      <c r="AC336" s="2421"/>
      <c r="AD336" s="2421"/>
      <c r="AE336" s="2421"/>
      <c r="AF336" s="2421"/>
      <c r="AG336" s="2421"/>
      <c r="AH336" s="2421"/>
      <c r="AI336" s="2421"/>
      <c r="AJ336" s="2421"/>
      <c r="AM336" s="1418"/>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421"/>
      <c r="D337" s="2421"/>
      <c r="E337" s="2421"/>
      <c r="F337" s="2421"/>
      <c r="G337" s="2421"/>
      <c r="H337" s="2421"/>
      <c r="I337" s="2421"/>
      <c r="J337" s="2421"/>
      <c r="K337" s="2421"/>
      <c r="L337" s="2421"/>
      <c r="M337" s="2421"/>
      <c r="N337" s="2421"/>
      <c r="O337" s="2421"/>
      <c r="P337" s="2421"/>
      <c r="Q337" s="2421"/>
      <c r="R337" s="2421"/>
      <c r="S337" s="2421"/>
      <c r="T337" s="2421"/>
      <c r="U337" s="2421"/>
      <c r="V337" s="2421"/>
      <c r="W337" s="2421"/>
      <c r="X337" s="2421"/>
      <c r="Y337" s="2421"/>
      <c r="Z337" s="2421"/>
      <c r="AA337" s="2421"/>
      <c r="AB337" s="2421"/>
      <c r="AC337" s="2421"/>
      <c r="AD337" s="2421"/>
      <c r="AE337" s="2421"/>
      <c r="AF337" s="2421"/>
      <c r="AG337" s="2421"/>
      <c r="AH337" s="2421"/>
      <c r="AI337" s="2421"/>
      <c r="AJ337" s="2421"/>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421"/>
      <c r="D338" s="2421"/>
      <c r="E338" s="2421"/>
      <c r="F338" s="2421"/>
      <c r="G338" s="2421"/>
      <c r="H338" s="2421"/>
      <c r="I338" s="2421"/>
      <c r="J338" s="2421"/>
      <c r="K338" s="2421"/>
      <c r="L338" s="2421"/>
      <c r="M338" s="2421"/>
      <c r="N338" s="2421"/>
      <c r="O338" s="2421"/>
      <c r="P338" s="2421"/>
      <c r="Q338" s="2421"/>
      <c r="R338" s="2421"/>
      <c r="S338" s="2421"/>
      <c r="T338" s="2421"/>
      <c r="U338" s="2421"/>
      <c r="V338" s="2421"/>
      <c r="W338" s="2421"/>
      <c r="X338" s="2421"/>
      <c r="Y338" s="2421"/>
      <c r="Z338" s="2421"/>
      <c r="AA338" s="2421"/>
      <c r="AB338" s="2421"/>
      <c r="AC338" s="2421"/>
      <c r="AD338" s="2421"/>
      <c r="AE338" s="2421"/>
      <c r="AF338" s="2421"/>
      <c r="AG338" s="2421"/>
      <c r="AH338" s="2421"/>
      <c r="AI338" s="2421"/>
      <c r="AJ338" s="2421"/>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421"/>
      <c r="D339" s="2421"/>
      <c r="E339" s="2421"/>
      <c r="F339" s="2421"/>
      <c r="G339" s="2421"/>
      <c r="H339" s="2421"/>
      <c r="I339" s="2421"/>
      <c r="J339" s="2421"/>
      <c r="K339" s="2421"/>
      <c r="L339" s="2421"/>
      <c r="M339" s="2421"/>
      <c r="N339" s="2421"/>
      <c r="O339" s="2421"/>
      <c r="P339" s="2421"/>
      <c r="Q339" s="2421"/>
      <c r="R339" s="2421"/>
      <c r="S339" s="2421"/>
      <c r="T339" s="2421"/>
      <c r="U339" s="2421"/>
      <c r="V339" s="2421"/>
      <c r="W339" s="2421"/>
      <c r="X339" s="2421"/>
      <c r="Y339" s="2421"/>
      <c r="Z339" s="2421"/>
      <c r="AA339" s="2421"/>
      <c r="AB339" s="2421"/>
      <c r="AC339" s="2421"/>
      <c r="AD339" s="2421"/>
      <c r="AE339" s="2421"/>
      <c r="AF339" s="2421"/>
      <c r="AG339" s="2421"/>
      <c r="AH339" s="2421"/>
      <c r="AI339" s="2421"/>
      <c r="AJ339" s="2421"/>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421"/>
      <c r="D340" s="2421"/>
      <c r="E340" s="2421"/>
      <c r="F340" s="2421"/>
      <c r="G340" s="2421"/>
      <c r="H340" s="2421"/>
      <c r="I340" s="2421"/>
      <c r="J340" s="2421"/>
      <c r="K340" s="2421"/>
      <c r="L340" s="2421"/>
      <c r="M340" s="2421"/>
      <c r="N340" s="2421"/>
      <c r="O340" s="2421"/>
      <c r="P340" s="2421"/>
      <c r="Q340" s="2421"/>
      <c r="R340" s="2421"/>
      <c r="S340" s="2421"/>
      <c r="T340" s="2421"/>
      <c r="U340" s="2421"/>
      <c r="V340" s="2421"/>
      <c r="W340" s="2421"/>
      <c r="X340" s="2421"/>
      <c r="Y340" s="2421"/>
      <c r="Z340" s="2421"/>
      <c r="AA340" s="2421"/>
      <c r="AB340" s="2421"/>
      <c r="AC340" s="2421"/>
      <c r="AD340" s="2421"/>
      <c r="AE340" s="2421"/>
      <c r="AF340" s="2421"/>
      <c r="AG340" s="2421"/>
      <c r="AH340" s="2421"/>
      <c r="AI340" s="2421"/>
      <c r="AJ340" s="2421"/>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421"/>
      <c r="D341" s="2421"/>
      <c r="E341" s="2421"/>
      <c r="F341" s="2421"/>
      <c r="G341" s="2421"/>
      <c r="H341" s="2421"/>
      <c r="I341" s="2421"/>
      <c r="J341" s="2421"/>
      <c r="K341" s="2421"/>
      <c r="L341" s="2421"/>
      <c r="M341" s="2421"/>
      <c r="N341" s="2421"/>
      <c r="O341" s="2421"/>
      <c r="P341" s="2421"/>
      <c r="Q341" s="2421"/>
      <c r="R341" s="2421"/>
      <c r="S341" s="2421"/>
      <c r="T341" s="2421"/>
      <c r="U341" s="2421"/>
      <c r="V341" s="2421"/>
      <c r="W341" s="2421"/>
      <c r="X341" s="2421"/>
      <c r="Y341" s="2421"/>
      <c r="Z341" s="2421"/>
      <c r="AA341" s="2421"/>
      <c r="AB341" s="2421"/>
      <c r="AC341" s="2421"/>
      <c r="AD341" s="2421"/>
      <c r="AE341" s="2421"/>
      <c r="AF341" s="2421"/>
      <c r="AG341" s="2421"/>
      <c r="AH341" s="2421"/>
      <c r="AI341" s="2421"/>
      <c r="AJ341" s="2421"/>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5" customHeight="1">
      <c r="A342" s="163"/>
      <c r="B342" s="164"/>
      <c r="C342" s="2421"/>
      <c r="D342" s="2421"/>
      <c r="E342" s="2421"/>
      <c r="F342" s="2421"/>
      <c r="G342" s="2421"/>
      <c r="H342" s="2421"/>
      <c r="I342" s="2421"/>
      <c r="J342" s="2421"/>
      <c r="K342" s="2421"/>
      <c r="L342" s="2421"/>
      <c r="M342" s="2421"/>
      <c r="N342" s="2421"/>
      <c r="O342" s="2421"/>
      <c r="P342" s="2421"/>
      <c r="Q342" s="2421"/>
      <c r="R342" s="2421"/>
      <c r="S342" s="2421"/>
      <c r="T342" s="2421"/>
      <c r="U342" s="2421"/>
      <c r="V342" s="2421"/>
      <c r="W342" s="2421"/>
      <c r="X342" s="2421"/>
      <c r="Y342" s="2421"/>
      <c r="Z342" s="2421"/>
      <c r="AA342" s="2421"/>
      <c r="AB342" s="2421"/>
      <c r="AC342" s="2421"/>
      <c r="AD342" s="2421"/>
      <c r="AE342" s="2421"/>
      <c r="AF342" s="2421"/>
      <c r="AG342" s="2421"/>
      <c r="AH342" s="2421"/>
      <c r="AI342" s="2421"/>
      <c r="AJ342" s="2421"/>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5" customHeight="1">
      <c r="A343" s="163"/>
      <c r="B343" s="164"/>
      <c r="C343" s="2421"/>
      <c r="D343" s="2421"/>
      <c r="E343" s="2421"/>
      <c r="F343" s="2421"/>
      <c r="G343" s="2421"/>
      <c r="H343" s="2421"/>
      <c r="I343" s="2421"/>
      <c r="J343" s="2421"/>
      <c r="K343" s="2421"/>
      <c r="L343" s="2421"/>
      <c r="M343" s="2421"/>
      <c r="N343" s="2421"/>
      <c r="O343" s="2421"/>
      <c r="P343" s="2421"/>
      <c r="Q343" s="2421"/>
      <c r="R343" s="2421"/>
      <c r="S343" s="2421"/>
      <c r="T343" s="2421"/>
      <c r="U343" s="2421"/>
      <c r="V343" s="2421"/>
      <c r="W343" s="2421"/>
      <c r="X343" s="2421"/>
      <c r="Y343" s="2421"/>
      <c r="Z343" s="2421"/>
      <c r="AA343" s="2421"/>
      <c r="AB343" s="2421"/>
      <c r="AC343" s="2421"/>
      <c r="AD343" s="2421"/>
      <c r="AE343" s="2421"/>
      <c r="AF343" s="2421"/>
      <c r="AG343" s="2421"/>
      <c r="AH343" s="2421"/>
      <c r="AI343" s="2421"/>
      <c r="AJ343" s="2421"/>
      <c r="AK343" s="163"/>
      <c r="AL343" s="163"/>
      <c r="AM343" s="163"/>
      <c r="AN343" s="439"/>
      <c r="AO343" s="293"/>
    </row>
    <row r="344" spans="1:76" s="46" customFormat="1" ht="12.75" customHeight="1">
      <c r="A344" s="163"/>
      <c r="B344" s="164"/>
      <c r="C344" s="2421" t="s">
        <v>2085</v>
      </c>
      <c r="D344" s="2421"/>
      <c r="E344" s="2421"/>
      <c r="F344" s="2421"/>
      <c r="G344" s="2421"/>
      <c r="H344" s="2421"/>
      <c r="I344" s="2421"/>
      <c r="J344" s="2421"/>
      <c r="K344" s="2421"/>
      <c r="L344" s="2421"/>
      <c r="M344" s="2421"/>
      <c r="N344" s="2421"/>
      <c r="O344" s="2421"/>
      <c r="P344" s="2421"/>
      <c r="Q344" s="2421"/>
      <c r="R344" s="2421"/>
      <c r="S344" s="2421"/>
      <c r="T344" s="2421"/>
      <c r="U344" s="2421"/>
      <c r="V344" s="2421"/>
      <c r="W344" s="2421"/>
      <c r="X344" s="2421"/>
      <c r="Y344" s="2421"/>
      <c r="Z344" s="2421"/>
      <c r="AA344" s="2421"/>
      <c r="AB344" s="2421"/>
      <c r="AC344" s="2421"/>
      <c r="AD344" s="2421"/>
      <c r="AE344" s="2421"/>
      <c r="AF344" s="2421"/>
      <c r="AG344" s="2421"/>
      <c r="AH344" s="2421"/>
      <c r="AI344" s="2421"/>
      <c r="AJ344" s="2421"/>
      <c r="AK344" s="163"/>
      <c r="AL344" s="163"/>
      <c r="AM344" s="163"/>
      <c r="AN344" s="439"/>
    </row>
    <row r="345" spans="1:76" s="46" customFormat="1" ht="12.75" customHeight="1">
      <c r="A345" s="163"/>
      <c r="B345" s="164"/>
      <c r="C345" s="2421"/>
      <c r="D345" s="2421"/>
      <c r="E345" s="2421"/>
      <c r="F345" s="2421"/>
      <c r="G345" s="2421"/>
      <c r="H345" s="2421"/>
      <c r="I345" s="2421"/>
      <c r="J345" s="2421"/>
      <c r="K345" s="2421"/>
      <c r="L345" s="2421"/>
      <c r="M345" s="2421"/>
      <c r="N345" s="2421"/>
      <c r="O345" s="2421"/>
      <c r="P345" s="2421"/>
      <c r="Q345" s="2421"/>
      <c r="R345" s="2421"/>
      <c r="S345" s="2421"/>
      <c r="T345" s="2421"/>
      <c r="U345" s="2421"/>
      <c r="V345" s="2421"/>
      <c r="W345" s="2421"/>
      <c r="X345" s="2421"/>
      <c r="Y345" s="2421"/>
      <c r="Z345" s="2421"/>
      <c r="AA345" s="2421"/>
      <c r="AB345" s="2421"/>
      <c r="AC345" s="2421"/>
      <c r="AD345" s="2421"/>
      <c r="AE345" s="2421"/>
      <c r="AF345" s="2421"/>
      <c r="AG345" s="2421"/>
      <c r="AH345" s="2421"/>
      <c r="AI345" s="2421"/>
      <c r="AJ345" s="2421"/>
      <c r="AK345" s="163"/>
      <c r="AL345" s="163"/>
      <c r="AM345" s="163"/>
      <c r="AN345" s="439"/>
    </row>
    <row r="346" spans="1:76" s="46" customFormat="1" ht="12.75" customHeight="1">
      <c r="A346" s="163"/>
      <c r="B346" s="164"/>
      <c r="C346" s="2421"/>
      <c r="D346" s="2421"/>
      <c r="E346" s="2421"/>
      <c r="F346" s="2421"/>
      <c r="G346" s="2421"/>
      <c r="H346" s="2421"/>
      <c r="I346" s="2421"/>
      <c r="J346" s="2421"/>
      <c r="K346" s="2421"/>
      <c r="L346" s="2421"/>
      <c r="M346" s="2421"/>
      <c r="N346" s="2421"/>
      <c r="O346" s="2421"/>
      <c r="P346" s="2421"/>
      <c r="Q346" s="2421"/>
      <c r="R346" s="2421"/>
      <c r="S346" s="2421"/>
      <c r="T346" s="2421"/>
      <c r="U346" s="2421"/>
      <c r="V346" s="2421"/>
      <c r="W346" s="2421"/>
      <c r="X346" s="2421"/>
      <c r="Y346" s="2421"/>
      <c r="Z346" s="2421"/>
      <c r="AA346" s="2421"/>
      <c r="AB346" s="2421"/>
      <c r="AC346" s="2421"/>
      <c r="AD346" s="2421"/>
      <c r="AE346" s="2421"/>
      <c r="AF346" s="2421"/>
      <c r="AG346" s="2421"/>
      <c r="AH346" s="2421"/>
      <c r="AI346" s="2421"/>
      <c r="AJ346" s="2421"/>
      <c r="AK346" s="163"/>
      <c r="AL346" s="163"/>
      <c r="AM346" s="163"/>
      <c r="AN346" s="439"/>
      <c r="AQ346" s="50"/>
      <c r="AR346" s="137"/>
    </row>
    <row r="347" spans="1:76" s="46" customFormat="1" ht="12.75" customHeight="1">
      <c r="A347" s="163"/>
      <c r="B347" s="144"/>
      <c r="C347" s="2421"/>
      <c r="D347" s="2421"/>
      <c r="E347" s="2421"/>
      <c r="F347" s="2421"/>
      <c r="G347" s="2421"/>
      <c r="H347" s="2421"/>
      <c r="I347" s="2421"/>
      <c r="J347" s="2421"/>
      <c r="K347" s="2421"/>
      <c r="L347" s="2421"/>
      <c r="M347" s="2421"/>
      <c r="N347" s="2421"/>
      <c r="O347" s="2421"/>
      <c r="P347" s="2421"/>
      <c r="Q347" s="2421"/>
      <c r="R347" s="2421"/>
      <c r="S347" s="2421"/>
      <c r="T347" s="2421"/>
      <c r="U347" s="2421"/>
      <c r="V347" s="2421"/>
      <c r="W347" s="2421"/>
      <c r="X347" s="2421"/>
      <c r="Y347" s="2421"/>
      <c r="Z347" s="2421"/>
      <c r="AA347" s="2421"/>
      <c r="AB347" s="2421"/>
      <c r="AC347" s="2421"/>
      <c r="AD347" s="2421"/>
      <c r="AE347" s="2421"/>
      <c r="AF347" s="2421"/>
      <c r="AG347" s="2421"/>
      <c r="AH347" s="2421"/>
      <c r="AI347" s="2421"/>
      <c r="AJ347" s="2421"/>
      <c r="AK347" s="163"/>
      <c r="AL347" s="163"/>
      <c r="AM347" s="163"/>
      <c r="AN347" s="439"/>
      <c r="AQ347" s="50"/>
      <c r="AR347" s="137"/>
    </row>
    <row r="348" spans="1:76" s="46" customFormat="1" ht="12.5" customHeight="1">
      <c r="A348" s="163"/>
      <c r="B348" s="144"/>
      <c r="C348" s="2421"/>
      <c r="D348" s="2421"/>
      <c r="E348" s="2421"/>
      <c r="F348" s="2421"/>
      <c r="G348" s="2421"/>
      <c r="H348" s="2421"/>
      <c r="I348" s="2421"/>
      <c r="J348" s="2421"/>
      <c r="K348" s="2421"/>
      <c r="L348" s="2421"/>
      <c r="M348" s="2421"/>
      <c r="N348" s="2421"/>
      <c r="O348" s="2421"/>
      <c r="P348" s="2421"/>
      <c r="Q348" s="2421"/>
      <c r="R348" s="2421"/>
      <c r="S348" s="2421"/>
      <c r="T348" s="2421"/>
      <c r="U348" s="2421"/>
      <c r="V348" s="2421"/>
      <c r="W348" s="2421"/>
      <c r="X348" s="2421"/>
      <c r="Y348" s="2421"/>
      <c r="Z348" s="2421"/>
      <c r="AA348" s="2421"/>
      <c r="AB348" s="2421"/>
      <c r="AC348" s="2421"/>
      <c r="AD348" s="2421"/>
      <c r="AE348" s="2421"/>
      <c r="AF348" s="2421"/>
      <c r="AG348" s="2421"/>
      <c r="AH348" s="2421"/>
      <c r="AI348" s="2421"/>
      <c r="AJ348" s="2421"/>
      <c r="AK348" s="163"/>
      <c r="AL348" s="163"/>
      <c r="AM348" s="163"/>
      <c r="AN348" s="439"/>
      <c r="AQ348" s="50"/>
      <c r="AR348" s="50"/>
    </row>
    <row r="349" spans="1:76" s="46" customFormat="1" ht="12.75" customHeight="1">
      <c r="A349" s="163"/>
      <c r="B349" s="144"/>
      <c r="C349" s="2421" t="s">
        <v>2086</v>
      </c>
      <c r="D349" s="2421"/>
      <c r="E349" s="2421"/>
      <c r="F349" s="2421"/>
      <c r="G349" s="2421"/>
      <c r="H349" s="2421"/>
      <c r="I349" s="2421"/>
      <c r="J349" s="2421"/>
      <c r="K349" s="2421"/>
      <c r="L349" s="2421"/>
      <c r="M349" s="2421"/>
      <c r="N349" s="2421"/>
      <c r="O349" s="2421"/>
      <c r="P349" s="2421"/>
      <c r="Q349" s="2421"/>
      <c r="R349" s="2421"/>
      <c r="S349" s="2421"/>
      <c r="T349" s="2421"/>
      <c r="U349" s="2421"/>
      <c r="V349" s="2421"/>
      <c r="W349" s="2421"/>
      <c r="X349" s="2421"/>
      <c r="Y349" s="2421"/>
      <c r="Z349" s="2421"/>
      <c r="AA349" s="2421"/>
      <c r="AB349" s="2421"/>
      <c r="AC349" s="2421"/>
      <c r="AD349" s="2421"/>
      <c r="AE349" s="2421"/>
      <c r="AF349" s="2421"/>
      <c r="AG349" s="2421"/>
      <c r="AH349" s="2421"/>
      <c r="AI349" s="2421"/>
      <c r="AJ349" s="2421"/>
      <c r="AK349" s="163"/>
      <c r="AL349" s="163"/>
      <c r="AM349" s="163"/>
      <c r="AN349" s="439"/>
      <c r="AQ349" s="50"/>
      <c r="AR349" s="50"/>
    </row>
    <row r="350" spans="1:76" s="46" customFormat="1" ht="12.75" customHeight="1">
      <c r="A350" s="163"/>
      <c r="B350" s="144"/>
      <c r="C350" s="2421"/>
      <c r="D350" s="2421"/>
      <c r="E350" s="2421"/>
      <c r="F350" s="2421"/>
      <c r="G350" s="2421"/>
      <c r="H350" s="2421"/>
      <c r="I350" s="2421"/>
      <c r="J350" s="2421"/>
      <c r="K350" s="2421"/>
      <c r="L350" s="2421"/>
      <c r="M350" s="2421"/>
      <c r="N350" s="2421"/>
      <c r="O350" s="2421"/>
      <c r="P350" s="2421"/>
      <c r="Q350" s="2421"/>
      <c r="R350" s="2421"/>
      <c r="S350" s="2421"/>
      <c r="T350" s="2421"/>
      <c r="U350" s="2421"/>
      <c r="V350" s="2421"/>
      <c r="W350" s="2421"/>
      <c r="X350" s="2421"/>
      <c r="Y350" s="2421"/>
      <c r="Z350" s="2421"/>
      <c r="AA350" s="2421"/>
      <c r="AB350" s="2421"/>
      <c r="AC350" s="2421"/>
      <c r="AD350" s="2421"/>
      <c r="AE350" s="2421"/>
      <c r="AF350" s="2421"/>
      <c r="AG350" s="2421"/>
      <c r="AH350" s="2421"/>
      <c r="AI350" s="2421"/>
      <c r="AJ350" s="2421"/>
      <c r="AK350" s="163"/>
      <c r="AL350" s="163"/>
      <c r="AM350" s="163"/>
      <c r="AN350" s="439"/>
      <c r="AQ350" s="137"/>
      <c r="AR350" s="50"/>
    </row>
    <row r="351" spans="1:76" s="46" customFormat="1" ht="12.75" customHeight="1">
      <c r="A351" s="163"/>
      <c r="B351" s="144"/>
      <c r="C351" s="2421"/>
      <c r="D351" s="2421"/>
      <c r="E351" s="2421"/>
      <c r="F351" s="2421"/>
      <c r="G351" s="2421"/>
      <c r="H351" s="2421"/>
      <c r="I351" s="2421"/>
      <c r="J351" s="2421"/>
      <c r="K351" s="2421"/>
      <c r="L351" s="2421"/>
      <c r="M351" s="2421"/>
      <c r="N351" s="2421"/>
      <c r="O351" s="2421"/>
      <c r="P351" s="2421"/>
      <c r="Q351" s="2421"/>
      <c r="R351" s="2421"/>
      <c r="S351" s="2421"/>
      <c r="T351" s="2421"/>
      <c r="U351" s="2421"/>
      <c r="V351" s="2421"/>
      <c r="W351" s="2421"/>
      <c r="X351" s="2421"/>
      <c r="Y351" s="2421"/>
      <c r="Z351" s="2421"/>
      <c r="AA351" s="2421"/>
      <c r="AB351" s="2421"/>
      <c r="AC351" s="2421"/>
      <c r="AD351" s="2421"/>
      <c r="AE351" s="2421"/>
      <c r="AF351" s="2421"/>
      <c r="AG351" s="2421"/>
      <c r="AH351" s="2421"/>
      <c r="AI351" s="2421"/>
      <c r="AJ351" s="2421"/>
      <c r="AK351" s="163"/>
      <c r="AL351" s="163"/>
      <c r="AM351" s="163"/>
      <c r="AN351" s="439"/>
      <c r="AQ351" s="137"/>
      <c r="AR351" s="50"/>
    </row>
    <row r="352" spans="1:76" s="46" customFormat="1" ht="12.75" customHeight="1">
      <c r="A352" s="163"/>
      <c r="B352" s="144"/>
      <c r="C352" s="2421" t="s">
        <v>2087</v>
      </c>
      <c r="D352" s="2421"/>
      <c r="E352" s="2421"/>
      <c r="F352" s="2421"/>
      <c r="G352" s="2421"/>
      <c r="H352" s="2421"/>
      <c r="I352" s="2421"/>
      <c r="J352" s="2421"/>
      <c r="K352" s="2421"/>
      <c r="L352" s="2421"/>
      <c r="M352" s="2421"/>
      <c r="N352" s="2421"/>
      <c r="O352" s="2421"/>
      <c r="P352" s="2421"/>
      <c r="Q352" s="2421"/>
      <c r="R352" s="2421"/>
      <c r="S352" s="2421"/>
      <c r="T352" s="2421"/>
      <c r="U352" s="2421"/>
      <c r="V352" s="2421"/>
      <c r="W352" s="2421"/>
      <c r="X352" s="2421"/>
      <c r="Y352" s="2421"/>
      <c r="Z352" s="2421"/>
      <c r="AA352" s="2421"/>
      <c r="AB352" s="2421"/>
      <c r="AC352" s="2421"/>
      <c r="AD352" s="2421"/>
      <c r="AE352" s="2421"/>
      <c r="AF352" s="2421"/>
      <c r="AG352" s="2421"/>
      <c r="AH352" s="2421"/>
      <c r="AI352" s="2421"/>
      <c r="AJ352" s="2421"/>
      <c r="AK352" s="163"/>
      <c r="AL352" s="163"/>
      <c r="AM352" s="163"/>
      <c r="AN352" s="439"/>
      <c r="AQ352" s="50"/>
      <c r="AR352" s="50"/>
    </row>
    <row r="353" spans="1:46" s="46" customFormat="1" ht="12.75" customHeight="1">
      <c r="A353" s="163"/>
      <c r="B353" s="144"/>
      <c r="C353" s="2421"/>
      <c r="D353" s="2421"/>
      <c r="E353" s="2421"/>
      <c r="F353" s="2421"/>
      <c r="G353" s="2421"/>
      <c r="H353" s="2421"/>
      <c r="I353" s="2421"/>
      <c r="J353" s="2421"/>
      <c r="K353" s="2421"/>
      <c r="L353" s="2421"/>
      <c r="M353" s="2421"/>
      <c r="N353" s="2421"/>
      <c r="O353" s="2421"/>
      <c r="P353" s="2421"/>
      <c r="Q353" s="2421"/>
      <c r="R353" s="2421"/>
      <c r="S353" s="2421"/>
      <c r="T353" s="2421"/>
      <c r="U353" s="2421"/>
      <c r="V353" s="2421"/>
      <c r="W353" s="2421"/>
      <c r="X353" s="2421"/>
      <c r="Y353" s="2421"/>
      <c r="Z353" s="2421"/>
      <c r="AA353" s="2421"/>
      <c r="AB353" s="2421"/>
      <c r="AC353" s="2421"/>
      <c r="AD353" s="2421"/>
      <c r="AE353" s="2421"/>
      <c r="AF353" s="2421"/>
      <c r="AG353" s="2421"/>
      <c r="AH353" s="2421"/>
      <c r="AI353" s="2421"/>
      <c r="AJ353" s="2421"/>
      <c r="AK353" s="163"/>
      <c r="AL353" s="163"/>
      <c r="AM353" s="163"/>
      <c r="AN353" s="439"/>
      <c r="AQ353" s="50"/>
      <c r="AR353" s="50"/>
    </row>
    <row r="354" spans="1:46" s="46" customFormat="1" ht="13.25" customHeight="1">
      <c r="A354" s="163"/>
      <c r="B354" s="144"/>
      <c r="C354" s="2421"/>
      <c r="D354" s="2421"/>
      <c r="E354" s="2421"/>
      <c r="F354" s="2421"/>
      <c r="G354" s="2421"/>
      <c r="H354" s="2421"/>
      <c r="I354" s="2421"/>
      <c r="J354" s="2421"/>
      <c r="K354" s="2421"/>
      <c r="L354" s="2421"/>
      <c r="M354" s="2421"/>
      <c r="N354" s="2421"/>
      <c r="O354" s="2421"/>
      <c r="P354" s="2421"/>
      <c r="Q354" s="2421"/>
      <c r="R354" s="2421"/>
      <c r="S354" s="2421"/>
      <c r="T354" s="2421"/>
      <c r="U354" s="2421"/>
      <c r="V354" s="2421"/>
      <c r="W354" s="2421"/>
      <c r="X354" s="2421"/>
      <c r="Y354" s="2421"/>
      <c r="Z354" s="2421"/>
      <c r="AA354" s="2421"/>
      <c r="AB354" s="2421"/>
      <c r="AC354" s="2421"/>
      <c r="AD354" s="2421"/>
      <c r="AE354" s="2421"/>
      <c r="AF354" s="2421"/>
      <c r="AG354" s="2421"/>
      <c r="AH354" s="2421"/>
      <c r="AI354" s="2421"/>
      <c r="AJ354" s="2421"/>
      <c r="AK354" s="163"/>
      <c r="AL354" s="163"/>
      <c r="AM354" s="163"/>
      <c r="AN354" s="439"/>
      <c r="AQ354" s="50"/>
      <c r="AR354" s="50"/>
    </row>
    <row r="355" spans="1:46" s="46" customFormat="1" ht="12.75" customHeight="1">
      <c r="A355" s="163"/>
      <c r="B355" s="144"/>
      <c r="C355" s="2421"/>
      <c r="D355" s="2421"/>
      <c r="E355" s="2421"/>
      <c r="F355" s="2421"/>
      <c r="G355" s="2421"/>
      <c r="H355" s="2421"/>
      <c r="I355" s="2421"/>
      <c r="J355" s="2421"/>
      <c r="K355" s="2421"/>
      <c r="L355" s="2421"/>
      <c r="M355" s="2421"/>
      <c r="N355" s="2421"/>
      <c r="O355" s="2421"/>
      <c r="P355" s="2421"/>
      <c r="Q355" s="2421"/>
      <c r="R355" s="2421"/>
      <c r="S355" s="2421"/>
      <c r="T355" s="2421"/>
      <c r="U355" s="2421"/>
      <c r="V355" s="2421"/>
      <c r="W355" s="2421"/>
      <c r="X355" s="2421"/>
      <c r="Y355" s="2421"/>
      <c r="Z355" s="2421"/>
      <c r="AA355" s="2421"/>
      <c r="AB355" s="2421"/>
      <c r="AC355" s="2421"/>
      <c r="AD355" s="2421"/>
      <c r="AE355" s="2421"/>
      <c r="AF355" s="2421"/>
      <c r="AG355" s="2421"/>
      <c r="AH355" s="2421"/>
      <c r="AI355" s="2421"/>
      <c r="AJ355" s="2421"/>
      <c r="AK355" s="163"/>
      <c r="AL355" s="163"/>
      <c r="AM355" s="163"/>
      <c r="AN355" s="439"/>
      <c r="AO355" s="257"/>
      <c r="AP355" s="257"/>
      <c r="AQ355" s="50"/>
      <c r="AR355" s="137"/>
    </row>
    <row r="356" spans="1:46" s="46" customFormat="1" ht="12" customHeight="1">
      <c r="A356" s="163"/>
      <c r="B356" s="144"/>
      <c r="C356" s="2421"/>
      <c r="D356" s="2421"/>
      <c r="E356" s="2421"/>
      <c r="F356" s="2421"/>
      <c r="G356" s="2421"/>
      <c r="H356" s="2421"/>
      <c r="I356" s="2421"/>
      <c r="J356" s="2421"/>
      <c r="K356" s="2421"/>
      <c r="L356" s="2421"/>
      <c r="M356" s="2421"/>
      <c r="N356" s="2421"/>
      <c r="O356" s="2421"/>
      <c r="P356" s="2421"/>
      <c r="Q356" s="2421"/>
      <c r="R356" s="2421"/>
      <c r="S356" s="2421"/>
      <c r="T356" s="2421"/>
      <c r="U356" s="2421"/>
      <c r="V356" s="2421"/>
      <c r="W356" s="2421"/>
      <c r="X356" s="2421"/>
      <c r="Y356" s="2421"/>
      <c r="Z356" s="2421"/>
      <c r="AA356" s="2421"/>
      <c r="AB356" s="2421"/>
      <c r="AC356" s="2421"/>
      <c r="AD356" s="2421"/>
      <c r="AE356" s="2421"/>
      <c r="AF356" s="2421"/>
      <c r="AG356" s="2421"/>
      <c r="AH356" s="2421"/>
      <c r="AI356" s="2421"/>
      <c r="AJ356" s="2421"/>
      <c r="AK356" s="163"/>
      <c r="AL356" s="163"/>
      <c r="AM356" s="163"/>
      <c r="AN356" s="439"/>
      <c r="AO356" s="1168" t="s">
        <v>1003</v>
      </c>
      <c r="AP356" s="1169">
        <f>IF(C381="Yes",5,0)</f>
        <v>0</v>
      </c>
      <c r="AQ356" s="137"/>
      <c r="AR356" s="137"/>
      <c r="AS356" s="63" t="s">
        <v>2006</v>
      </c>
    </row>
    <row r="357" spans="1:46" s="46" customFormat="1" ht="12.75" customHeight="1">
      <c r="A357" s="163"/>
      <c r="B357" s="144"/>
      <c r="C357" s="2421"/>
      <c r="D357" s="2421"/>
      <c r="E357" s="2421"/>
      <c r="F357" s="2421"/>
      <c r="G357" s="2421"/>
      <c r="H357" s="2421"/>
      <c r="I357" s="2421"/>
      <c r="J357" s="2421"/>
      <c r="K357" s="2421"/>
      <c r="L357" s="2421"/>
      <c r="M357" s="2421"/>
      <c r="N357" s="2421"/>
      <c r="O357" s="2421"/>
      <c r="P357" s="2421"/>
      <c r="Q357" s="2421"/>
      <c r="R357" s="2421"/>
      <c r="S357" s="2421"/>
      <c r="T357" s="2421"/>
      <c r="U357" s="2421"/>
      <c r="V357" s="2421"/>
      <c r="W357" s="2421"/>
      <c r="X357" s="2421"/>
      <c r="Y357" s="2421"/>
      <c r="Z357" s="2421"/>
      <c r="AA357" s="2421"/>
      <c r="AB357" s="2421"/>
      <c r="AC357" s="2421"/>
      <c r="AD357" s="2421"/>
      <c r="AE357" s="2421"/>
      <c r="AF357" s="2421"/>
      <c r="AG357" s="2421"/>
      <c r="AH357" s="2421"/>
      <c r="AI357" s="2421"/>
      <c r="AJ357" s="2421"/>
      <c r="AK357" s="163"/>
      <c r="AL357" s="163"/>
      <c r="AM357" s="163"/>
      <c r="AN357" s="439"/>
      <c r="AO357" s="1168"/>
      <c r="AP357" s="1169"/>
      <c r="AQ357" s="137"/>
      <c r="AR357" s="137"/>
      <c r="AS357" s="2418">
        <f>IF(AQ370=0,AQ383,AQ370)</f>
        <v>10</v>
      </c>
      <c r="AT357" s="2418"/>
    </row>
    <row r="358" spans="1:46" s="46" customFormat="1" ht="12.75" customHeight="1">
      <c r="A358" s="163"/>
      <c r="B358" s="144"/>
      <c r="C358" s="2421"/>
      <c r="D358" s="2421"/>
      <c r="E358" s="2421"/>
      <c r="F358" s="2421"/>
      <c r="G358" s="2421"/>
      <c r="H358" s="2421"/>
      <c r="I358" s="2421"/>
      <c r="J358" s="2421"/>
      <c r="K358" s="2421"/>
      <c r="L358" s="2421"/>
      <c r="M358" s="2421"/>
      <c r="N358" s="2421"/>
      <c r="O358" s="2421"/>
      <c r="P358" s="2421"/>
      <c r="Q358" s="2421"/>
      <c r="R358" s="2421"/>
      <c r="S358" s="2421"/>
      <c r="T358" s="2421"/>
      <c r="U358" s="2421"/>
      <c r="V358" s="2421"/>
      <c r="W358" s="2421"/>
      <c r="X358" s="2421"/>
      <c r="Y358" s="2421"/>
      <c r="Z358" s="2421"/>
      <c r="AA358" s="2421"/>
      <c r="AB358" s="2421"/>
      <c r="AC358" s="2421"/>
      <c r="AD358" s="2421"/>
      <c r="AE358" s="2421"/>
      <c r="AF358" s="2421"/>
      <c r="AG358" s="2421"/>
      <c r="AH358" s="2421"/>
      <c r="AI358" s="2421"/>
      <c r="AJ358" s="2421"/>
      <c r="AK358" s="163"/>
      <c r="AL358" s="163"/>
      <c r="AM358" s="163"/>
      <c r="AN358" s="439"/>
      <c r="AO358" s="1168" t="s">
        <v>1004</v>
      </c>
      <c r="AP358" s="1169">
        <f>IF(C391="Yes",5,0)</f>
        <v>5</v>
      </c>
      <c r="AS358" s="63" t="s">
        <v>2040</v>
      </c>
    </row>
    <row r="359" spans="1:46" s="46" customFormat="1" ht="12.75" customHeight="1">
      <c r="A359" s="163"/>
      <c r="B359" s="144"/>
      <c r="C359" s="2421"/>
      <c r="D359" s="2421"/>
      <c r="E359" s="2421"/>
      <c r="F359" s="2421"/>
      <c r="G359" s="2421"/>
      <c r="H359" s="2421"/>
      <c r="I359" s="2421"/>
      <c r="J359" s="2421"/>
      <c r="K359" s="2421"/>
      <c r="L359" s="2421"/>
      <c r="M359" s="2421"/>
      <c r="N359" s="2421"/>
      <c r="O359" s="2421"/>
      <c r="P359" s="2421"/>
      <c r="Q359" s="2421"/>
      <c r="R359" s="2421"/>
      <c r="S359" s="2421"/>
      <c r="T359" s="2421"/>
      <c r="U359" s="2421"/>
      <c r="V359" s="2421"/>
      <c r="W359" s="2421"/>
      <c r="X359" s="2421"/>
      <c r="Y359" s="2421"/>
      <c r="Z359" s="2421"/>
      <c r="AA359" s="2421"/>
      <c r="AB359" s="2421"/>
      <c r="AC359" s="2421"/>
      <c r="AD359" s="2421"/>
      <c r="AE359" s="2421"/>
      <c r="AF359" s="2421"/>
      <c r="AG359" s="2421"/>
      <c r="AH359" s="2421"/>
      <c r="AI359" s="2421"/>
      <c r="AJ359" s="2421"/>
      <c r="AK359" s="163"/>
      <c r="AL359" s="163"/>
      <c r="AM359" s="163"/>
      <c r="AN359" s="439"/>
      <c r="AO359" s="1168"/>
      <c r="AP359" s="1169"/>
      <c r="AS359" s="2418">
        <f>IF(AND(AQ370&gt;0,AQ383&gt;0),(AQ370+AQ383)/2,0)</f>
        <v>0</v>
      </c>
      <c r="AT359" s="2418"/>
    </row>
    <row r="360" spans="1:46" s="46" customFormat="1" ht="12.75" customHeight="1">
      <c r="A360" s="163"/>
      <c r="B360" s="144"/>
      <c r="C360" s="2421"/>
      <c r="D360" s="2421"/>
      <c r="E360" s="2421"/>
      <c r="F360" s="2421"/>
      <c r="G360" s="2421"/>
      <c r="H360" s="2421"/>
      <c r="I360" s="2421"/>
      <c r="J360" s="2421"/>
      <c r="K360" s="2421"/>
      <c r="L360" s="2421"/>
      <c r="M360" s="2421"/>
      <c r="N360" s="2421"/>
      <c r="O360" s="2421"/>
      <c r="P360" s="2421"/>
      <c r="Q360" s="2421"/>
      <c r="R360" s="2421"/>
      <c r="S360" s="2421"/>
      <c r="T360" s="2421"/>
      <c r="U360" s="2421"/>
      <c r="V360" s="2421"/>
      <c r="W360" s="2421"/>
      <c r="X360" s="2421"/>
      <c r="Y360" s="2421"/>
      <c r="Z360" s="2421"/>
      <c r="AA360" s="2421"/>
      <c r="AB360" s="2421"/>
      <c r="AC360" s="2421"/>
      <c r="AD360" s="2421"/>
      <c r="AE360" s="2421"/>
      <c r="AF360" s="2421"/>
      <c r="AG360" s="2421"/>
      <c r="AH360" s="2421"/>
      <c r="AI360" s="2421"/>
      <c r="AJ360" s="2421"/>
      <c r="AK360" s="163"/>
      <c r="AL360" s="163"/>
      <c r="AM360" s="163"/>
      <c r="AN360" s="439"/>
      <c r="AO360" s="1168" t="s">
        <v>1010</v>
      </c>
      <c r="AP360" s="1169">
        <f>IF(C401="Yes",7,0)</f>
        <v>0</v>
      </c>
      <c r="AQ360" s="137"/>
      <c r="AR360" s="137"/>
    </row>
    <row r="361" spans="1:46" s="46" customFormat="1" ht="12.75" customHeight="1">
      <c r="A361" s="163"/>
      <c r="B361" s="144"/>
      <c r="C361" s="2421" t="s">
        <v>2088</v>
      </c>
      <c r="D361" s="2421"/>
      <c r="E361" s="2421"/>
      <c r="F361" s="2421"/>
      <c r="G361" s="2421"/>
      <c r="H361" s="2421"/>
      <c r="I361" s="2421"/>
      <c r="J361" s="2421"/>
      <c r="K361" s="2421"/>
      <c r="L361" s="2421"/>
      <c r="M361" s="2421"/>
      <c r="N361" s="2421"/>
      <c r="O361" s="2421"/>
      <c r="P361" s="2421"/>
      <c r="Q361" s="2421"/>
      <c r="R361" s="2421"/>
      <c r="S361" s="2421"/>
      <c r="T361" s="2421"/>
      <c r="U361" s="2421"/>
      <c r="V361" s="2421"/>
      <c r="W361" s="2421"/>
      <c r="X361" s="2421"/>
      <c r="Y361" s="2421"/>
      <c r="Z361" s="2421"/>
      <c r="AA361" s="2421"/>
      <c r="AB361" s="2421"/>
      <c r="AC361" s="2421"/>
      <c r="AD361" s="2421"/>
      <c r="AE361" s="2421"/>
      <c r="AF361" s="2421"/>
      <c r="AG361" s="2421"/>
      <c r="AH361" s="2421"/>
      <c r="AI361" s="2421"/>
      <c r="AJ361" s="2421"/>
      <c r="AK361" s="163"/>
      <c r="AL361" s="163"/>
      <c r="AM361" s="163"/>
      <c r="AN361" s="439"/>
      <c r="AO361" s="439"/>
      <c r="AP361" s="1169">
        <f>IF(C403="Yes",5,0)</f>
        <v>5</v>
      </c>
    </row>
    <row r="362" spans="1:46" s="46" customFormat="1" ht="12.75" customHeight="1">
      <c r="A362" s="163"/>
      <c r="B362" s="144"/>
      <c r="C362" s="2421"/>
      <c r="D362" s="2421"/>
      <c r="E362" s="2421"/>
      <c r="F362" s="2421"/>
      <c r="G362" s="2421"/>
      <c r="H362" s="2421"/>
      <c r="I362" s="2421"/>
      <c r="J362" s="2421"/>
      <c r="K362" s="2421"/>
      <c r="L362" s="2421"/>
      <c r="M362" s="2421"/>
      <c r="N362" s="2421"/>
      <c r="O362" s="2421"/>
      <c r="P362" s="2421"/>
      <c r="Q362" s="2421"/>
      <c r="R362" s="2421"/>
      <c r="S362" s="2421"/>
      <c r="T362" s="2421"/>
      <c r="U362" s="2421"/>
      <c r="V362" s="2421"/>
      <c r="W362" s="2421"/>
      <c r="X362" s="2421"/>
      <c r="Y362" s="2421"/>
      <c r="Z362" s="2421"/>
      <c r="AA362" s="2421"/>
      <c r="AB362" s="2421"/>
      <c r="AC362" s="2421"/>
      <c r="AD362" s="2421"/>
      <c r="AE362" s="2421"/>
      <c r="AF362" s="2421"/>
      <c r="AG362" s="2421"/>
      <c r="AH362" s="2421"/>
      <c r="AI362" s="2421"/>
      <c r="AJ362" s="2421"/>
      <c r="AK362" s="163"/>
      <c r="AL362" s="163"/>
      <c r="AM362" s="163"/>
      <c r="AN362" s="439"/>
      <c r="AO362" s="439"/>
      <c r="AP362" s="1169"/>
    </row>
    <row r="363" spans="1:46" s="46" customFormat="1" ht="12.75" customHeight="1">
      <c r="A363" s="163"/>
      <c r="B363" s="144"/>
      <c r="C363" s="2421"/>
      <c r="D363" s="2421"/>
      <c r="E363" s="2421"/>
      <c r="F363" s="2421"/>
      <c r="G363" s="2421"/>
      <c r="H363" s="2421"/>
      <c r="I363" s="2421"/>
      <c r="J363" s="2421"/>
      <c r="K363" s="2421"/>
      <c r="L363" s="2421"/>
      <c r="M363" s="2421"/>
      <c r="N363" s="2421"/>
      <c r="O363" s="2421"/>
      <c r="P363" s="2421"/>
      <c r="Q363" s="2421"/>
      <c r="R363" s="2421"/>
      <c r="S363" s="2421"/>
      <c r="T363" s="2421"/>
      <c r="U363" s="2421"/>
      <c r="V363" s="2421"/>
      <c r="W363" s="2421"/>
      <c r="X363" s="2421"/>
      <c r="Y363" s="2421"/>
      <c r="Z363" s="2421"/>
      <c r="AA363" s="2421"/>
      <c r="AB363" s="2421"/>
      <c r="AC363" s="2421"/>
      <c r="AD363" s="2421"/>
      <c r="AE363" s="2421"/>
      <c r="AF363" s="2421"/>
      <c r="AG363" s="2421"/>
      <c r="AH363" s="2421"/>
      <c r="AI363" s="2421"/>
      <c r="AJ363" s="2421"/>
      <c r="AK363" s="163"/>
      <c r="AL363" s="163"/>
      <c r="AM363" s="163"/>
      <c r="AN363" s="439"/>
      <c r="AO363" s="1168" t="s">
        <v>480</v>
      </c>
      <c r="AP363" s="1169">
        <f>IF(C411="Yes",5,0)</f>
        <v>0</v>
      </c>
    </row>
    <row r="364" spans="1:46" s="46" customFormat="1" ht="12" customHeight="1">
      <c r="A364" s="163"/>
      <c r="B364" s="144"/>
      <c r="C364" s="2421"/>
      <c r="D364" s="2421"/>
      <c r="E364" s="2421"/>
      <c r="F364" s="2421"/>
      <c r="G364" s="2421"/>
      <c r="H364" s="2421"/>
      <c r="I364" s="2421"/>
      <c r="J364" s="2421"/>
      <c r="K364" s="2421"/>
      <c r="L364" s="2421"/>
      <c r="M364" s="2421"/>
      <c r="N364" s="2421"/>
      <c r="O364" s="2421"/>
      <c r="P364" s="2421"/>
      <c r="Q364" s="2421"/>
      <c r="R364" s="2421"/>
      <c r="S364" s="2421"/>
      <c r="T364" s="2421"/>
      <c r="U364" s="2421"/>
      <c r="V364" s="2421"/>
      <c r="W364" s="2421"/>
      <c r="X364" s="2421"/>
      <c r="Y364" s="2421"/>
      <c r="Z364" s="2421"/>
      <c r="AA364" s="2421"/>
      <c r="AB364" s="2421"/>
      <c r="AC364" s="2421"/>
      <c r="AD364" s="2421"/>
      <c r="AE364" s="2421"/>
      <c r="AF364" s="2421"/>
      <c r="AG364" s="2421"/>
      <c r="AH364" s="2421"/>
      <c r="AI364" s="2421"/>
      <c r="AJ364" s="2421"/>
      <c r="AK364" s="163"/>
      <c r="AL364" s="163"/>
      <c r="AM364" s="163"/>
      <c r="AN364" s="439"/>
      <c r="AO364" s="439"/>
      <c r="AP364" s="1169">
        <f>IF(C413="Yes",3,0)</f>
        <v>0</v>
      </c>
    </row>
    <row r="365" spans="1:46" s="46" customFormat="1" ht="12.5" customHeight="1">
      <c r="A365" s="163"/>
      <c r="B365" s="144"/>
      <c r="C365" s="2421"/>
      <c r="D365" s="2421"/>
      <c r="E365" s="2421"/>
      <c r="F365" s="2421"/>
      <c r="G365" s="2421"/>
      <c r="H365" s="2421"/>
      <c r="I365" s="2421"/>
      <c r="J365" s="2421"/>
      <c r="K365" s="2421"/>
      <c r="L365" s="2421"/>
      <c r="M365" s="2421"/>
      <c r="N365" s="2421"/>
      <c r="O365" s="2421"/>
      <c r="P365" s="2421"/>
      <c r="Q365" s="2421"/>
      <c r="R365" s="2421"/>
      <c r="S365" s="2421"/>
      <c r="T365" s="2421"/>
      <c r="U365" s="2421"/>
      <c r="V365" s="2421"/>
      <c r="W365" s="2421"/>
      <c r="X365" s="2421"/>
      <c r="Y365" s="2421"/>
      <c r="Z365" s="2421"/>
      <c r="AA365" s="2421"/>
      <c r="AB365" s="2421"/>
      <c r="AC365" s="2421"/>
      <c r="AD365" s="2421"/>
      <c r="AE365" s="2421"/>
      <c r="AF365" s="2421"/>
      <c r="AG365" s="2421"/>
      <c r="AH365" s="2421"/>
      <c r="AI365" s="2421"/>
      <c r="AJ365" s="2421"/>
      <c r="AK365" s="163"/>
      <c r="AL365" s="163"/>
      <c r="AM365" s="163"/>
      <c r="AN365" s="439"/>
      <c r="AO365" s="439"/>
      <c r="AP365" s="1169"/>
    </row>
    <row r="366" spans="1:46" s="46" customFormat="1" ht="12.75" customHeight="1">
      <c r="A366" s="163"/>
      <c r="B366" s="144"/>
      <c r="C366" s="2421"/>
      <c r="D366" s="2421"/>
      <c r="E366" s="2421"/>
      <c r="F366" s="2421"/>
      <c r="G366" s="2421"/>
      <c r="H366" s="2421"/>
      <c r="I366" s="2421"/>
      <c r="J366" s="2421"/>
      <c r="K366" s="2421"/>
      <c r="L366" s="2421"/>
      <c r="M366" s="2421"/>
      <c r="N366" s="2421"/>
      <c r="O366" s="2421"/>
      <c r="P366" s="2421"/>
      <c r="Q366" s="2421"/>
      <c r="R366" s="2421"/>
      <c r="S366" s="2421"/>
      <c r="T366" s="2421"/>
      <c r="U366" s="2421"/>
      <c r="V366" s="2421"/>
      <c r="W366" s="2421"/>
      <c r="X366" s="2421"/>
      <c r="Y366" s="2421"/>
      <c r="Z366" s="2421"/>
      <c r="AA366" s="2421"/>
      <c r="AB366" s="2421"/>
      <c r="AC366" s="2421"/>
      <c r="AD366" s="2421"/>
      <c r="AE366" s="2421"/>
      <c r="AF366" s="2421"/>
      <c r="AG366" s="2421"/>
      <c r="AH366" s="2421"/>
      <c r="AI366" s="2421"/>
      <c r="AJ366" s="2421"/>
      <c r="AK366" s="163"/>
      <c r="AL366" s="163"/>
      <c r="AM366" s="163"/>
      <c r="AN366" s="439"/>
      <c r="AO366" s="1168" t="s">
        <v>188</v>
      </c>
      <c r="AP366" s="1169">
        <f>IF(C416="Yes",5,0)</f>
        <v>0</v>
      </c>
    </row>
    <row r="367" spans="1:46" s="46" customFormat="1" ht="12.75" customHeight="1">
      <c r="A367" s="163"/>
      <c r="B367" s="144"/>
      <c r="C367" s="2421"/>
      <c r="D367" s="2421"/>
      <c r="E367" s="2421"/>
      <c r="F367" s="2421"/>
      <c r="G367" s="2421"/>
      <c r="H367" s="2421"/>
      <c r="I367" s="2421"/>
      <c r="J367" s="2421"/>
      <c r="K367" s="2421"/>
      <c r="L367" s="2421"/>
      <c r="M367" s="2421"/>
      <c r="N367" s="2421"/>
      <c r="O367" s="2421"/>
      <c r="P367" s="2421"/>
      <c r="Q367" s="2421"/>
      <c r="R367" s="2421"/>
      <c r="S367" s="2421"/>
      <c r="T367" s="2421"/>
      <c r="U367" s="2421"/>
      <c r="V367" s="2421"/>
      <c r="W367" s="2421"/>
      <c r="X367" s="2421"/>
      <c r="Y367" s="2421"/>
      <c r="Z367" s="2421"/>
      <c r="AA367" s="2421"/>
      <c r="AB367" s="2421"/>
      <c r="AC367" s="2421"/>
      <c r="AD367" s="2421"/>
      <c r="AE367" s="2421"/>
      <c r="AF367" s="2421"/>
      <c r="AG367" s="2421"/>
      <c r="AH367" s="2421"/>
      <c r="AI367" s="2421"/>
      <c r="AJ367" s="2421"/>
      <c r="AK367" s="163"/>
      <c r="AL367" s="163"/>
      <c r="AM367" s="163"/>
      <c r="AN367" s="439"/>
      <c r="AO367" s="1168" t="s">
        <v>483</v>
      </c>
      <c r="AP367" s="1169">
        <f>IF(C425="Yes",5,0)</f>
        <v>0</v>
      </c>
    </row>
    <row r="368" spans="1:46" s="46" customFormat="1" ht="12.75" customHeight="1">
      <c r="A368" s="163"/>
      <c r="B368" s="144"/>
      <c r="C368" s="2421" t="s">
        <v>2089</v>
      </c>
      <c r="D368" s="2421"/>
      <c r="E368" s="2421"/>
      <c r="F368" s="2421"/>
      <c r="G368" s="2421"/>
      <c r="H368" s="2421"/>
      <c r="I368" s="2421"/>
      <c r="J368" s="2421"/>
      <c r="K368" s="2421"/>
      <c r="L368" s="2421"/>
      <c r="M368" s="2421"/>
      <c r="N368" s="2421"/>
      <c r="O368" s="2421"/>
      <c r="P368" s="2421"/>
      <c r="Q368" s="2421"/>
      <c r="R368" s="2421"/>
      <c r="S368" s="2421"/>
      <c r="T368" s="2421"/>
      <c r="U368" s="2421"/>
      <c r="V368" s="2421"/>
      <c r="W368" s="2421"/>
      <c r="X368" s="2421"/>
      <c r="Y368" s="2421"/>
      <c r="Z368" s="2421"/>
      <c r="AA368" s="2421"/>
      <c r="AB368" s="2421"/>
      <c r="AC368" s="2421"/>
      <c r="AD368" s="2421"/>
      <c r="AE368" s="2421"/>
      <c r="AF368" s="2421"/>
      <c r="AG368" s="2421"/>
      <c r="AH368" s="2421"/>
      <c r="AI368" s="2421"/>
      <c r="AJ368" s="2421"/>
      <c r="AK368" s="163"/>
      <c r="AL368" s="163"/>
      <c r="AM368" s="163"/>
      <c r="AN368" s="439"/>
      <c r="AO368" s="439"/>
      <c r="AP368" s="1169">
        <f>IF(C427="Yes",3,0)</f>
        <v>0</v>
      </c>
    </row>
    <row r="369" spans="1:153" s="46" customFormat="1" ht="12.75" customHeight="1">
      <c r="A369" s="163"/>
      <c r="B369" s="144"/>
      <c r="C369" s="2421"/>
      <c r="D369" s="2421"/>
      <c r="E369" s="2421"/>
      <c r="F369" s="2421"/>
      <c r="G369" s="2421"/>
      <c r="H369" s="2421"/>
      <c r="I369" s="2421"/>
      <c r="J369" s="2421"/>
      <c r="K369" s="2421"/>
      <c r="L369" s="2421"/>
      <c r="M369" s="2421"/>
      <c r="N369" s="2421"/>
      <c r="O369" s="2421"/>
      <c r="P369" s="2421"/>
      <c r="Q369" s="2421"/>
      <c r="R369" s="2421"/>
      <c r="S369" s="2421"/>
      <c r="T369" s="2421"/>
      <c r="U369" s="2421"/>
      <c r="V369" s="2421"/>
      <c r="W369" s="2421"/>
      <c r="X369" s="2421"/>
      <c r="Y369" s="2421"/>
      <c r="Z369" s="2421"/>
      <c r="AA369" s="2421"/>
      <c r="AB369" s="2421"/>
      <c r="AC369" s="2421"/>
      <c r="AD369" s="2421"/>
      <c r="AE369" s="2421"/>
      <c r="AF369" s="2421"/>
      <c r="AG369" s="2421"/>
      <c r="AH369" s="2421"/>
      <c r="AI369" s="2421"/>
      <c r="AJ369" s="2421"/>
      <c r="AK369" s="163"/>
      <c r="AL369" s="163"/>
      <c r="AM369" s="163"/>
      <c r="AN369" s="439"/>
      <c r="AO369" s="1170"/>
      <c r="AP369" s="1171"/>
    </row>
    <row r="370" spans="1:153" s="46" customFormat="1" ht="68.25" customHeight="1">
      <c r="A370" s="163"/>
      <c r="B370" s="144"/>
      <c r="C370" s="2421"/>
      <c r="D370" s="2421"/>
      <c r="E370" s="2421"/>
      <c r="F370" s="2421"/>
      <c r="G370" s="2421"/>
      <c r="H370" s="2421"/>
      <c r="I370" s="2421"/>
      <c r="J370" s="2421"/>
      <c r="K370" s="2421"/>
      <c r="L370" s="2421"/>
      <c r="M370" s="2421"/>
      <c r="N370" s="2421"/>
      <c r="O370" s="2421"/>
      <c r="P370" s="2421"/>
      <c r="Q370" s="2421"/>
      <c r="R370" s="2421"/>
      <c r="S370" s="2421"/>
      <c r="T370" s="2421"/>
      <c r="U370" s="2421"/>
      <c r="V370" s="2421"/>
      <c r="W370" s="2421"/>
      <c r="X370" s="2421"/>
      <c r="Y370" s="2421"/>
      <c r="Z370" s="2421"/>
      <c r="AA370" s="2421"/>
      <c r="AB370" s="2421"/>
      <c r="AC370" s="2421"/>
      <c r="AD370" s="2421"/>
      <c r="AE370" s="2421"/>
      <c r="AF370" s="2421"/>
      <c r="AG370" s="2421"/>
      <c r="AH370" s="2421"/>
      <c r="AI370" s="2421"/>
      <c r="AJ370" s="2421"/>
      <c r="AK370" s="163"/>
      <c r="AL370" s="163"/>
      <c r="AM370" s="163"/>
      <c r="AN370" s="439"/>
      <c r="AO370" s="1172" t="s">
        <v>675</v>
      </c>
      <c r="AP370" s="1173">
        <f>SUM(AP356:AP369)</f>
        <v>10</v>
      </c>
      <c r="AQ370" s="2407">
        <f>IF(AP370&gt;0,AP370,0)</f>
        <v>10</v>
      </c>
      <c r="AR370" s="2407"/>
    </row>
    <row r="371" spans="1:153" s="46" customFormat="1" ht="12.5" customHeight="1">
      <c r="A371" s="163"/>
      <c r="B371" s="144"/>
      <c r="C371" s="435" t="s">
        <v>1668</v>
      </c>
      <c r="AF371" s="163"/>
      <c r="AG371" s="163"/>
      <c r="AH371" s="163"/>
      <c r="AI371" s="163"/>
      <c r="AJ371" s="163"/>
      <c r="AK371" s="163"/>
      <c r="AL371" s="163"/>
      <c r="AM371" s="163"/>
      <c r="AN371" s="439"/>
      <c r="AO371" s="1168" t="s">
        <v>809</v>
      </c>
      <c r="AP371" s="1169">
        <f>IF(C434="Yes",5,0)</f>
        <v>0</v>
      </c>
    </row>
    <row r="372" spans="1:153" s="46" customFormat="1" ht="12.75" customHeight="1">
      <c r="A372" s="163"/>
      <c r="B372" s="144"/>
      <c r="C372" s="1174" t="s">
        <v>2208</v>
      </c>
      <c r="D372" s="1175"/>
      <c r="E372" s="1175"/>
      <c r="F372" s="1175"/>
      <c r="G372" s="1175"/>
      <c r="H372" s="1175"/>
      <c r="I372" s="1175"/>
      <c r="J372" s="1175"/>
      <c r="K372" s="1175"/>
      <c r="L372" s="1175"/>
      <c r="M372" s="342"/>
      <c r="N372" s="342"/>
      <c r="O372" s="1176"/>
      <c r="P372" s="1175"/>
      <c r="Q372" s="1175"/>
      <c r="R372" s="342"/>
      <c r="S372" s="342"/>
      <c r="T372" s="1175"/>
      <c r="U372" s="2416">
        <f>'Service Amenities Budget'!J10</f>
        <v>54</v>
      </c>
      <c r="V372" s="2416"/>
      <c r="W372" s="2416"/>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2005</v>
      </c>
      <c r="D373" s="1178"/>
      <c r="E373" s="1178"/>
      <c r="F373" s="1178"/>
      <c r="G373" s="1178"/>
      <c r="H373" s="1178"/>
      <c r="I373" s="1178"/>
      <c r="J373" s="1178"/>
      <c r="K373" s="1178"/>
      <c r="L373" s="1178"/>
      <c r="M373" s="257"/>
      <c r="N373" s="257"/>
      <c r="O373" s="1178"/>
      <c r="P373" s="1178"/>
      <c r="Q373" s="1178"/>
      <c r="R373" s="1178"/>
      <c r="S373" s="1178"/>
      <c r="T373" s="1178"/>
      <c r="U373" s="2417">
        <f>'Service Amenities Budget'!J9</f>
        <v>0</v>
      </c>
      <c r="V373" s="2417"/>
      <c r="W373" s="2417"/>
      <c r="X373" s="1178"/>
      <c r="Y373" s="1178"/>
      <c r="Z373" s="1178"/>
      <c r="AA373" s="1179"/>
      <c r="AB373" s="435"/>
      <c r="AC373" s="433"/>
      <c r="AD373" s="433"/>
      <c r="AE373" s="163"/>
      <c r="AF373" s="163"/>
      <c r="AG373" s="163"/>
      <c r="AH373" s="163"/>
      <c r="AI373" s="163"/>
      <c r="AJ373" s="163"/>
      <c r="AK373" s="163"/>
      <c r="AL373" s="163"/>
      <c r="AM373" s="163"/>
      <c r="AN373" s="439"/>
      <c r="AO373" s="1168" t="s">
        <v>810</v>
      </c>
      <c r="AP373" s="1169">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605</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794</v>
      </c>
      <c r="F377" s="2392" t="s">
        <v>2015</v>
      </c>
      <c r="G377" s="2392"/>
      <c r="H377" s="2392"/>
      <c r="I377" s="2392"/>
      <c r="J377" s="2392"/>
      <c r="K377" s="2392"/>
      <c r="L377" s="2392"/>
      <c r="M377" s="2392"/>
      <c r="N377" s="2392"/>
      <c r="O377" s="2392"/>
      <c r="P377" s="2392"/>
      <c r="Q377" s="2392"/>
      <c r="R377" s="2392"/>
      <c r="S377" s="2392"/>
      <c r="T377" s="2392"/>
      <c r="U377" s="2392"/>
      <c r="V377" s="2392"/>
      <c r="W377" s="2392"/>
      <c r="X377" s="2392"/>
      <c r="Y377" s="2392"/>
      <c r="Z377" s="2392"/>
      <c r="AA377" s="2392"/>
      <c r="AB377" s="2392"/>
      <c r="AC377" s="2392"/>
      <c r="AD377" s="2392"/>
      <c r="AE377" s="2392"/>
      <c r="AF377" s="2392"/>
      <c r="AG377" s="1328"/>
      <c r="AH377" s="1328"/>
      <c r="AI377" s="1328"/>
      <c r="AJ377" s="1328"/>
      <c r="AK377" s="1328"/>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93"/>
      <c r="G378" s="2393"/>
      <c r="H378" s="2393"/>
      <c r="I378" s="2393"/>
      <c r="J378" s="2393"/>
      <c r="K378" s="2393"/>
      <c r="L378" s="2393"/>
      <c r="M378" s="2393"/>
      <c r="N378" s="2393"/>
      <c r="O378" s="2393"/>
      <c r="P378" s="2393"/>
      <c r="Q378" s="2393"/>
      <c r="R378" s="2393"/>
      <c r="S378" s="2393"/>
      <c r="T378" s="2393"/>
      <c r="U378" s="2393"/>
      <c r="V378" s="2393"/>
      <c r="W378" s="2393"/>
      <c r="X378" s="2393"/>
      <c r="Y378" s="2393"/>
      <c r="Z378" s="2393"/>
      <c r="AA378" s="2393"/>
      <c r="AB378" s="2393"/>
      <c r="AC378" s="2393"/>
      <c r="AD378" s="2393"/>
      <c r="AE378" s="2393"/>
      <c r="AF378" s="2393"/>
      <c r="AG378" s="681"/>
      <c r="AH378" s="681"/>
      <c r="AI378" s="681"/>
      <c r="AJ378" s="681"/>
      <c r="AK378" s="681"/>
      <c r="AL378" s="1388"/>
      <c r="AM378" s="16"/>
      <c r="AN378" s="439"/>
      <c r="AO378" s="1168" t="s">
        <v>191</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93"/>
      <c r="G379" s="2393"/>
      <c r="H379" s="2393"/>
      <c r="I379" s="2393"/>
      <c r="J379" s="2393"/>
      <c r="K379" s="2393"/>
      <c r="L379" s="2393"/>
      <c r="M379" s="2393"/>
      <c r="N379" s="2393"/>
      <c r="O379" s="2393"/>
      <c r="P379" s="2393"/>
      <c r="Q379" s="2393"/>
      <c r="R379" s="2393"/>
      <c r="S379" s="2393"/>
      <c r="T379" s="2393"/>
      <c r="U379" s="2393"/>
      <c r="V379" s="2393"/>
      <c r="W379" s="2393"/>
      <c r="X379" s="2393"/>
      <c r="Y379" s="2393"/>
      <c r="Z379" s="2393"/>
      <c r="AA379" s="2393"/>
      <c r="AB379" s="2393"/>
      <c r="AC379" s="2393"/>
      <c r="AD379" s="2393"/>
      <c r="AE379" s="2393"/>
      <c r="AF379" s="2393"/>
      <c r="AG379" s="681"/>
      <c r="AH379" s="681"/>
      <c r="AI379" s="681"/>
      <c r="AJ379" s="681"/>
      <c r="AK379" s="681"/>
      <c r="AL379" s="1388"/>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93"/>
      <c r="G380" s="2393"/>
      <c r="H380" s="2393"/>
      <c r="I380" s="2393"/>
      <c r="J380" s="2393"/>
      <c r="K380" s="2393"/>
      <c r="L380" s="2393"/>
      <c r="M380" s="2393"/>
      <c r="N380" s="2393"/>
      <c r="O380" s="2393"/>
      <c r="P380" s="2393"/>
      <c r="Q380" s="2393"/>
      <c r="R380" s="2393"/>
      <c r="S380" s="2393"/>
      <c r="T380" s="2393"/>
      <c r="U380" s="2393"/>
      <c r="V380" s="2393"/>
      <c r="W380" s="2393"/>
      <c r="X380" s="2393"/>
      <c r="Y380" s="2393"/>
      <c r="Z380" s="2393"/>
      <c r="AA380" s="2393"/>
      <c r="AB380" s="2393"/>
      <c r="AC380" s="2393"/>
      <c r="AD380" s="2393"/>
      <c r="AE380" s="2393"/>
      <c r="AF380" s="2393"/>
      <c r="AG380" s="681"/>
      <c r="AH380" s="681"/>
      <c r="AI380" s="681"/>
      <c r="AJ380" s="681"/>
      <c r="AK380" s="681"/>
      <c r="AL380" s="1388"/>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5" t="s">
        <v>136</v>
      </c>
      <c r="D381" s="1699"/>
      <c r="E381" s="350"/>
      <c r="F381" s="1183" t="s">
        <v>2007</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2408" t="s">
        <v>355</v>
      </c>
      <c r="AG381" s="2408"/>
      <c r="AH381" s="2408"/>
      <c r="AI381" s="2408"/>
      <c r="AJ381" s="2408"/>
      <c r="AK381" s="2408"/>
      <c r="AL381" s="2409"/>
      <c r="AM381" s="1419"/>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1"/>
      <c r="D382" s="1202"/>
      <c r="E382" s="1191"/>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90"/>
      <c r="AF382" s="1390"/>
      <c r="AG382" s="1390"/>
      <c r="AH382" s="1390"/>
      <c r="AI382" s="1390"/>
      <c r="AJ382" s="1390"/>
      <c r="AK382" s="1390"/>
      <c r="AL382" s="1391"/>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0"/>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407">
        <f>IF(AP383&gt;0,AP383,0)</f>
        <v>0</v>
      </c>
      <c r="AR383" s="240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207</v>
      </c>
      <c r="F386" s="2392" t="s">
        <v>2014</v>
      </c>
      <c r="G386" s="2392"/>
      <c r="H386" s="2392"/>
      <c r="I386" s="2392"/>
      <c r="J386" s="2392"/>
      <c r="K386" s="2392"/>
      <c r="L386" s="2392"/>
      <c r="M386" s="2392"/>
      <c r="N386" s="2392"/>
      <c r="O386" s="2392"/>
      <c r="P386" s="2392"/>
      <c r="Q386" s="2392"/>
      <c r="R386" s="2392"/>
      <c r="S386" s="2392"/>
      <c r="T386" s="2392"/>
      <c r="U386" s="2392"/>
      <c r="V386" s="2392"/>
      <c r="W386" s="2392"/>
      <c r="X386" s="2392"/>
      <c r="Y386" s="2392"/>
      <c r="Z386" s="2392"/>
      <c r="AA386" s="2392"/>
      <c r="AB386" s="2392"/>
      <c r="AC386" s="2392"/>
      <c r="AD386" s="2392"/>
      <c r="AE386" s="2392"/>
      <c r="AF386" s="2392"/>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93"/>
      <c r="G387" s="2393"/>
      <c r="H387" s="2393"/>
      <c r="I387" s="2393"/>
      <c r="J387" s="2393"/>
      <c r="K387" s="2393"/>
      <c r="L387" s="2393"/>
      <c r="M387" s="2393"/>
      <c r="N387" s="2393"/>
      <c r="O387" s="2393"/>
      <c r="P387" s="2393"/>
      <c r="Q387" s="2393"/>
      <c r="R387" s="2393"/>
      <c r="S387" s="2393"/>
      <c r="T387" s="2393"/>
      <c r="U387" s="2393"/>
      <c r="V387" s="2393"/>
      <c r="W387" s="2393"/>
      <c r="X387" s="2393"/>
      <c r="Y387" s="2393"/>
      <c r="Z387" s="2393"/>
      <c r="AA387" s="2393"/>
      <c r="AB387" s="2393"/>
      <c r="AC387" s="2393"/>
      <c r="AD387" s="2393"/>
      <c r="AE387" s="2393"/>
      <c r="AF387" s="2393"/>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93"/>
      <c r="G388" s="2393"/>
      <c r="H388" s="2393"/>
      <c r="I388" s="2393"/>
      <c r="J388" s="2393"/>
      <c r="K388" s="2393"/>
      <c r="L388" s="2393"/>
      <c r="M388" s="2393"/>
      <c r="N388" s="2393"/>
      <c r="O388" s="2393"/>
      <c r="P388" s="2393"/>
      <c r="Q388" s="2393"/>
      <c r="R388" s="2393"/>
      <c r="S388" s="2393"/>
      <c r="T388" s="2393"/>
      <c r="U388" s="2393"/>
      <c r="V388" s="2393"/>
      <c r="W388" s="2393"/>
      <c r="X388" s="2393"/>
      <c r="Y388" s="2393"/>
      <c r="Z388" s="2393"/>
      <c r="AA388" s="2393"/>
      <c r="AB388" s="2393"/>
      <c r="AC388" s="2393"/>
      <c r="AD388" s="2393"/>
      <c r="AE388" s="2393"/>
      <c r="AF388" s="2393"/>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93"/>
      <c r="G389" s="2393"/>
      <c r="H389" s="2393"/>
      <c r="I389" s="2393"/>
      <c r="J389" s="2393"/>
      <c r="K389" s="2393"/>
      <c r="L389" s="2393"/>
      <c r="M389" s="2393"/>
      <c r="N389" s="2393"/>
      <c r="O389" s="2393"/>
      <c r="P389" s="2393"/>
      <c r="Q389" s="2393"/>
      <c r="R389" s="2393"/>
      <c r="S389" s="2393"/>
      <c r="T389" s="2393"/>
      <c r="U389" s="2393"/>
      <c r="V389" s="2393"/>
      <c r="W389" s="2393"/>
      <c r="X389" s="2393"/>
      <c r="Y389" s="2393"/>
      <c r="Z389" s="2393"/>
      <c r="AA389" s="2393"/>
      <c r="AB389" s="2393"/>
      <c r="AC389" s="2393"/>
      <c r="AD389" s="2393"/>
      <c r="AE389" s="2393"/>
      <c r="AF389" s="2393"/>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93"/>
      <c r="G390" s="2393"/>
      <c r="H390" s="2393"/>
      <c r="I390" s="2393"/>
      <c r="J390" s="2393"/>
      <c r="K390" s="2393"/>
      <c r="L390" s="2393"/>
      <c r="M390" s="2393"/>
      <c r="N390" s="2393"/>
      <c r="O390" s="2393"/>
      <c r="P390" s="2393"/>
      <c r="Q390" s="2393"/>
      <c r="R390" s="2393"/>
      <c r="S390" s="2393"/>
      <c r="T390" s="2393"/>
      <c r="U390" s="2393"/>
      <c r="V390" s="2393"/>
      <c r="W390" s="2393"/>
      <c r="X390" s="2393"/>
      <c r="Y390" s="2393"/>
      <c r="Z390" s="2393"/>
      <c r="AA390" s="2393"/>
      <c r="AB390" s="2393"/>
      <c r="AC390" s="2393"/>
      <c r="AD390" s="2393"/>
      <c r="AE390" s="2393"/>
      <c r="AF390" s="2393"/>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5" t="s">
        <v>119</v>
      </c>
      <c r="D391" s="1699"/>
      <c r="E391" s="306"/>
      <c r="F391" s="1183" t="s">
        <v>2008</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2408" t="s">
        <v>355</v>
      </c>
      <c r="AG391" s="2408"/>
      <c r="AH391" s="2408"/>
      <c r="AI391" s="2408"/>
      <c r="AJ391" s="2408"/>
      <c r="AK391" s="2408"/>
      <c r="AL391" s="240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1"/>
      <c r="D392" s="1202"/>
      <c r="E392" s="1191"/>
      <c r="F392" s="1386"/>
      <c r="G392" s="1386"/>
      <c r="H392" s="1386"/>
      <c r="I392" s="1386"/>
      <c r="J392" s="1386"/>
      <c r="K392" s="1386"/>
      <c r="L392" s="1386"/>
      <c r="M392" s="1386"/>
      <c r="N392" s="1386"/>
      <c r="O392" s="1386"/>
      <c r="P392" s="1386"/>
      <c r="Q392" s="1386"/>
      <c r="R392" s="1386"/>
      <c r="S392" s="1386"/>
      <c r="T392" s="1386"/>
      <c r="U392" s="1386"/>
      <c r="V392" s="1386"/>
      <c r="W392" s="1386"/>
      <c r="X392" s="1386"/>
      <c r="Y392" s="1386"/>
      <c r="Z392" s="1386"/>
      <c r="AA392" s="1386"/>
      <c r="AB392" s="1386"/>
      <c r="AC392" s="1386"/>
      <c r="AD392" s="1386"/>
      <c r="AE392" s="1390"/>
      <c r="AF392" s="1390"/>
      <c r="AG392" s="1390"/>
      <c r="AH392" s="1390"/>
      <c r="AI392" s="1390"/>
      <c r="AJ392" s="1390"/>
      <c r="AK392" s="1390"/>
      <c r="AL392" s="139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77"/>
      <c r="D393" s="1877"/>
      <c r="E393" s="350"/>
      <c r="F393" s="1422"/>
      <c r="G393" s="1423"/>
      <c r="H393" s="1423"/>
      <c r="I393" s="1423"/>
      <c r="J393" s="1423"/>
      <c r="K393" s="1423"/>
      <c r="L393" s="1423"/>
      <c r="M393" s="1423"/>
      <c r="N393" s="1423"/>
      <c r="O393" s="1423"/>
      <c r="P393" s="1423"/>
      <c r="Q393" s="1423"/>
      <c r="R393" s="1423"/>
      <c r="S393" s="1423"/>
      <c r="T393" s="1423"/>
      <c r="U393" s="1423"/>
      <c r="V393" s="1423"/>
      <c r="W393" s="1423"/>
      <c r="X393" s="1423"/>
      <c r="Y393" s="1423"/>
      <c r="Z393" s="1423"/>
      <c r="AA393" s="1423"/>
      <c r="AB393" s="1423"/>
      <c r="AC393" s="1423"/>
      <c r="AD393" s="1423"/>
      <c r="AE393" s="203"/>
      <c r="AF393" s="2442"/>
      <c r="AG393" s="2442"/>
      <c r="AH393" s="2442"/>
      <c r="AI393" s="2442"/>
      <c r="AJ393" s="2442"/>
      <c r="AK393" s="2442"/>
      <c r="AL393" s="244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208</v>
      </c>
      <c r="F396" s="2606" t="s">
        <v>2230</v>
      </c>
      <c r="G396" s="2606"/>
      <c r="H396" s="2606"/>
      <c r="I396" s="2606"/>
      <c r="J396" s="2606"/>
      <c r="K396" s="2606"/>
      <c r="L396" s="2606"/>
      <c r="M396" s="2606"/>
      <c r="N396" s="2606"/>
      <c r="O396" s="2606"/>
      <c r="P396" s="2606"/>
      <c r="Q396" s="2606"/>
      <c r="R396" s="2606"/>
      <c r="S396" s="2606"/>
      <c r="T396" s="2606"/>
      <c r="U396" s="2606"/>
      <c r="V396" s="2606"/>
      <c r="W396" s="2606"/>
      <c r="X396" s="2606"/>
      <c r="Y396" s="2606"/>
      <c r="Z396" s="2606"/>
      <c r="AA396" s="2606"/>
      <c r="AB396" s="2606"/>
      <c r="AC396" s="2606"/>
      <c r="AD396" s="2606"/>
      <c r="AE396" s="2606"/>
      <c r="AF396" s="2606"/>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607"/>
      <c r="G397" s="2607"/>
      <c r="H397" s="2607"/>
      <c r="I397" s="2607"/>
      <c r="J397" s="2607"/>
      <c r="K397" s="2607"/>
      <c r="L397" s="2607"/>
      <c r="M397" s="2607"/>
      <c r="N397" s="2607"/>
      <c r="O397" s="2607"/>
      <c r="P397" s="2607"/>
      <c r="Q397" s="2607"/>
      <c r="R397" s="2607"/>
      <c r="S397" s="2607"/>
      <c r="T397" s="2607"/>
      <c r="U397" s="2607"/>
      <c r="V397" s="2607"/>
      <c r="W397" s="2607"/>
      <c r="X397" s="2607"/>
      <c r="Y397" s="2607"/>
      <c r="Z397" s="2607"/>
      <c r="AA397" s="2607"/>
      <c r="AB397" s="2607"/>
      <c r="AC397" s="2607"/>
      <c r="AD397" s="2607"/>
      <c r="AE397" s="2607"/>
      <c r="AF397" s="2607"/>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607"/>
      <c r="G398" s="2607"/>
      <c r="H398" s="2607"/>
      <c r="I398" s="2607"/>
      <c r="J398" s="2607"/>
      <c r="K398" s="2607"/>
      <c r="L398" s="2607"/>
      <c r="M398" s="2607"/>
      <c r="N398" s="2607"/>
      <c r="O398" s="2607"/>
      <c r="P398" s="2607"/>
      <c r="Q398" s="2607"/>
      <c r="R398" s="2607"/>
      <c r="S398" s="2607"/>
      <c r="T398" s="2607"/>
      <c r="U398" s="2607"/>
      <c r="V398" s="2607"/>
      <c r="W398" s="2607"/>
      <c r="X398" s="2607"/>
      <c r="Y398" s="2607"/>
      <c r="Z398" s="2607"/>
      <c r="AA398" s="2607"/>
      <c r="AB398" s="2607"/>
      <c r="AC398" s="2607"/>
      <c r="AD398" s="2607"/>
      <c r="AE398" s="2607"/>
      <c r="AF398" s="2607"/>
      <c r="AG398" s="681"/>
      <c r="AH398" s="681"/>
      <c r="AI398" s="681"/>
      <c r="AJ398" s="681"/>
      <c r="AK398" s="681"/>
      <c r="AL398" s="138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607"/>
      <c r="G399" s="2607"/>
      <c r="H399" s="2607"/>
      <c r="I399" s="2607"/>
      <c r="J399" s="2607"/>
      <c r="K399" s="2607"/>
      <c r="L399" s="2607"/>
      <c r="M399" s="2607"/>
      <c r="N399" s="2607"/>
      <c r="O399" s="2607"/>
      <c r="P399" s="2607"/>
      <c r="Q399" s="2607"/>
      <c r="R399" s="2607"/>
      <c r="S399" s="2607"/>
      <c r="T399" s="2607"/>
      <c r="U399" s="2607"/>
      <c r="V399" s="2607"/>
      <c r="W399" s="2607"/>
      <c r="X399" s="2607"/>
      <c r="Y399" s="2607"/>
      <c r="Z399" s="2607"/>
      <c r="AA399" s="2607"/>
      <c r="AB399" s="2607"/>
      <c r="AC399" s="2607"/>
      <c r="AD399" s="2607"/>
      <c r="AE399" s="2607"/>
      <c r="AF399" s="2607"/>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607"/>
      <c r="G400" s="2607"/>
      <c r="H400" s="2607"/>
      <c r="I400" s="2607"/>
      <c r="J400" s="2607"/>
      <c r="K400" s="2607"/>
      <c r="L400" s="2607"/>
      <c r="M400" s="2607"/>
      <c r="N400" s="2607"/>
      <c r="O400" s="2607"/>
      <c r="P400" s="2607"/>
      <c r="Q400" s="2607"/>
      <c r="R400" s="2607"/>
      <c r="S400" s="2607"/>
      <c r="T400" s="2607"/>
      <c r="U400" s="2607"/>
      <c r="V400" s="2607"/>
      <c r="W400" s="2607"/>
      <c r="X400" s="2607"/>
      <c r="Y400" s="2607"/>
      <c r="Z400" s="2607"/>
      <c r="AA400" s="2607"/>
      <c r="AB400" s="2607"/>
      <c r="AC400" s="2607"/>
      <c r="AD400" s="2607"/>
      <c r="AE400" s="2607"/>
      <c r="AF400" s="2607"/>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5" t="s">
        <v>136</v>
      </c>
      <c r="D401" s="1699"/>
      <c r="E401" s="306"/>
      <c r="F401" s="1183" t="s">
        <v>2010</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2408" t="s">
        <v>1066</v>
      </c>
      <c r="AG401" s="2408"/>
      <c r="AH401" s="2408"/>
      <c r="AI401" s="2408"/>
      <c r="AJ401" s="2408"/>
      <c r="AK401" s="2408"/>
      <c r="AL401" s="2409"/>
      <c r="AM401" s="1419"/>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5" t="s">
        <v>119</v>
      </c>
      <c r="D403" s="1699"/>
      <c r="E403" s="306"/>
      <c r="F403" s="1196" t="s">
        <v>2011</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408" t="s">
        <v>355</v>
      </c>
      <c r="AG403" s="2408"/>
      <c r="AH403" s="2408"/>
      <c r="AI403" s="2408"/>
      <c r="AJ403" s="2408"/>
      <c r="AK403" s="2408"/>
      <c r="AL403" s="240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2009</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209</v>
      </c>
      <c r="F407" s="2392" t="s">
        <v>2013</v>
      </c>
      <c r="G407" s="2392"/>
      <c r="H407" s="2392"/>
      <c r="I407" s="2392"/>
      <c r="J407" s="2392"/>
      <c r="K407" s="2392"/>
      <c r="L407" s="2392"/>
      <c r="M407" s="2392"/>
      <c r="N407" s="2392"/>
      <c r="O407" s="2392"/>
      <c r="P407" s="2392"/>
      <c r="Q407" s="2392"/>
      <c r="R407" s="2392"/>
      <c r="S407" s="2392"/>
      <c r="T407" s="2392"/>
      <c r="U407" s="2392"/>
      <c r="V407" s="2392"/>
      <c r="W407" s="2392"/>
      <c r="X407" s="2392"/>
      <c r="Y407" s="2392"/>
      <c r="Z407" s="2392"/>
      <c r="AA407" s="2392"/>
      <c r="AB407" s="2392"/>
      <c r="AC407" s="2392"/>
      <c r="AD407" s="2392"/>
      <c r="AE407" s="2392"/>
      <c r="AF407" s="2392"/>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93"/>
      <c r="D409" s="125"/>
      <c r="E409" s="306"/>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93"/>
      <c r="G410" s="2393"/>
      <c r="H410" s="2393"/>
      <c r="I410" s="2393"/>
      <c r="J410" s="2393"/>
      <c r="K410" s="2393"/>
      <c r="L410" s="2393"/>
      <c r="M410" s="2393"/>
      <c r="N410" s="2393"/>
      <c r="O410" s="2393"/>
      <c r="P410" s="2393"/>
      <c r="Q410" s="2393"/>
      <c r="R410" s="2393"/>
      <c r="S410" s="2393"/>
      <c r="T410" s="2393"/>
      <c r="U410" s="2393"/>
      <c r="V410" s="2393"/>
      <c r="W410" s="2393"/>
      <c r="X410" s="2393"/>
      <c r="Y410" s="2393"/>
      <c r="Z410" s="2393"/>
      <c r="AA410" s="2393"/>
      <c r="AB410" s="2393"/>
      <c r="AC410" s="2393"/>
      <c r="AD410" s="2393"/>
      <c r="AE410" s="2393"/>
      <c r="AF410" s="2393"/>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5" t="s">
        <v>136</v>
      </c>
      <c r="D411" s="1699"/>
      <c r="E411" s="306"/>
      <c r="F411" s="1183" t="s">
        <v>2012</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2408" t="s">
        <v>355</v>
      </c>
      <c r="AG411" s="2408"/>
      <c r="AH411" s="2408"/>
      <c r="AI411" s="2408"/>
      <c r="AJ411" s="2408"/>
      <c r="AK411" s="2408"/>
      <c r="AL411" s="240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5" t="s">
        <v>136</v>
      </c>
      <c r="D413" s="1699"/>
      <c r="E413" s="350"/>
      <c r="F413" s="1183" t="s">
        <v>1067</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2408" t="s">
        <v>1065</v>
      </c>
      <c r="AG413" s="2408"/>
      <c r="AH413" s="2408"/>
      <c r="AI413" s="2408"/>
      <c r="AJ413" s="2408"/>
      <c r="AK413" s="2408"/>
      <c r="AL413" s="240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5" t="s">
        <v>136</v>
      </c>
      <c r="D416" s="1699"/>
      <c r="E416" s="1187" t="s">
        <v>210</v>
      </c>
      <c r="F416" s="2392" t="s">
        <v>2017</v>
      </c>
      <c r="G416" s="2392"/>
      <c r="H416" s="2392"/>
      <c r="I416" s="2392"/>
      <c r="J416" s="2392"/>
      <c r="K416" s="2392"/>
      <c r="L416" s="2392"/>
      <c r="M416" s="2392"/>
      <c r="N416" s="2392"/>
      <c r="O416" s="2392"/>
      <c r="P416" s="2392"/>
      <c r="Q416" s="2392"/>
      <c r="R416" s="2392"/>
      <c r="S416" s="2392"/>
      <c r="T416" s="2392"/>
      <c r="U416" s="2392"/>
      <c r="V416" s="2392"/>
      <c r="W416" s="2392"/>
      <c r="X416" s="2392"/>
      <c r="Y416" s="2392"/>
      <c r="Z416" s="2392"/>
      <c r="AA416" s="2392"/>
      <c r="AB416" s="2392"/>
      <c r="AC416" s="2392"/>
      <c r="AD416" s="2392"/>
      <c r="AE416" s="2392"/>
      <c r="AF416" s="1241"/>
      <c r="AG416" s="1329"/>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410" t="s">
        <v>355</v>
      </c>
      <c r="AG417" s="2410"/>
      <c r="AH417" s="2410"/>
      <c r="AI417" s="2410"/>
      <c r="AJ417" s="2410"/>
      <c r="AK417" s="2410"/>
      <c r="AL417" s="241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94"/>
      <c r="G419" s="2394"/>
      <c r="H419" s="2394"/>
      <c r="I419" s="2394"/>
      <c r="J419" s="2394"/>
      <c r="K419" s="2394"/>
      <c r="L419" s="2394"/>
      <c r="M419" s="2394"/>
      <c r="N419" s="2394"/>
      <c r="O419" s="2394"/>
      <c r="P419" s="2394"/>
      <c r="Q419" s="2394"/>
      <c r="R419" s="2394"/>
      <c r="S419" s="2394"/>
      <c r="T419" s="2394"/>
      <c r="U419" s="2394"/>
      <c r="V419" s="2394"/>
      <c r="W419" s="2394"/>
      <c r="X419" s="2394"/>
      <c r="Y419" s="2394"/>
      <c r="Z419" s="2394"/>
      <c r="AA419" s="2394"/>
      <c r="AB419" s="2394"/>
      <c r="AC419" s="2394"/>
      <c r="AD419" s="2394"/>
      <c r="AE419" s="2394"/>
      <c r="AF419" s="1203"/>
      <c r="AG419" s="1202"/>
      <c r="AH419" s="1204"/>
      <c r="AI419" s="1204"/>
      <c r="AJ419" s="1204"/>
      <c r="AK419" s="1204"/>
      <c r="AL419" s="1205"/>
      <c r="AM419" s="16"/>
      <c r="AN419" s="439"/>
    </row>
    <row r="420" spans="1:153" ht="1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7"/>
      <c r="D421" s="1208"/>
      <c r="E421" s="1187" t="s">
        <v>211</v>
      </c>
      <c r="F421" s="2412" t="s">
        <v>2019</v>
      </c>
      <c r="G421" s="2412"/>
      <c r="H421" s="2412"/>
      <c r="I421" s="2412"/>
      <c r="J421" s="2412"/>
      <c r="K421" s="2412"/>
      <c r="L421" s="2412"/>
      <c r="M421" s="2412"/>
      <c r="N421" s="2412"/>
      <c r="O421" s="2412"/>
      <c r="P421" s="2412"/>
      <c r="Q421" s="2412"/>
      <c r="R421" s="2412"/>
      <c r="S421" s="2412"/>
      <c r="T421" s="2412"/>
      <c r="U421" s="2412"/>
      <c r="V421" s="2412"/>
      <c r="W421" s="2412"/>
      <c r="X421" s="2412"/>
      <c r="Y421" s="2412"/>
      <c r="Z421" s="2412"/>
      <c r="AA421" s="2412"/>
      <c r="AB421" s="2412"/>
      <c r="AC421" s="2412"/>
      <c r="AD421" s="2412"/>
      <c r="AE421" s="2412"/>
      <c r="AF421" s="1208"/>
      <c r="AG421" s="1208"/>
      <c r="AH421" s="1208"/>
      <c r="AI421" s="1208"/>
      <c r="AJ421" s="1208"/>
      <c r="AK421" s="1208"/>
      <c r="AL421" s="1209"/>
      <c r="AM421" s="16"/>
    </row>
    <row r="422" spans="1:153" ht="13">
      <c r="A422" s="8"/>
      <c r="C422" s="1193"/>
      <c r="D422" s="125"/>
      <c r="E422" s="306"/>
      <c r="F422" s="2413"/>
      <c r="G422" s="2413"/>
      <c r="H422" s="2413"/>
      <c r="I422" s="2413"/>
      <c r="J422" s="2413"/>
      <c r="K422" s="2413"/>
      <c r="L422" s="2413"/>
      <c r="M422" s="2413"/>
      <c r="N422" s="2413"/>
      <c r="O422" s="2413"/>
      <c r="P422" s="2413"/>
      <c r="Q422" s="2413"/>
      <c r="R422" s="2413"/>
      <c r="S422" s="2413"/>
      <c r="T422" s="2413"/>
      <c r="U422" s="2413"/>
      <c r="V422" s="2413"/>
      <c r="W422" s="2413"/>
      <c r="X422" s="2413"/>
      <c r="Y422" s="2413"/>
      <c r="Z422" s="2413"/>
      <c r="AA422" s="2413"/>
      <c r="AB422" s="2413"/>
      <c r="AC422" s="2413"/>
      <c r="AD422" s="2413"/>
      <c r="AE422" s="2413"/>
      <c r="AF422" s="62"/>
      <c r="AG422" s="71"/>
      <c r="AH422" s="162"/>
      <c r="AI422" s="162"/>
      <c r="AJ422" s="162"/>
      <c r="AK422" s="162"/>
      <c r="AL422" s="1194"/>
      <c r="AM422" s="16"/>
    </row>
    <row r="423" spans="1:153" s="46" customFormat="1" ht="12.75" customHeight="1">
      <c r="A423" s="8"/>
      <c r="B423" s="65"/>
      <c r="C423" s="1193"/>
      <c r="D423" s="125"/>
      <c r="E423" s="306"/>
      <c r="F423" s="2413"/>
      <c r="G423" s="2413"/>
      <c r="H423" s="2413"/>
      <c r="I423" s="2413"/>
      <c r="J423" s="2413"/>
      <c r="K423" s="2413"/>
      <c r="L423" s="2413"/>
      <c r="M423" s="2413"/>
      <c r="N423" s="2413"/>
      <c r="O423" s="2413"/>
      <c r="P423" s="2413"/>
      <c r="Q423" s="2413"/>
      <c r="R423" s="2413"/>
      <c r="S423" s="2413"/>
      <c r="T423" s="2413"/>
      <c r="U423" s="2413"/>
      <c r="V423" s="2413"/>
      <c r="W423" s="2413"/>
      <c r="X423" s="2413"/>
      <c r="Y423" s="2413"/>
      <c r="Z423" s="2413"/>
      <c r="AA423" s="2413"/>
      <c r="AB423" s="2413"/>
      <c r="AC423" s="2413"/>
      <c r="AD423" s="2413"/>
      <c r="AE423" s="2413"/>
      <c r="AF423" s="162"/>
      <c r="AG423" s="162"/>
      <c r="AH423" s="162"/>
      <c r="AI423" s="162"/>
      <c r="AJ423" s="162"/>
      <c r="AK423" s="162"/>
      <c r="AL423" s="1194"/>
      <c r="AM423" s="16"/>
      <c r="AN423" s="439"/>
    </row>
    <row r="424" spans="1:153" s="46" customFormat="1" ht="12.75" customHeight="1">
      <c r="A424" s="8"/>
      <c r="B424" s="65"/>
      <c r="C424" s="1197"/>
      <c r="D424" s="162"/>
      <c r="E424" s="162"/>
      <c r="F424" s="2413"/>
      <c r="G424" s="2413"/>
      <c r="H424" s="2413"/>
      <c r="I424" s="2413"/>
      <c r="J424" s="2413"/>
      <c r="K424" s="2413"/>
      <c r="L424" s="2413"/>
      <c r="M424" s="2413"/>
      <c r="N424" s="2413"/>
      <c r="O424" s="2413"/>
      <c r="P424" s="2413"/>
      <c r="Q424" s="2413"/>
      <c r="R424" s="2413"/>
      <c r="S424" s="2413"/>
      <c r="T424" s="2413"/>
      <c r="U424" s="2413"/>
      <c r="V424" s="2413"/>
      <c r="W424" s="2413"/>
      <c r="X424" s="2413"/>
      <c r="Y424" s="2413"/>
      <c r="Z424" s="2413"/>
      <c r="AA424" s="2413"/>
      <c r="AB424" s="2413"/>
      <c r="AC424" s="2413"/>
      <c r="AD424" s="2413"/>
      <c r="AE424" s="2413"/>
      <c r="AF424" s="162"/>
      <c r="AG424" s="162"/>
      <c r="AH424" s="162"/>
      <c r="AI424" s="162"/>
      <c r="AJ424" s="162"/>
      <c r="AK424" s="162"/>
      <c r="AL424" s="1194"/>
      <c r="AM424" s="16"/>
      <c r="AN424" s="439"/>
    </row>
    <row r="425" spans="1:153" s="46" customFormat="1" ht="12.75" customHeight="1">
      <c r="A425" s="8"/>
      <c r="B425" s="65"/>
      <c r="C425" s="2395" t="s">
        <v>136</v>
      </c>
      <c r="D425" s="1699"/>
      <c r="E425" s="306"/>
      <c r="F425" s="1210" t="s">
        <v>2016</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410" t="s">
        <v>355</v>
      </c>
      <c r="AG425" s="2410"/>
      <c r="AH425" s="2410"/>
      <c r="AI425" s="2410"/>
      <c r="AJ425" s="2410"/>
      <c r="AK425" s="2410"/>
      <c r="AL425" s="2411"/>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95" t="s">
        <v>136</v>
      </c>
      <c r="D427" s="1699"/>
      <c r="E427" s="350"/>
      <c r="F427" s="1210" t="s">
        <v>1068</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410" t="s">
        <v>1065</v>
      </c>
      <c r="AG427" s="2410"/>
      <c r="AH427" s="2410"/>
      <c r="AI427" s="2410"/>
      <c r="AJ427" s="2410"/>
      <c r="AK427" s="2410"/>
      <c r="AL427" s="2411"/>
      <c r="AM427" s="16"/>
      <c r="AN427" s="439"/>
      <c r="AO427" s="474"/>
      <c r="AP427" s="474"/>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5"/>
      <c r="D431" s="1186"/>
      <c r="E431" s="1187" t="s">
        <v>735</v>
      </c>
      <c r="F431" s="2392" t="s">
        <v>2020</v>
      </c>
      <c r="G431" s="2392"/>
      <c r="H431" s="2392"/>
      <c r="I431" s="2392"/>
      <c r="J431" s="2392"/>
      <c r="K431" s="2392"/>
      <c r="L431" s="2392"/>
      <c r="M431" s="2392"/>
      <c r="N431" s="2392"/>
      <c r="O431" s="2392"/>
      <c r="P431" s="2392"/>
      <c r="Q431" s="2392"/>
      <c r="R431" s="2392"/>
      <c r="S431" s="2392"/>
      <c r="T431" s="2392"/>
      <c r="U431" s="2392"/>
      <c r="V431" s="2392"/>
      <c r="W431" s="2392"/>
      <c r="X431" s="2392"/>
      <c r="Y431" s="2392"/>
      <c r="Z431" s="2392"/>
      <c r="AA431" s="2392"/>
      <c r="AB431" s="2392"/>
      <c r="AC431" s="2392"/>
      <c r="AD431" s="2392"/>
      <c r="AE431" s="2392"/>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F432" s="62"/>
      <c r="AG432" s="71"/>
      <c r="AH432" s="162"/>
      <c r="AI432" s="162"/>
      <c r="AJ432" s="162"/>
      <c r="AK432" s="162"/>
      <c r="AL432" s="1194"/>
      <c r="AM432" s="16"/>
      <c r="AN432" s="1139"/>
      <c r="AO432" s="162"/>
      <c r="AP432" s="162"/>
    </row>
    <row r="433" spans="1:60" s="46" customFormat="1" ht="12.5" customHeight="1">
      <c r="A433" s="8"/>
      <c r="B433" s="118"/>
      <c r="C433" s="1215"/>
      <c r="D433" s="1216"/>
      <c r="E433" s="306"/>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F433" s="162"/>
      <c r="AG433" s="162"/>
      <c r="AH433" s="162"/>
      <c r="AI433" s="162"/>
      <c r="AJ433" s="162"/>
      <c r="AK433" s="162"/>
      <c r="AL433" s="1194"/>
      <c r="AM433" s="16"/>
      <c r="AN433" s="439"/>
      <c r="AO433" s="162"/>
      <c r="AP433" s="162"/>
    </row>
    <row r="434" spans="1:60" s="46" customFormat="1" ht="12.75" customHeight="1">
      <c r="A434" s="8"/>
      <c r="B434" s="118"/>
      <c r="C434" s="2395" t="s">
        <v>136</v>
      </c>
      <c r="D434" s="1699"/>
      <c r="E434" s="306"/>
      <c r="F434" s="1183" t="s">
        <v>2018</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410" t="s">
        <v>355</v>
      </c>
      <c r="AG434" s="2410"/>
      <c r="AH434" s="2410"/>
      <c r="AI434" s="2410"/>
      <c r="AJ434" s="2410"/>
      <c r="AK434" s="2410"/>
      <c r="AL434" s="2411"/>
      <c r="AM434" s="16"/>
      <c r="AN434" s="439"/>
      <c r="AO434" s="162"/>
      <c r="AP434" s="162"/>
    </row>
    <row r="435" spans="1:60" s="46" customFormat="1" ht="12.75" customHeight="1">
      <c r="A435" s="8"/>
      <c r="B435" s="118"/>
      <c r="C435" s="1425"/>
      <c r="D435" s="1225"/>
      <c r="E435" s="1191"/>
      <c r="F435" s="1426"/>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24"/>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5" customHeight="1">
      <c r="A437" s="8"/>
      <c r="B437" s="118"/>
      <c r="C437" s="1207"/>
      <c r="D437" s="1208"/>
      <c r="E437" s="1187" t="s">
        <v>732</v>
      </c>
      <c r="F437" s="2392" t="s">
        <v>2021</v>
      </c>
      <c r="G437" s="2392"/>
      <c r="H437" s="2392"/>
      <c r="I437" s="2392"/>
      <c r="J437" s="2392"/>
      <c r="K437" s="2392"/>
      <c r="L437" s="2392"/>
      <c r="M437" s="2392"/>
      <c r="N437" s="2392"/>
      <c r="O437" s="2392"/>
      <c r="P437" s="2392"/>
      <c r="Q437" s="2392"/>
      <c r="R437" s="2392"/>
      <c r="S437" s="2392"/>
      <c r="T437" s="2392"/>
      <c r="U437" s="2392"/>
      <c r="V437" s="2392"/>
      <c r="W437" s="2392"/>
      <c r="X437" s="2392"/>
      <c r="Y437" s="2392"/>
      <c r="Z437" s="2392"/>
      <c r="AA437" s="2392"/>
      <c r="AB437" s="2392"/>
      <c r="AC437" s="2392"/>
      <c r="AD437" s="2392"/>
      <c r="AE437" s="2392"/>
      <c r="AF437" s="1208"/>
      <c r="AG437" s="1208"/>
      <c r="AH437" s="1208"/>
      <c r="AI437" s="1208"/>
      <c r="AJ437" s="1208"/>
      <c r="AK437" s="1208"/>
      <c r="AL437" s="1209"/>
      <c r="AM437" s="16"/>
      <c r="AO437" s="162"/>
      <c r="AP437" s="162"/>
      <c r="BD437" s="65"/>
      <c r="BE437" s="65"/>
      <c r="BF437" s="65"/>
      <c r="BG437" s="65"/>
      <c r="BH437" s="65"/>
    </row>
    <row r="438" spans="1:60" ht="13">
      <c r="A438" s="8"/>
      <c r="B438" s="118"/>
      <c r="C438" s="1215"/>
      <c r="D438" s="1216"/>
      <c r="E438" s="306"/>
      <c r="F438" s="2393"/>
      <c r="G438" s="2393"/>
      <c r="H438" s="2393"/>
      <c r="I438" s="2393"/>
      <c r="J438" s="2393"/>
      <c r="K438" s="2393"/>
      <c r="L438" s="2393"/>
      <c r="M438" s="2393"/>
      <c r="N438" s="2393"/>
      <c r="O438" s="2393"/>
      <c r="P438" s="2393"/>
      <c r="Q438" s="2393"/>
      <c r="R438" s="2393"/>
      <c r="S438" s="2393"/>
      <c r="T438" s="2393"/>
      <c r="U438" s="2393"/>
      <c r="V438" s="2393"/>
      <c r="W438" s="2393"/>
      <c r="X438" s="2393"/>
      <c r="Y438" s="2393"/>
      <c r="Z438" s="2393"/>
      <c r="AA438" s="2393"/>
      <c r="AB438" s="2393"/>
      <c r="AC438" s="2393"/>
      <c r="AD438" s="2393"/>
      <c r="AE438" s="2393"/>
      <c r="AF438" s="1315"/>
      <c r="AG438" s="1315"/>
      <c r="AH438" s="1315"/>
      <c r="AI438" s="1315"/>
      <c r="AJ438" s="1315"/>
      <c r="AK438" s="1315"/>
      <c r="AL438" s="1322"/>
      <c r="AM438" s="16"/>
      <c r="AO438" s="162"/>
      <c r="AP438" s="162"/>
    </row>
    <row r="439" spans="1:60" s="46" customFormat="1" ht="12.75" customHeight="1">
      <c r="A439" s="8"/>
      <c r="B439" s="118"/>
      <c r="C439" s="1215"/>
      <c r="D439" s="1216"/>
      <c r="E439" s="306"/>
      <c r="F439" s="2393"/>
      <c r="G439" s="2393"/>
      <c r="H439" s="2393"/>
      <c r="I439" s="2393"/>
      <c r="J439" s="2393"/>
      <c r="K439" s="2393"/>
      <c r="L439" s="2393"/>
      <c r="M439" s="2393"/>
      <c r="N439" s="2393"/>
      <c r="O439" s="2393"/>
      <c r="P439" s="2393"/>
      <c r="Q439" s="2393"/>
      <c r="R439" s="2393"/>
      <c r="S439" s="2393"/>
      <c r="T439" s="2393"/>
      <c r="U439" s="2393"/>
      <c r="V439" s="2393"/>
      <c r="W439" s="2393"/>
      <c r="X439" s="2393"/>
      <c r="Y439" s="2393"/>
      <c r="Z439" s="2393"/>
      <c r="AA439" s="2393"/>
      <c r="AB439" s="2393"/>
      <c r="AC439" s="2393"/>
      <c r="AD439" s="2393"/>
      <c r="AE439" s="2393"/>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93"/>
      <c r="G440" s="2393"/>
      <c r="H440" s="2393"/>
      <c r="I440" s="2393"/>
      <c r="J440" s="2393"/>
      <c r="K440" s="2393"/>
      <c r="L440" s="2393"/>
      <c r="M440" s="2393"/>
      <c r="N440" s="2393"/>
      <c r="O440" s="2393"/>
      <c r="P440" s="2393"/>
      <c r="Q440" s="2393"/>
      <c r="R440" s="2393"/>
      <c r="S440" s="2393"/>
      <c r="T440" s="2393"/>
      <c r="U440" s="2393"/>
      <c r="V440" s="2393"/>
      <c r="W440" s="2393"/>
      <c r="X440" s="2393"/>
      <c r="Y440" s="2393"/>
      <c r="Z440" s="2393"/>
      <c r="AA440" s="2393"/>
      <c r="AB440" s="2393"/>
      <c r="AC440" s="2393"/>
      <c r="AD440" s="2393"/>
      <c r="AE440" s="2393"/>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F442" s="1315"/>
      <c r="AG442" s="1315"/>
      <c r="AH442" s="1315"/>
      <c r="AI442" s="1315"/>
      <c r="AJ442" s="1315"/>
      <c r="AK442" s="1315"/>
      <c r="AL442" s="1322"/>
      <c r="AM442" s="16"/>
      <c r="AN442" s="439"/>
    </row>
    <row r="443" spans="1:60" s="46" customFormat="1" ht="12.75" customHeight="1">
      <c r="A443" s="8"/>
      <c r="B443" s="118"/>
      <c r="C443" s="1323"/>
      <c r="D443" s="1316"/>
      <c r="E443" s="350"/>
      <c r="F443" s="2393"/>
      <c r="G443" s="2393"/>
      <c r="H443" s="2393"/>
      <c r="I443" s="2393"/>
      <c r="J443" s="2393"/>
      <c r="K443" s="2393"/>
      <c r="L443" s="2393"/>
      <c r="M443" s="2393"/>
      <c r="N443" s="2393"/>
      <c r="O443" s="2393"/>
      <c r="P443" s="2393"/>
      <c r="Q443" s="2393"/>
      <c r="R443" s="2393"/>
      <c r="S443" s="2393"/>
      <c r="T443" s="2393"/>
      <c r="U443" s="2393"/>
      <c r="V443" s="2393"/>
      <c r="W443" s="2393"/>
      <c r="X443" s="2393"/>
      <c r="Y443" s="2393"/>
      <c r="Z443" s="2393"/>
      <c r="AA443" s="2393"/>
      <c r="AB443" s="2393"/>
      <c r="AC443" s="2393"/>
      <c r="AD443" s="2393"/>
      <c r="AE443" s="2393"/>
      <c r="AF443" s="1315"/>
      <c r="AG443" s="1315"/>
      <c r="AH443" s="1315"/>
      <c r="AI443" s="1315"/>
      <c r="AJ443" s="1315"/>
      <c r="AK443" s="1315"/>
      <c r="AL443" s="1322"/>
      <c r="AM443" s="16"/>
      <c r="AN443" s="439"/>
    </row>
    <row r="444" spans="1:60" s="46" customFormat="1" ht="12.75" customHeight="1">
      <c r="A444" s="8"/>
      <c r="B444" s="118"/>
      <c r="C444" s="1323"/>
      <c r="D444" s="1316"/>
      <c r="E444" s="350"/>
      <c r="F444" s="2393"/>
      <c r="G444" s="2393"/>
      <c r="H444" s="2393"/>
      <c r="I444" s="2393"/>
      <c r="J444" s="2393"/>
      <c r="K444" s="2393"/>
      <c r="L444" s="2393"/>
      <c r="M444" s="2393"/>
      <c r="N444" s="2393"/>
      <c r="O444" s="2393"/>
      <c r="P444" s="2393"/>
      <c r="Q444" s="2393"/>
      <c r="R444" s="2393"/>
      <c r="S444" s="2393"/>
      <c r="T444" s="2393"/>
      <c r="U444" s="2393"/>
      <c r="V444" s="2393"/>
      <c r="W444" s="2393"/>
      <c r="X444" s="2393"/>
      <c r="Y444" s="2393"/>
      <c r="Z444" s="2393"/>
      <c r="AA444" s="2393"/>
      <c r="AB444" s="2393"/>
      <c r="AC444" s="2393"/>
      <c r="AD444" s="2393"/>
      <c r="AE444" s="2393"/>
      <c r="AF444" s="1315"/>
      <c r="AG444" s="1315"/>
      <c r="AH444" s="1315"/>
      <c r="AI444" s="1315"/>
      <c r="AJ444" s="1315"/>
      <c r="AK444" s="1315"/>
      <c r="AL444" s="1322"/>
      <c r="AM444" s="16"/>
      <c r="AN444" s="439"/>
    </row>
    <row r="445" spans="1:60" s="46" customFormat="1" ht="17.25" customHeight="1">
      <c r="A445" s="8"/>
      <c r="B445" s="118"/>
      <c r="C445" s="1323"/>
      <c r="D445" s="1316"/>
      <c r="E445" s="350"/>
      <c r="F445" s="2393"/>
      <c r="G445" s="2393"/>
      <c r="H445" s="2393"/>
      <c r="I445" s="2393"/>
      <c r="J445" s="2393"/>
      <c r="K445" s="2393"/>
      <c r="L445" s="2393"/>
      <c r="M445" s="2393"/>
      <c r="N445" s="2393"/>
      <c r="O445" s="2393"/>
      <c r="P445" s="2393"/>
      <c r="Q445" s="2393"/>
      <c r="R445" s="2393"/>
      <c r="S445" s="2393"/>
      <c r="T445" s="2393"/>
      <c r="U445" s="2393"/>
      <c r="V445" s="2393"/>
      <c r="W445" s="2393"/>
      <c r="X445" s="2393"/>
      <c r="Y445" s="2393"/>
      <c r="Z445" s="2393"/>
      <c r="AA445" s="2393"/>
      <c r="AB445" s="2393"/>
      <c r="AC445" s="2393"/>
      <c r="AD445" s="2393"/>
      <c r="AE445" s="2393"/>
      <c r="AF445" s="162"/>
      <c r="AG445" s="162"/>
      <c r="AH445" s="162"/>
      <c r="AI445" s="162"/>
      <c r="AJ445" s="162"/>
      <c r="AK445" s="162"/>
      <c r="AL445" s="1194"/>
      <c r="AM445" s="16"/>
      <c r="AN445" s="439"/>
    </row>
    <row r="446" spans="1:60" s="46" customFormat="1" ht="12.75" customHeight="1">
      <c r="A446" s="8"/>
      <c r="B446" s="65"/>
      <c r="C446" s="2395" t="s">
        <v>136</v>
      </c>
      <c r="D446" s="1699"/>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10" t="s">
        <v>355</v>
      </c>
      <c r="AG446" s="2410"/>
      <c r="AH446" s="2410"/>
      <c r="AI446" s="2410"/>
      <c r="AJ446" s="2410"/>
      <c r="AK446" s="2410"/>
      <c r="AL446" s="2411"/>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4"/>
      <c r="AM448" s="16"/>
      <c r="AN448" s="439"/>
    </row>
    <row r="449" spans="1:49" s="46" customFormat="1" ht="12.75" customHeight="1">
      <c r="A449" s="8"/>
      <c r="B449" s="118"/>
      <c r="C449" s="1185"/>
      <c r="D449" s="1186"/>
      <c r="E449" s="1187" t="s">
        <v>733</v>
      </c>
      <c r="F449" s="2392" t="s">
        <v>2024</v>
      </c>
      <c r="G449" s="2392"/>
      <c r="H449" s="2392"/>
      <c r="I449" s="2392"/>
      <c r="J449" s="2392"/>
      <c r="K449" s="2392"/>
      <c r="L449" s="2392"/>
      <c r="M449" s="2392"/>
      <c r="N449" s="2392"/>
      <c r="O449" s="2392"/>
      <c r="P449" s="2392"/>
      <c r="Q449" s="2392"/>
      <c r="R449" s="2392"/>
      <c r="S449" s="2392"/>
      <c r="T449" s="2392"/>
      <c r="U449" s="2392"/>
      <c r="V449" s="2392"/>
      <c r="W449" s="2392"/>
      <c r="X449" s="2392"/>
      <c r="Y449" s="2392"/>
      <c r="Z449" s="2392"/>
      <c r="AA449" s="2392"/>
      <c r="AB449" s="2392"/>
      <c r="AC449" s="2392"/>
      <c r="AD449" s="2392"/>
      <c r="AE449" s="2392"/>
      <c r="AF449" s="1186"/>
      <c r="AG449" s="1186"/>
      <c r="AH449" s="1186"/>
      <c r="AI449" s="1186"/>
      <c r="AJ449" s="1186"/>
      <c r="AK449" s="1186"/>
      <c r="AL449" s="1214"/>
      <c r="AM449" s="16"/>
      <c r="AN449" s="439"/>
    </row>
    <row r="450" spans="1:49" s="46" customFormat="1" ht="12.75" customHeight="1">
      <c r="A450" s="8"/>
      <c r="B450" s="118"/>
      <c r="C450" s="1323"/>
      <c r="D450" s="1316"/>
      <c r="E450" s="350"/>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1387"/>
      <c r="AG450" s="1317"/>
      <c r="AH450" s="1317"/>
      <c r="AI450" s="1317"/>
      <c r="AJ450" s="1317"/>
      <c r="AK450" s="1317"/>
      <c r="AL450" s="1318"/>
      <c r="AM450" s="16"/>
      <c r="AN450" s="439"/>
    </row>
    <row r="451" spans="1:49" s="46" customFormat="1" ht="12.75" customHeight="1">
      <c r="A451" s="8"/>
      <c r="B451" s="118"/>
      <c r="C451" s="1323"/>
      <c r="D451" s="1316"/>
      <c r="E451" s="350"/>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1387"/>
      <c r="AG451" s="1317"/>
      <c r="AH451" s="1317"/>
      <c r="AI451" s="1317"/>
      <c r="AJ451" s="1317"/>
      <c r="AK451" s="1317"/>
      <c r="AL451" s="1318"/>
      <c r="AM451" s="16"/>
      <c r="AN451" s="439"/>
    </row>
    <row r="452" spans="1:49" s="46" customFormat="1" ht="12.75" customHeight="1">
      <c r="A452" s="8"/>
      <c r="B452" s="118"/>
      <c r="C452" s="1323"/>
      <c r="D452" s="1316"/>
      <c r="E452" s="350"/>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162"/>
      <c r="AG452" s="162"/>
      <c r="AH452" s="162"/>
      <c r="AI452" s="162"/>
      <c r="AJ452" s="162"/>
      <c r="AK452" s="162"/>
      <c r="AL452" s="1194"/>
      <c r="AM452" s="16"/>
      <c r="AN452" s="439"/>
    </row>
    <row r="453" spans="1:49" s="162" customFormat="1" ht="12.75" customHeight="1">
      <c r="A453" s="8"/>
      <c r="B453" s="118"/>
      <c r="C453" s="2395" t="s">
        <v>136</v>
      </c>
      <c r="D453" s="1699"/>
      <c r="E453" s="350"/>
      <c r="F453" s="1183" t="s">
        <v>2023</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410" t="s">
        <v>355</v>
      </c>
      <c r="AG453" s="2410"/>
      <c r="AH453" s="2410"/>
      <c r="AI453" s="2410"/>
      <c r="AJ453" s="2410"/>
      <c r="AK453" s="2410"/>
      <c r="AL453" s="2411"/>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2009</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4"/>
      <c r="AO456" s="162"/>
      <c r="AP456" s="162"/>
      <c r="AQ456" s="249"/>
      <c r="AR456" s="249"/>
      <c r="AS456" s="249"/>
      <c r="AT456" s="249"/>
      <c r="AU456" s="249"/>
      <c r="AV456" s="249"/>
      <c r="AW456" s="249"/>
    </row>
    <row r="457" spans="1:49" s="137" customFormat="1" ht="12.75" customHeight="1">
      <c r="A457" s="8"/>
      <c r="B457" s="118"/>
      <c r="C457" s="2403" t="s">
        <v>136</v>
      </c>
      <c r="D457" s="2404"/>
      <c r="E457" s="1187" t="s">
        <v>1070</v>
      </c>
      <c r="F457" s="2392" t="s">
        <v>1072</v>
      </c>
      <c r="G457" s="2392"/>
      <c r="H457" s="2392"/>
      <c r="I457" s="2392"/>
      <c r="J457" s="2392"/>
      <c r="K457" s="2392"/>
      <c r="L457" s="2392"/>
      <c r="M457" s="2392"/>
      <c r="N457" s="2392"/>
      <c r="O457" s="2392"/>
      <c r="P457" s="2392"/>
      <c r="Q457" s="2392"/>
      <c r="R457" s="2392"/>
      <c r="S457" s="2392"/>
      <c r="T457" s="2392"/>
      <c r="U457" s="2392"/>
      <c r="V457" s="2392"/>
      <c r="W457" s="2392"/>
      <c r="X457" s="2392"/>
      <c r="Y457" s="2392"/>
      <c r="Z457" s="2392"/>
      <c r="AA457" s="2392"/>
      <c r="AB457" s="2392"/>
      <c r="AC457" s="2392"/>
      <c r="AD457" s="2392"/>
      <c r="AE457" s="2392"/>
      <c r="AF457" s="2414" t="s">
        <v>355</v>
      </c>
      <c r="AG457" s="2414"/>
      <c r="AH457" s="2414"/>
      <c r="AI457" s="2414"/>
      <c r="AJ457" s="2414"/>
      <c r="AK457" s="2414"/>
      <c r="AL457" s="2415"/>
      <c r="AM457" s="16"/>
      <c r="AN457" s="1144"/>
      <c r="AO457" s="162"/>
      <c r="AP457" s="162"/>
      <c r="AQ457" s="249"/>
    </row>
    <row r="458" spans="1:49" s="137" customFormat="1" ht="12.75" customHeight="1">
      <c r="A458" s="8"/>
      <c r="B458" s="118"/>
      <c r="C458" s="1323"/>
      <c r="D458" s="1316"/>
      <c r="E458" s="350"/>
      <c r="F458" s="2393"/>
      <c r="G458" s="2393"/>
      <c r="H458" s="2393"/>
      <c r="I458" s="2393"/>
      <c r="J458" s="2393"/>
      <c r="K458" s="2393"/>
      <c r="L458" s="2393"/>
      <c r="M458" s="2393"/>
      <c r="N458" s="2393"/>
      <c r="O458" s="2393"/>
      <c r="P458" s="2393"/>
      <c r="Q458" s="2393"/>
      <c r="R458" s="2393"/>
      <c r="S458" s="2393"/>
      <c r="T458" s="2393"/>
      <c r="U458" s="2393"/>
      <c r="V458" s="2393"/>
      <c r="W458" s="2393"/>
      <c r="X458" s="2393"/>
      <c r="Y458" s="2393"/>
      <c r="Z458" s="2393"/>
      <c r="AA458" s="2393"/>
      <c r="AB458" s="2393"/>
      <c r="AC458" s="2393"/>
      <c r="AD458" s="2393"/>
      <c r="AE458" s="2393"/>
      <c r="AF458" s="1317"/>
      <c r="AG458" s="1317"/>
      <c r="AH458" s="1317"/>
      <c r="AI458" s="1317"/>
      <c r="AJ458" s="1317"/>
      <c r="AK458" s="1317"/>
      <c r="AL458" s="1318"/>
      <c r="AM458" s="16"/>
      <c r="AN458" s="1145"/>
      <c r="AO458" s="46" t="s">
        <v>136</v>
      </c>
      <c r="AP458" s="162">
        <v>0</v>
      </c>
      <c r="AQ458" s="249"/>
    </row>
    <row r="459" spans="1:49" s="46" customFormat="1" ht="17.75" customHeight="1">
      <c r="A459" s="8"/>
      <c r="B459" s="118"/>
      <c r="C459" s="1189"/>
      <c r="D459" s="1190"/>
      <c r="E459" s="1191"/>
      <c r="F459" s="2394"/>
      <c r="G459" s="2394"/>
      <c r="H459" s="2394"/>
      <c r="I459" s="2394"/>
      <c r="J459" s="2394"/>
      <c r="K459" s="2394"/>
      <c r="L459" s="2394"/>
      <c r="M459" s="2394"/>
      <c r="N459" s="2394"/>
      <c r="O459" s="2394"/>
      <c r="P459" s="2394"/>
      <c r="Q459" s="2394"/>
      <c r="R459" s="2394"/>
      <c r="S459" s="2394"/>
      <c r="T459" s="2394"/>
      <c r="U459" s="2394"/>
      <c r="V459" s="2394"/>
      <c r="W459" s="2394"/>
      <c r="X459" s="2394"/>
      <c r="Y459" s="2394"/>
      <c r="Z459" s="2394"/>
      <c r="AA459" s="2394"/>
      <c r="AB459" s="2394"/>
      <c r="AC459" s="2394"/>
      <c r="AD459" s="2394"/>
      <c r="AE459" s="2394"/>
      <c r="AF459" s="1320"/>
      <c r="AG459" s="1320"/>
      <c r="AH459" s="1320"/>
      <c r="AI459" s="1320"/>
      <c r="AJ459" s="1320"/>
      <c r="AK459" s="1320"/>
      <c r="AL459" s="1321"/>
      <c r="AM459" s="16"/>
      <c r="AN459" s="1146"/>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7"/>
      <c r="AO460" s="46" t="s">
        <v>1074</v>
      </c>
      <c r="AP460" s="46">
        <v>5</v>
      </c>
      <c r="AQ460" s="250"/>
    </row>
    <row r="461" spans="1:49" s="46" customFormat="1" ht="12.75" customHeight="1">
      <c r="A461" s="8"/>
      <c r="B461" s="65"/>
      <c r="C461" s="2403" t="s">
        <v>136</v>
      </c>
      <c r="D461" s="2404"/>
      <c r="E461" s="1187" t="s">
        <v>1071</v>
      </c>
      <c r="F461" s="2392" t="s">
        <v>2071</v>
      </c>
      <c r="G461" s="2392"/>
      <c r="H461" s="2392"/>
      <c r="I461" s="2392"/>
      <c r="J461" s="2392"/>
      <c r="K461" s="2392"/>
      <c r="L461" s="2392"/>
      <c r="M461" s="2392"/>
      <c r="N461" s="2392"/>
      <c r="O461" s="2392"/>
      <c r="P461" s="2392"/>
      <c r="Q461" s="2392"/>
      <c r="R461" s="2392"/>
      <c r="S461" s="2392"/>
      <c r="T461" s="2392"/>
      <c r="U461" s="2392"/>
      <c r="V461" s="2392"/>
      <c r="W461" s="2392"/>
      <c r="X461" s="2392"/>
      <c r="Y461" s="2392"/>
      <c r="Z461" s="2392"/>
      <c r="AA461" s="2392"/>
      <c r="AB461" s="2392"/>
      <c r="AC461" s="2392"/>
      <c r="AD461" s="2392"/>
      <c r="AE461" s="2392"/>
      <c r="AF461" s="2414" t="s">
        <v>355</v>
      </c>
      <c r="AG461" s="2414"/>
      <c r="AH461" s="2414"/>
      <c r="AI461" s="2414"/>
      <c r="AJ461" s="2414"/>
      <c r="AK461" s="2414"/>
      <c r="AL461" s="2415"/>
      <c r="AM461" s="16"/>
      <c r="AN461" s="1147"/>
      <c r="AO461" s="46" t="s">
        <v>1473</v>
      </c>
      <c r="AP461" s="46">
        <v>5</v>
      </c>
      <c r="AQ461" s="251"/>
    </row>
    <row r="462" spans="1:49" s="46" customFormat="1" ht="12.75" customHeight="1">
      <c r="A462" s="8"/>
      <c r="B462" s="65"/>
      <c r="C462" s="1193"/>
      <c r="D462" s="125"/>
      <c r="E462" s="306"/>
      <c r="F462" s="2393"/>
      <c r="G462" s="2393"/>
      <c r="H462" s="2393"/>
      <c r="I462" s="2393"/>
      <c r="J462" s="2393"/>
      <c r="K462" s="2393"/>
      <c r="L462" s="2393"/>
      <c r="M462" s="2393"/>
      <c r="N462" s="2393"/>
      <c r="O462" s="2393"/>
      <c r="P462" s="2393"/>
      <c r="Q462" s="2393"/>
      <c r="R462" s="2393"/>
      <c r="S462" s="2393"/>
      <c r="T462" s="2393"/>
      <c r="U462" s="2393"/>
      <c r="V462" s="2393"/>
      <c r="W462" s="2393"/>
      <c r="X462" s="2393"/>
      <c r="Y462" s="2393"/>
      <c r="Z462" s="2393"/>
      <c r="AA462" s="2393"/>
      <c r="AB462" s="2393"/>
      <c r="AC462" s="2393"/>
      <c r="AD462" s="2393"/>
      <c r="AE462" s="2393"/>
      <c r="AF462" s="62"/>
      <c r="AG462" s="71"/>
      <c r="AH462" s="162"/>
      <c r="AI462" s="162"/>
      <c r="AJ462" s="162"/>
      <c r="AK462" s="162"/>
      <c r="AL462" s="1194"/>
      <c r="AM462" s="16"/>
      <c r="AN462" s="1147"/>
      <c r="AO462" s="46" t="s">
        <v>1469</v>
      </c>
      <c r="AP462" s="46">
        <v>5</v>
      </c>
    </row>
    <row r="463" spans="1:49" s="46" customFormat="1" ht="12.75" customHeight="1">
      <c r="A463" s="8"/>
      <c r="B463" s="65"/>
      <c r="C463" s="1193"/>
      <c r="D463" s="125"/>
      <c r="E463" s="306"/>
      <c r="F463" s="2393"/>
      <c r="G463" s="2393"/>
      <c r="H463" s="2393"/>
      <c r="I463" s="2393"/>
      <c r="J463" s="2393"/>
      <c r="K463" s="2393"/>
      <c r="L463" s="2393"/>
      <c r="M463" s="2393"/>
      <c r="N463" s="2393"/>
      <c r="O463" s="2393"/>
      <c r="P463" s="2393"/>
      <c r="Q463" s="2393"/>
      <c r="R463" s="2393"/>
      <c r="S463" s="2393"/>
      <c r="T463" s="2393"/>
      <c r="U463" s="2393"/>
      <c r="V463" s="2393"/>
      <c r="W463" s="2393"/>
      <c r="X463" s="2393"/>
      <c r="Y463" s="2393"/>
      <c r="Z463" s="2393"/>
      <c r="AA463" s="2393"/>
      <c r="AB463" s="2393"/>
      <c r="AC463" s="2393"/>
      <c r="AD463" s="2393"/>
      <c r="AE463" s="2393"/>
      <c r="AF463" s="62"/>
      <c r="AG463" s="71"/>
      <c r="AH463" s="162"/>
      <c r="AI463" s="162"/>
      <c r="AJ463" s="162"/>
      <c r="AK463" s="162"/>
      <c r="AL463" s="1194"/>
      <c r="AM463" s="16"/>
      <c r="AN463" s="1147"/>
      <c r="AO463" s="46" t="s">
        <v>1470</v>
      </c>
      <c r="AP463" s="46">
        <v>5</v>
      </c>
    </row>
    <row r="464" spans="1:49" s="46" customFormat="1" ht="12.75" customHeight="1">
      <c r="A464" s="8"/>
      <c r="B464" s="118"/>
      <c r="C464" s="1189"/>
      <c r="D464" s="1190"/>
      <c r="E464" s="1191"/>
      <c r="F464" s="2394"/>
      <c r="G464" s="2394"/>
      <c r="H464" s="2394"/>
      <c r="I464" s="2394"/>
      <c r="J464" s="2394"/>
      <c r="K464" s="2394"/>
      <c r="L464" s="2394"/>
      <c r="M464" s="2394"/>
      <c r="N464" s="2394"/>
      <c r="O464" s="2394"/>
      <c r="P464" s="2394"/>
      <c r="Q464" s="2394"/>
      <c r="R464" s="2394"/>
      <c r="S464" s="2394"/>
      <c r="T464" s="2394"/>
      <c r="U464" s="2394"/>
      <c r="V464" s="2394"/>
      <c r="W464" s="2394"/>
      <c r="X464" s="2394"/>
      <c r="Y464" s="2394"/>
      <c r="Z464" s="2394"/>
      <c r="AA464" s="2394"/>
      <c r="AB464" s="2394"/>
      <c r="AC464" s="2394"/>
      <c r="AD464" s="2394"/>
      <c r="AE464" s="2394"/>
      <c r="AF464" s="1320"/>
      <c r="AG464" s="1320"/>
      <c r="AH464" s="1320"/>
      <c r="AI464" s="1320"/>
      <c r="AJ464" s="1320"/>
      <c r="AK464" s="1320"/>
      <c r="AL464" s="1321"/>
      <c r="AM464" s="16"/>
      <c r="AN464" s="439"/>
      <c r="AO464" s="46" t="s">
        <v>1471</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0"/>
      <c r="D466" s="1255"/>
      <c r="E466" s="1187" t="s">
        <v>1069</v>
      </c>
      <c r="F466" s="2412" t="s">
        <v>2072</v>
      </c>
      <c r="G466" s="2412"/>
      <c r="H466" s="2412"/>
      <c r="I466" s="2412"/>
      <c r="J466" s="2412"/>
      <c r="K466" s="2412"/>
      <c r="L466" s="2412"/>
      <c r="M466" s="2412"/>
      <c r="N466" s="2412"/>
      <c r="O466" s="2412"/>
      <c r="P466" s="2412"/>
      <c r="Q466" s="2412"/>
      <c r="R466" s="2412"/>
      <c r="S466" s="2412"/>
      <c r="T466" s="2412"/>
      <c r="U466" s="2412"/>
      <c r="V466" s="2412"/>
      <c r="W466" s="2412"/>
      <c r="X466" s="2412"/>
      <c r="Y466" s="2412"/>
      <c r="Z466" s="2412"/>
      <c r="AA466" s="2412"/>
      <c r="AB466" s="2412"/>
      <c r="AC466" s="2412"/>
      <c r="AD466" s="2412"/>
      <c r="AE466" s="2412"/>
      <c r="AF466" s="2412"/>
      <c r="AG466" s="1329"/>
      <c r="AH466" s="1186"/>
      <c r="AI466" s="1186"/>
      <c r="AJ466" s="1186"/>
      <c r="AK466" s="1186"/>
      <c r="AL466" s="1214"/>
      <c r="AM466" s="16"/>
      <c r="AN466" s="439"/>
      <c r="AO466" s="46" t="s">
        <v>1472</v>
      </c>
      <c r="AP466" s="46">
        <v>1</v>
      </c>
    </row>
    <row r="467" spans="1:54" s="46" customFormat="1" ht="12.75" customHeight="1">
      <c r="A467" s="8"/>
      <c r="B467" s="65"/>
      <c r="C467" s="1193"/>
      <c r="D467" s="125"/>
      <c r="E467" s="306"/>
      <c r="F467" s="2413"/>
      <c r="G467" s="2413"/>
      <c r="H467" s="2413"/>
      <c r="I467" s="2413"/>
      <c r="J467" s="2413"/>
      <c r="K467" s="2413"/>
      <c r="L467" s="2413"/>
      <c r="M467" s="2413"/>
      <c r="N467" s="2413"/>
      <c r="O467" s="2413"/>
      <c r="P467" s="2413"/>
      <c r="Q467" s="2413"/>
      <c r="R467" s="2413"/>
      <c r="S467" s="2413"/>
      <c r="T467" s="2413"/>
      <c r="U467" s="2413"/>
      <c r="V467" s="2413"/>
      <c r="W467" s="2413"/>
      <c r="X467" s="2413"/>
      <c r="Y467" s="2413"/>
      <c r="Z467" s="2413"/>
      <c r="AA467" s="2413"/>
      <c r="AB467" s="2413"/>
      <c r="AC467" s="2413"/>
      <c r="AD467" s="2413"/>
      <c r="AE467" s="2413"/>
      <c r="AF467" s="2413"/>
      <c r="AG467" s="162"/>
      <c r="AH467" s="162"/>
      <c r="AI467" s="162"/>
      <c r="AJ467" s="162"/>
      <c r="AK467" s="162"/>
      <c r="AL467" s="1194"/>
      <c r="AM467" s="16"/>
      <c r="AN467" s="439"/>
      <c r="AS467" s="543"/>
      <c r="AW467" s="543" t="s">
        <v>1078</v>
      </c>
      <c r="BA467" s="543" t="s">
        <v>1079</v>
      </c>
    </row>
    <row r="468" spans="1:54" s="46" customFormat="1" ht="12.75" customHeight="1">
      <c r="A468" s="8"/>
      <c r="B468" s="65"/>
      <c r="C468" s="1197"/>
      <c r="D468" s="162"/>
      <c r="E468" s="162"/>
      <c r="F468" s="2413"/>
      <c r="G468" s="2413"/>
      <c r="H468" s="2413"/>
      <c r="I468" s="2413"/>
      <c r="J468" s="2413"/>
      <c r="K468" s="2413"/>
      <c r="L468" s="2413"/>
      <c r="M468" s="2413"/>
      <c r="N468" s="2413"/>
      <c r="O468" s="2413"/>
      <c r="P468" s="2413"/>
      <c r="Q468" s="2413"/>
      <c r="R468" s="2413"/>
      <c r="S468" s="2413"/>
      <c r="T468" s="2413"/>
      <c r="U468" s="2413"/>
      <c r="V468" s="2413"/>
      <c r="W468" s="2413"/>
      <c r="X468" s="2413"/>
      <c r="Y468" s="2413"/>
      <c r="Z468" s="2413"/>
      <c r="AA468" s="2413"/>
      <c r="AB468" s="2413"/>
      <c r="AC468" s="2413"/>
      <c r="AD468" s="2413"/>
      <c r="AE468" s="2413"/>
      <c r="AF468" s="2413"/>
      <c r="AG468" s="162"/>
      <c r="AH468" s="162"/>
      <c r="AI468" s="162"/>
      <c r="AJ468" s="162"/>
      <c r="AK468" s="162"/>
      <c r="AL468" s="1194"/>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7"/>
      <c r="D469" s="162"/>
      <c r="E469" s="162"/>
      <c r="F469" s="2413"/>
      <c r="G469" s="2413"/>
      <c r="H469" s="2413"/>
      <c r="I469" s="2413"/>
      <c r="J469" s="2413"/>
      <c r="K469" s="2413"/>
      <c r="L469" s="2413"/>
      <c r="M469" s="2413"/>
      <c r="N469" s="2413"/>
      <c r="O469" s="2413"/>
      <c r="P469" s="2413"/>
      <c r="Q469" s="2413"/>
      <c r="R469" s="2413"/>
      <c r="S469" s="2413"/>
      <c r="T469" s="2413"/>
      <c r="U469" s="2413"/>
      <c r="V469" s="2413"/>
      <c r="W469" s="2413"/>
      <c r="X469" s="2413"/>
      <c r="Y469" s="2413"/>
      <c r="Z469" s="2413"/>
      <c r="AA469" s="2413"/>
      <c r="AB469" s="2413"/>
      <c r="AC469" s="2413"/>
      <c r="AD469" s="2413"/>
      <c r="AE469" s="2413"/>
      <c r="AF469" s="2413"/>
      <c r="AG469" s="162"/>
      <c r="AH469" s="162"/>
      <c r="AI469" s="162"/>
      <c r="AJ469" s="162"/>
      <c r="AK469" s="162"/>
      <c r="AL469" s="1194"/>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95" t="s">
        <v>136</v>
      </c>
      <c r="D470" s="1699"/>
      <c r="E470" s="350"/>
      <c r="F470" s="1210" t="s">
        <v>2016</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2408" t="s">
        <v>355</v>
      </c>
      <c r="AG470" s="2408"/>
      <c r="AH470" s="2408"/>
      <c r="AI470" s="2408"/>
      <c r="AJ470" s="2408"/>
      <c r="AK470" s="2408"/>
      <c r="AL470" s="2409"/>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2"/>
      <c r="AP471" s="43"/>
      <c r="AS471" s="552"/>
      <c r="AT471" s="43"/>
      <c r="AW471" s="552">
        <v>0.8</v>
      </c>
      <c r="AX471" s="43">
        <v>5</v>
      </c>
      <c r="BA471" s="552"/>
      <c r="BB471" s="43"/>
    </row>
    <row r="472" spans="1:54" s="46" customFormat="1" ht="12.75" customHeight="1">
      <c r="A472" s="8"/>
      <c r="B472" s="65"/>
      <c r="C472" s="102"/>
      <c r="D472" s="102"/>
      <c r="E472" s="153"/>
      <c r="F472" s="1427"/>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7"/>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1"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789</v>
      </c>
      <c r="AK476" s="2365">
        <f>IF(AS359=0,AS357,AS359)</f>
        <v>10</v>
      </c>
      <c r="AL476" s="2366"/>
      <c r="AM476" s="236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42" t="s">
        <v>1389</v>
      </c>
      <c r="AF479" s="2442"/>
      <c r="AG479" s="2442"/>
      <c r="AH479" s="2442"/>
      <c r="AI479" s="2442"/>
      <c r="AJ479" s="2442"/>
      <c r="AK479" s="2442"/>
      <c r="AL479" s="1300"/>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1473</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41" t="s">
        <v>136</v>
      </c>
      <c r="D485" s="2342"/>
      <c r="E485" s="1253" t="s">
        <v>212</v>
      </c>
      <c r="F485" s="2372" t="s">
        <v>1075</v>
      </c>
      <c r="G485" s="2372"/>
      <c r="H485" s="2372"/>
      <c r="I485" s="2372"/>
      <c r="J485" s="2372"/>
      <c r="K485" s="2372"/>
      <c r="L485" s="2372"/>
      <c r="M485" s="2372"/>
      <c r="N485" s="2372"/>
      <c r="O485" s="2372"/>
      <c r="P485" s="2372"/>
      <c r="Q485" s="2372"/>
      <c r="R485" s="2372"/>
      <c r="S485" s="2372"/>
      <c r="T485" s="2372"/>
      <c r="U485" s="2372"/>
      <c r="V485" s="2372"/>
      <c r="W485" s="2372"/>
      <c r="X485" s="2372"/>
      <c r="Y485" s="2372"/>
      <c r="Z485" s="2372"/>
      <c r="AA485" s="2372"/>
      <c r="AB485" s="2372"/>
      <c r="AC485" s="2372"/>
      <c r="AD485" s="2372"/>
      <c r="AE485" s="2372"/>
      <c r="AF485" s="1186"/>
      <c r="AG485" s="1186"/>
      <c r="AH485" s="1186"/>
      <c r="AI485" s="1186"/>
      <c r="AJ485" s="1186"/>
      <c r="AK485" s="1214"/>
      <c r="AL485" s="162"/>
      <c r="AN485" s="439"/>
      <c r="AO485" s="46" t="s">
        <v>2183</v>
      </c>
      <c r="AP485" s="46">
        <v>5</v>
      </c>
      <c r="AS485" s="552"/>
      <c r="AT485" s="43"/>
      <c r="AW485" s="733"/>
      <c r="AX485" s="64"/>
    </row>
    <row r="486" spans="1:50" s="46" customFormat="1" ht="12.75" hidden="1" customHeight="1">
      <c r="A486" s="28"/>
      <c r="C486" s="1222"/>
      <c r="D486" s="162"/>
      <c r="E486" s="225"/>
      <c r="F486" s="2373"/>
      <c r="G486" s="2373"/>
      <c r="H486" s="2373"/>
      <c r="I486" s="2373"/>
      <c r="J486" s="2373"/>
      <c r="K486" s="2373"/>
      <c r="L486" s="2373"/>
      <c r="M486" s="2373"/>
      <c r="N486" s="2373"/>
      <c r="O486" s="2373"/>
      <c r="P486" s="2373"/>
      <c r="Q486" s="2373"/>
      <c r="R486" s="2373"/>
      <c r="S486" s="2373"/>
      <c r="T486" s="2373"/>
      <c r="U486" s="2373"/>
      <c r="V486" s="2373"/>
      <c r="W486" s="2373"/>
      <c r="X486" s="2373"/>
      <c r="Y486" s="2373"/>
      <c r="Z486" s="2373"/>
      <c r="AA486" s="2373"/>
      <c r="AB486" s="2373"/>
      <c r="AC486" s="2373"/>
      <c r="AD486" s="2373"/>
      <c r="AE486" s="2373"/>
      <c r="AF486" s="162"/>
      <c r="AG486" s="27"/>
      <c r="AH486" s="27"/>
      <c r="AI486" s="27"/>
      <c r="AJ486" s="27"/>
      <c r="AK486" s="1194"/>
      <c r="AL486" s="162"/>
      <c r="AN486" s="439"/>
      <c r="AO486" s="46" t="s">
        <v>1472</v>
      </c>
      <c r="AP486" s="46">
        <v>1</v>
      </c>
    </row>
    <row r="487" spans="1:50" s="46" customFormat="1" ht="12.75" hidden="1" customHeight="1">
      <c r="A487" s="28"/>
      <c r="C487" s="1223"/>
      <c r="D487" s="1204"/>
      <c r="E487" s="1224"/>
      <c r="F487" s="2346" t="s">
        <v>136</v>
      </c>
      <c r="G487" s="2346"/>
      <c r="H487" s="2346"/>
      <c r="I487" s="2346"/>
      <c r="J487" s="2346"/>
      <c r="K487" s="2346"/>
      <c r="L487" s="2346"/>
      <c r="M487" s="2346"/>
      <c r="N487" s="2346"/>
      <c r="O487" s="2346"/>
      <c r="P487" s="2346"/>
      <c r="Q487" s="2346"/>
      <c r="R487" s="2346"/>
      <c r="S487" s="2346"/>
      <c r="T487" s="2346"/>
      <c r="U487" s="2346"/>
      <c r="V487" s="2346"/>
      <c r="W487" s="2346"/>
      <c r="X487" s="2346"/>
      <c r="Y487" s="2346"/>
      <c r="Z487" s="2346"/>
      <c r="AA487" s="1225"/>
      <c r="AB487" s="1226"/>
      <c r="AC487" s="1226"/>
      <c r="AD487" s="1204"/>
      <c r="AE487" s="1204"/>
      <c r="AF487" s="1204"/>
      <c r="AG487" s="1227">
        <f>IF($C$485="Yes",(VLOOKUP($F$487,$AO$458:$AP$466,2,FALSE)),0)</f>
        <v>0</v>
      </c>
      <c r="AH487" s="1228" t="s">
        <v>1077</v>
      </c>
      <c r="AI487" s="1227"/>
      <c r="AJ487" s="1227"/>
      <c r="AK487" s="1205"/>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403" t="s">
        <v>119</v>
      </c>
      <c r="D489" s="2404"/>
      <c r="E489" s="1253" t="s">
        <v>336</v>
      </c>
      <c r="F489" s="1229" t="s">
        <v>1477</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2">
        <v>0.15</v>
      </c>
      <c r="AP489" s="64">
        <v>3</v>
      </c>
    </row>
    <row r="490" spans="1:50" s="46" customFormat="1" ht="12.75" hidden="1" customHeight="1">
      <c r="A490" s="28"/>
      <c r="C490" s="1231" t="s">
        <v>1350</v>
      </c>
      <c r="D490" s="162"/>
      <c r="E490" s="162"/>
      <c r="F490" s="892"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2">
        <v>0.2</v>
      </c>
      <c r="AP490" s="64">
        <v>5</v>
      </c>
    </row>
    <row r="491" spans="1:50" s="46" customFormat="1" ht="12.75" hidden="1" customHeight="1">
      <c r="A491" s="28"/>
      <c r="C491" s="1218"/>
      <c r="D491" s="1161"/>
      <c r="E491" s="297"/>
      <c r="F491" s="892" t="s">
        <v>2195</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4"/>
      <c r="AL491" s="162"/>
      <c r="AN491" s="475"/>
      <c r="AO491" s="552"/>
      <c r="AP491" s="43"/>
    </row>
    <row r="492" spans="1:50" s="205" customFormat="1" ht="12.75" hidden="1" customHeight="1">
      <c r="A492" s="57"/>
      <c r="B492" s="46"/>
      <c r="C492" s="1222"/>
      <c r="D492" s="162"/>
      <c r="E492" s="225"/>
      <c r="F492" s="1232" t="s">
        <v>1076</v>
      </c>
      <c r="G492" s="162"/>
      <c r="H492" s="162"/>
      <c r="I492" s="892"/>
      <c r="J492" s="892"/>
      <c r="K492" s="892"/>
      <c r="L492" s="892"/>
      <c r="M492" s="892"/>
      <c r="N492" s="892"/>
      <c r="O492" s="892"/>
      <c r="P492" s="892"/>
      <c r="Q492" s="892"/>
      <c r="R492" s="892"/>
      <c r="S492" s="892"/>
      <c r="T492" s="892"/>
      <c r="U492" s="892"/>
      <c r="V492" s="2343" t="s">
        <v>136</v>
      </c>
      <c r="W492" s="2343"/>
      <c r="X492" s="2343"/>
      <c r="Y492" s="892"/>
      <c r="Z492" s="892"/>
      <c r="AA492" s="892"/>
      <c r="AB492" s="892"/>
      <c r="AC492" s="892"/>
      <c r="AD492" s="968"/>
      <c r="AE492" s="968"/>
      <c r="AF492" s="968"/>
      <c r="AG492" s="175">
        <f>IF(AND($C$489="Yes",$V$494="N/A",$V$499="N/A",$V$503="N/A",$V$505="N/A"),(VLOOKUP(V492,$AR$468:$AS$470,2,FALSE)),0)</f>
        <v>0</v>
      </c>
      <c r="AH492" s="1160" t="s">
        <v>1077</v>
      </c>
      <c r="AI492" s="27"/>
      <c r="AJ492" s="27"/>
      <c r="AK492" s="1194"/>
      <c r="AL492" s="162"/>
      <c r="AM492" s="46"/>
      <c r="AN492" s="439"/>
    </row>
    <row r="493" spans="1:50" s="205" customFormat="1" ht="12.75" hidden="1" customHeight="1">
      <c r="A493" s="57"/>
      <c r="B493" s="46"/>
      <c r="C493" s="1222"/>
      <c r="D493" s="162"/>
      <c r="E493" s="225"/>
      <c r="F493" s="1232"/>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5"/>
      <c r="AI493" s="27"/>
      <c r="AJ493" s="27"/>
      <c r="AK493" s="1194"/>
      <c r="AL493" s="162"/>
      <c r="AM493" s="46"/>
      <c r="AN493" s="439"/>
    </row>
    <row r="494" spans="1:50" s="205" customFormat="1" ht="12.75" hidden="1" customHeight="1">
      <c r="A494" s="57"/>
      <c r="B494" s="46"/>
      <c r="C494" s="1222"/>
      <c r="D494" s="162"/>
      <c r="E494" s="225"/>
      <c r="F494" s="1232" t="s">
        <v>2201</v>
      </c>
      <c r="G494" s="162"/>
      <c r="H494" s="162"/>
      <c r="I494" s="892"/>
      <c r="J494" s="892"/>
      <c r="K494" s="892"/>
      <c r="L494" s="892"/>
      <c r="M494" s="892"/>
      <c r="N494" s="892"/>
      <c r="O494" s="892"/>
      <c r="P494" s="892"/>
      <c r="Q494" s="892"/>
      <c r="R494" s="892"/>
      <c r="S494" s="892"/>
      <c r="T494" s="892"/>
      <c r="U494" s="892"/>
      <c r="V494" s="2343" t="s">
        <v>136</v>
      </c>
      <c r="W494" s="2343"/>
      <c r="X494" s="2343"/>
      <c r="Y494" s="892"/>
      <c r="Z494" s="892"/>
      <c r="AA494" s="892"/>
      <c r="AB494" s="892"/>
      <c r="AC494" s="892"/>
      <c r="AD494" s="968"/>
      <c r="AE494" s="968"/>
      <c r="AF494" s="968"/>
      <c r="AG494" s="175">
        <f>IF(AND($C$489="Yes",$V$492="N/A", $V$499="N/A",$V$503="N/A",$V$505="N/A"),(VLOOKUP(V494,$AO$468:$AP$470,2,FALSE)),0)</f>
        <v>0</v>
      </c>
      <c r="AH494" s="1355" t="s">
        <v>1077</v>
      </c>
      <c r="AI494" s="27"/>
      <c r="AJ494" s="27"/>
      <c r="AK494" s="1194"/>
      <c r="AL494" s="162"/>
      <c r="AM494" s="46"/>
      <c r="AN494" s="439"/>
    </row>
    <row r="495" spans="1:50" s="46" customFormat="1" ht="12.75" hidden="1" customHeight="1">
      <c r="A495" s="28"/>
      <c r="C495" s="1222"/>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4"/>
      <c r="AL495" s="162"/>
      <c r="AN495" s="439"/>
      <c r="AO495" s="46" t="s">
        <v>136</v>
      </c>
      <c r="AP495" s="46">
        <v>0</v>
      </c>
    </row>
    <row r="496" spans="1:50" s="46" customFormat="1" ht="12.75" hidden="1" customHeight="1">
      <c r="A496" s="28"/>
      <c r="C496" s="1222"/>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1479</v>
      </c>
      <c r="AP496" s="64">
        <v>2</v>
      </c>
    </row>
    <row r="497" spans="1:147" s="46" customFormat="1" ht="12.75" hidden="1" customHeight="1">
      <c r="A497" s="28"/>
      <c r="C497" s="1222"/>
      <c r="D497" s="28"/>
      <c r="E497" s="28"/>
      <c r="F497" s="968"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1084</v>
      </c>
      <c r="AP497" s="46">
        <v>2</v>
      </c>
    </row>
    <row r="498" spans="1:147" s="205" customFormat="1" ht="12.75" hidden="1" customHeight="1">
      <c r="A498" s="28"/>
      <c r="B498" s="46"/>
      <c r="C498" s="1197"/>
      <c r="D498" s="102"/>
      <c r="E498" s="102"/>
      <c r="F498" s="968"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5"/>
      <c r="AO498" s="46" t="s">
        <v>1085</v>
      </c>
      <c r="AP498" s="46">
        <v>2</v>
      </c>
    </row>
    <row r="499" spans="1:147" s="46" customFormat="1" ht="12.75" hidden="1" customHeight="1">
      <c r="A499" s="28"/>
      <c r="C499" s="1233"/>
      <c r="D499" s="28"/>
      <c r="E499" s="28"/>
      <c r="F499" s="1232" t="s">
        <v>1478</v>
      </c>
      <c r="G499" s="28"/>
      <c r="H499" s="28"/>
      <c r="I499" s="28"/>
      <c r="J499" s="28"/>
      <c r="K499" s="28"/>
      <c r="L499" s="28"/>
      <c r="M499" s="225"/>
      <c r="N499" s="225"/>
      <c r="O499" s="225"/>
      <c r="P499" s="225"/>
      <c r="Q499" s="27"/>
      <c r="R499" s="27"/>
      <c r="S499" s="27"/>
      <c r="T499" s="27"/>
      <c r="U499" s="27"/>
      <c r="V499" s="2343" t="s">
        <v>136</v>
      </c>
      <c r="W499" s="2343"/>
      <c r="X499" s="2343"/>
      <c r="Y499" s="27"/>
      <c r="Z499" s="27"/>
      <c r="AA499" s="27"/>
      <c r="AB499" s="27"/>
      <c r="AC499" s="27"/>
      <c r="AD499" s="162"/>
      <c r="AE499" s="162"/>
      <c r="AF499" s="162"/>
      <c r="AG499" s="175">
        <f>IF(AND($C$489="Yes",$V$492="N/A",$V$494="N/A", $V$503="N/A",$V$505="N/A"),(VLOOKUP($V$499,$AO$472:$AP$474,2,FALSE)),0)</f>
        <v>0</v>
      </c>
      <c r="AH499" s="1160" t="s">
        <v>1077</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1351</v>
      </c>
      <c r="D501" s="1238"/>
      <c r="E501" s="1238"/>
      <c r="F501" s="1239" t="s">
        <v>1475</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136</v>
      </c>
      <c r="AP501" s="46">
        <v>0</v>
      </c>
      <c r="AQ501" s="62"/>
    </row>
    <row r="502" spans="1:147" s="205" customFormat="1" ht="12.75" hidden="1" customHeight="1">
      <c r="A502" s="28"/>
      <c r="B502" s="153"/>
      <c r="C502" s="1234"/>
      <c r="D502" s="2103"/>
      <c r="E502" s="2103"/>
      <c r="F502" s="892"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4"/>
      <c r="AL502" s="162"/>
      <c r="AM502" s="46"/>
      <c r="AN502" s="1136"/>
      <c r="AO502" s="46" t="s">
        <v>1487</v>
      </c>
      <c r="AP502" s="64">
        <v>5</v>
      </c>
      <c r="AQ502" s="63"/>
    </row>
    <row r="503" spans="1:147" s="16" customFormat="1" ht="12.75" hidden="1" customHeight="1">
      <c r="A503" s="195"/>
      <c r="B503" s="153"/>
      <c r="C503" s="1222"/>
      <c r="D503" s="162"/>
      <c r="E503" s="162"/>
      <c r="F503" s="895" t="s">
        <v>1076</v>
      </c>
      <c r="G503" s="162"/>
      <c r="H503" s="162"/>
      <c r="I503" s="162"/>
      <c r="J503" s="162"/>
      <c r="K503" s="162"/>
      <c r="L503" s="162"/>
      <c r="M503" s="162"/>
      <c r="N503" s="162"/>
      <c r="O503" s="162"/>
      <c r="P503" s="162"/>
      <c r="Q503" s="162"/>
      <c r="R503" s="162"/>
      <c r="S503" s="162"/>
      <c r="T503" s="162"/>
      <c r="U503" s="162"/>
      <c r="V503" s="2343" t="s">
        <v>136</v>
      </c>
      <c r="W503" s="2343"/>
      <c r="X503" s="2343"/>
      <c r="Y503" s="162"/>
      <c r="Z503" s="162"/>
      <c r="AA503" s="162"/>
      <c r="AB503" s="162"/>
      <c r="AC503" s="162"/>
      <c r="AD503" s="162"/>
      <c r="AE503" s="162"/>
      <c r="AF503" s="162"/>
      <c r="AG503" s="175">
        <f>IF(AND($C$489="Yes",$V$492="N/A",V494="N/A",$V$499="N/A",$V$505="N/A"),(VLOOKUP($V$503,$AW$468:$AX$471,2,FALSE)),0)</f>
        <v>0</v>
      </c>
      <c r="AH503" s="1160" t="s">
        <v>1077</v>
      </c>
      <c r="AI503" s="27"/>
      <c r="AJ503" s="162"/>
      <c r="AK503" s="1194"/>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2201</v>
      </c>
      <c r="G505" s="1235"/>
      <c r="H505" s="1235"/>
      <c r="I505" s="1204"/>
      <c r="J505" s="1204"/>
      <c r="K505" s="1204"/>
      <c r="L505" s="1204"/>
      <c r="M505" s="1204"/>
      <c r="N505" s="1204"/>
      <c r="O505" s="1204"/>
      <c r="P505" s="1204"/>
      <c r="Q505" s="1204"/>
      <c r="R505" s="1204"/>
      <c r="S505" s="1204"/>
      <c r="T505" s="1204"/>
      <c r="U505" s="1204"/>
      <c r="V505" s="2343" t="s">
        <v>136</v>
      </c>
      <c r="W505" s="2343"/>
      <c r="X505" s="2343"/>
      <c r="Y505" s="1204"/>
      <c r="Z505" s="1204"/>
      <c r="AA505" s="1204"/>
      <c r="AB505" s="1204"/>
      <c r="AC505" s="1204"/>
      <c r="AD505" s="1204"/>
      <c r="AE505" s="1204"/>
      <c r="AF505" s="1204"/>
      <c r="AG505" s="1236">
        <f>IF(AND($C$489="Yes",$V$492="N/A",$V$494="N/A",$V$499="N/A",$V$503="N/A"),(VLOOKUP($V$505,$BA$468:$BB$470,2,FALSE)),0)</f>
        <v>0</v>
      </c>
      <c r="AH505" s="1228" t="s">
        <v>1077</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608" t="s">
        <v>722</v>
      </c>
      <c r="AV506" s="2609"/>
      <c r="AW506" s="2609"/>
      <c r="AX506" s="2609"/>
      <c r="AY506" s="2609"/>
      <c r="AZ506" s="2609"/>
      <c r="BA506" s="2609"/>
      <c r="BB506" s="205"/>
      <c r="BC506" s="205"/>
      <c r="BE506" s="46"/>
      <c r="BF506" s="46"/>
      <c r="BG506" s="46"/>
      <c r="BH506" s="46"/>
      <c r="BI506" s="46"/>
      <c r="BJ506" s="2534" t="s">
        <v>35</v>
      </c>
      <c r="BK506" s="2535"/>
      <c r="BL506" s="2535"/>
      <c r="BM506" s="2535"/>
      <c r="BN506" s="2535"/>
      <c r="BO506" s="2535"/>
      <c r="BP506" s="253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608"/>
      <c r="AV507" s="2609"/>
      <c r="AW507" s="2609"/>
      <c r="AX507" s="2609"/>
      <c r="AY507" s="2609"/>
      <c r="AZ507" s="2609"/>
      <c r="BA507" s="2609"/>
      <c r="BB507" s="205"/>
      <c r="BC507" s="205"/>
      <c r="BE507" s="46"/>
      <c r="BF507" s="46"/>
      <c r="BG507" s="46"/>
      <c r="BH507" s="46"/>
      <c r="BI507" s="46"/>
      <c r="BJ507" s="2534"/>
      <c r="BK507" s="2535"/>
      <c r="BL507" s="2535"/>
      <c r="BM507" s="2535"/>
      <c r="BN507" s="2535"/>
      <c r="BO507" s="2535"/>
      <c r="BP507" s="2535"/>
      <c r="BQ507" s="205"/>
      <c r="BR507" s="46"/>
    </row>
    <row r="508" spans="1:147" s="16" customFormat="1" ht="12.75" hidden="1" customHeight="1">
      <c r="A508" s="195"/>
      <c r="B508" s="46"/>
      <c r="C508" s="2341" t="s">
        <v>136</v>
      </c>
      <c r="D508" s="2342"/>
      <c r="E508" s="1240" t="s">
        <v>212</v>
      </c>
      <c r="F508" s="2372" t="s">
        <v>1075</v>
      </c>
      <c r="G508" s="2372"/>
      <c r="H508" s="2372"/>
      <c r="I508" s="2372"/>
      <c r="J508" s="2372"/>
      <c r="K508" s="2372"/>
      <c r="L508" s="2372"/>
      <c r="M508" s="2372"/>
      <c r="N508" s="2372"/>
      <c r="O508" s="2372"/>
      <c r="P508" s="2372"/>
      <c r="Q508" s="2372"/>
      <c r="R508" s="2372"/>
      <c r="S508" s="2372"/>
      <c r="T508" s="2372"/>
      <c r="U508" s="2372"/>
      <c r="V508" s="2372"/>
      <c r="W508" s="2372"/>
      <c r="X508" s="2372"/>
      <c r="Y508" s="2372"/>
      <c r="Z508" s="2372"/>
      <c r="AA508" s="2372"/>
      <c r="AB508" s="2372"/>
      <c r="AC508" s="2372"/>
      <c r="AD508" s="2372"/>
      <c r="AE508" s="2372"/>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373"/>
      <c r="G509" s="2373"/>
      <c r="H509" s="2373"/>
      <c r="I509" s="2373"/>
      <c r="J509" s="2373"/>
      <c r="K509" s="2373"/>
      <c r="L509" s="2373"/>
      <c r="M509" s="2373"/>
      <c r="N509" s="2373"/>
      <c r="O509" s="2373"/>
      <c r="P509" s="2373"/>
      <c r="Q509" s="2373"/>
      <c r="R509" s="2373"/>
      <c r="S509" s="2373"/>
      <c r="T509" s="2373"/>
      <c r="U509" s="2373"/>
      <c r="V509" s="2373"/>
      <c r="W509" s="2373"/>
      <c r="X509" s="2373"/>
      <c r="Y509" s="2373"/>
      <c r="Z509" s="2373"/>
      <c r="AA509" s="2373"/>
      <c r="AB509" s="2373"/>
      <c r="AC509" s="2373"/>
      <c r="AD509" s="2373"/>
      <c r="AE509" s="2373"/>
      <c r="AF509" s="162"/>
      <c r="AG509" s="27"/>
      <c r="AH509" s="27"/>
      <c r="AI509" s="27"/>
      <c r="AJ509" s="27"/>
      <c r="AK509" s="1194"/>
      <c r="AL509" s="162"/>
      <c r="AM509" s="46"/>
      <c r="AN509" s="1134"/>
      <c r="AO509" s="132"/>
      <c r="AP509" s="2577" t="s">
        <v>1676</v>
      </c>
      <c r="AQ509" s="2578"/>
      <c r="AR509" s="2579"/>
      <c r="AS509" s="976">
        <v>80</v>
      </c>
      <c r="AT509" s="46">
        <v>0</v>
      </c>
      <c r="AU509" s="243">
        <v>10</v>
      </c>
      <c r="AV509" s="243">
        <v>25</v>
      </c>
      <c r="AW509" s="243">
        <v>37.5</v>
      </c>
      <c r="AX509" s="243">
        <v>35</v>
      </c>
      <c r="AY509" s="243">
        <v>37.5</v>
      </c>
      <c r="AZ509" s="243">
        <v>50</v>
      </c>
      <c r="BA509" s="243">
        <v>50</v>
      </c>
      <c r="BB509" s="65"/>
      <c r="BC509" s="65"/>
      <c r="BE509" s="2577" t="s">
        <v>1676</v>
      </c>
      <c r="BF509" s="2578"/>
      <c r="BG509" s="2579"/>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370" t="s">
        <v>136</v>
      </c>
      <c r="G510" s="2370"/>
      <c r="H510" s="2370"/>
      <c r="I510" s="2370"/>
      <c r="J510" s="2370"/>
      <c r="K510" s="2370"/>
      <c r="L510" s="2370"/>
      <c r="M510" s="2370"/>
      <c r="N510" s="2370"/>
      <c r="O510" s="2370"/>
      <c r="P510" s="2370"/>
      <c r="Q510" s="2370"/>
      <c r="R510" s="2370"/>
      <c r="S510" s="2370"/>
      <c r="T510" s="2370"/>
      <c r="U510" s="2370"/>
      <c r="V510" s="2370"/>
      <c r="W510" s="2370"/>
      <c r="X510" s="2370"/>
      <c r="Y510" s="2370"/>
      <c r="Z510" s="2370"/>
      <c r="AA510" s="1225"/>
      <c r="AB510" s="1226"/>
      <c r="AC510" s="1226"/>
      <c r="AD510" s="1204"/>
      <c r="AE510" s="1204"/>
      <c r="AF510" s="1204"/>
      <c r="AG510" s="1227">
        <f>IF($C$508="Yes",(VLOOKUP($F$510,$AO$478:$AP$486,2,FALSE)),0)</f>
        <v>0</v>
      </c>
      <c r="AH510" s="1228" t="s">
        <v>1077</v>
      </c>
      <c r="AI510" s="1227"/>
      <c r="AJ510" s="1226"/>
      <c r="AK510" s="1205"/>
      <c r="AL510" s="162"/>
      <c r="AM510" s="46"/>
      <c r="AN510" s="1134"/>
      <c r="AO510" s="132"/>
      <c r="AP510" s="2396"/>
      <c r="AQ510" s="2397"/>
      <c r="AR510" s="2398"/>
      <c r="AS510" s="976">
        <v>75</v>
      </c>
      <c r="AT510" s="46">
        <v>0</v>
      </c>
      <c r="AU510" s="243">
        <v>10</v>
      </c>
      <c r="AV510" s="243">
        <v>25</v>
      </c>
      <c r="AW510" s="243">
        <v>37.5</v>
      </c>
      <c r="AX510" s="243">
        <v>35</v>
      </c>
      <c r="AY510" s="243">
        <v>37.5</v>
      </c>
      <c r="AZ510" s="243">
        <v>50</v>
      </c>
      <c r="BA510" s="243">
        <v>50</v>
      </c>
      <c r="BB510" s="65"/>
      <c r="BC510" s="65"/>
      <c r="BE510" s="2396"/>
      <c r="BF510" s="2397"/>
      <c r="BG510" s="2398"/>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96"/>
      <c r="AQ511" s="2397"/>
      <c r="AR511" s="2398"/>
      <c r="AS511" s="976">
        <v>70</v>
      </c>
      <c r="AT511" s="46">
        <v>0</v>
      </c>
      <c r="AU511" s="243">
        <v>10</v>
      </c>
      <c r="AV511" s="243">
        <v>25</v>
      </c>
      <c r="AW511" s="243">
        <v>37.5</v>
      </c>
      <c r="AX511" s="243">
        <v>35</v>
      </c>
      <c r="AY511" s="243">
        <v>37.5</v>
      </c>
      <c r="AZ511" s="243">
        <v>50</v>
      </c>
      <c r="BA511" s="243">
        <v>50</v>
      </c>
      <c r="BB511" s="65"/>
      <c r="BC511" s="65"/>
      <c r="BE511" s="2396"/>
      <c r="BF511" s="2397"/>
      <c r="BG511" s="2398"/>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1" t="s">
        <v>136</v>
      </c>
      <c r="D512" s="2342"/>
      <c r="E512" s="1240" t="s">
        <v>336</v>
      </c>
      <c r="F512" s="2405" t="s">
        <v>1283</v>
      </c>
      <c r="G512" s="2405"/>
      <c r="H512" s="2405"/>
      <c r="I512" s="2405"/>
      <c r="J512" s="2405"/>
      <c r="K512" s="2405"/>
      <c r="L512" s="2405"/>
      <c r="M512" s="2405"/>
      <c r="N512" s="2405"/>
      <c r="O512" s="2405"/>
      <c r="P512" s="2405"/>
      <c r="Q512" s="2405"/>
      <c r="R512" s="2405"/>
      <c r="S512" s="2405"/>
      <c r="T512" s="2405"/>
      <c r="U512" s="2405"/>
      <c r="V512" s="2405"/>
      <c r="W512" s="2405"/>
      <c r="X512" s="2405"/>
      <c r="Y512" s="2405"/>
      <c r="Z512" s="2405"/>
      <c r="AA512" s="2405"/>
      <c r="AB512" s="2405"/>
      <c r="AC512" s="2405"/>
      <c r="AD512" s="2405"/>
      <c r="AE512" s="2405"/>
      <c r="AF512" s="1186"/>
      <c r="AG512" s="1230"/>
      <c r="AH512" s="1230"/>
      <c r="AI512" s="1230"/>
      <c r="AJ512" s="1230"/>
      <c r="AK512" s="1214"/>
      <c r="AL512" s="162"/>
      <c r="AM512" s="46"/>
      <c r="AN512" s="1134"/>
      <c r="AO512" s="132"/>
      <c r="AP512" s="2396"/>
      <c r="AQ512" s="2397"/>
      <c r="AR512" s="2398"/>
      <c r="AS512" s="976">
        <v>65</v>
      </c>
      <c r="AT512" s="46">
        <v>0</v>
      </c>
      <c r="AU512" s="243">
        <v>10</v>
      </c>
      <c r="AV512" s="243">
        <v>25</v>
      </c>
      <c r="AW512" s="243">
        <v>37.5</v>
      </c>
      <c r="AX512" s="243">
        <v>35</v>
      </c>
      <c r="AY512" s="243">
        <v>37.5</v>
      </c>
      <c r="AZ512" s="243">
        <v>50</v>
      </c>
      <c r="BA512" s="243">
        <v>50</v>
      </c>
      <c r="BB512" s="65"/>
      <c r="BC512" s="65"/>
      <c r="BE512" s="2396"/>
      <c r="BF512" s="2397"/>
      <c r="BG512" s="2398"/>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406"/>
      <c r="G513" s="2406"/>
      <c r="H513" s="2406"/>
      <c r="I513" s="2406"/>
      <c r="J513" s="2406"/>
      <c r="K513" s="2406"/>
      <c r="L513" s="2406"/>
      <c r="M513" s="2406"/>
      <c r="N513" s="2406"/>
      <c r="O513" s="2406"/>
      <c r="P513" s="2406"/>
      <c r="Q513" s="2406"/>
      <c r="R513" s="2406"/>
      <c r="S513" s="2406"/>
      <c r="T513" s="2406"/>
      <c r="U513" s="2406"/>
      <c r="V513" s="2406"/>
      <c r="W513" s="2406"/>
      <c r="X513" s="2406"/>
      <c r="Y513" s="2406"/>
      <c r="Z513" s="2406"/>
      <c r="AA513" s="2406"/>
      <c r="AB513" s="2406"/>
      <c r="AC513" s="2406"/>
      <c r="AD513" s="2406"/>
      <c r="AE513" s="2406"/>
      <c r="AF513" s="162"/>
      <c r="AG513" s="27"/>
      <c r="AH513" s="27"/>
      <c r="AI513" s="27"/>
      <c r="AJ513" s="27"/>
      <c r="AK513" s="1194"/>
      <c r="AL513" s="162"/>
      <c r="AM513" s="46"/>
      <c r="AN513" s="1134"/>
      <c r="AO513" s="132"/>
      <c r="AP513" s="2396"/>
      <c r="AQ513" s="2397"/>
      <c r="AR513" s="2398"/>
      <c r="AS513" s="976">
        <v>60</v>
      </c>
      <c r="AT513" s="46">
        <v>0</v>
      </c>
      <c r="AU513" s="243">
        <v>10</v>
      </c>
      <c r="AV513" s="243">
        <v>25</v>
      </c>
      <c r="AW513" s="243">
        <v>37.5</v>
      </c>
      <c r="AX513" s="243">
        <v>35</v>
      </c>
      <c r="AY513" s="243">
        <v>37.5</v>
      </c>
      <c r="AZ513" s="243">
        <v>50</v>
      </c>
      <c r="BA513" s="243">
        <v>50</v>
      </c>
      <c r="BB513" s="65"/>
      <c r="BC513" s="65"/>
      <c r="BE513" s="2396"/>
      <c r="BF513" s="2397"/>
      <c r="BG513" s="2398"/>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5"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96"/>
      <c r="AQ514" s="2397"/>
      <c r="AR514" s="2398"/>
      <c r="AS514" s="976">
        <v>55</v>
      </c>
      <c r="AT514" s="46">
        <v>0</v>
      </c>
      <c r="AU514" s="243">
        <v>10</v>
      </c>
      <c r="AV514" s="243">
        <v>25</v>
      </c>
      <c r="AW514" s="243">
        <v>37.5</v>
      </c>
      <c r="AX514" s="243">
        <v>35</v>
      </c>
      <c r="AY514" s="243">
        <v>37.5</v>
      </c>
      <c r="AZ514" s="243">
        <v>50</v>
      </c>
      <c r="BA514" s="243">
        <v>50</v>
      </c>
      <c r="BE514" s="2396"/>
      <c r="BF514" s="2397"/>
      <c r="BG514" s="2398"/>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223"/>
      <c r="D515" s="1204"/>
      <c r="E515" s="1224"/>
      <c r="F515" s="2371" t="s">
        <v>136</v>
      </c>
      <c r="G515" s="2371"/>
      <c r="H515" s="2371"/>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1077</v>
      </c>
      <c r="AI515" s="1226"/>
      <c r="AJ515" s="1226"/>
      <c r="AK515" s="1205"/>
      <c r="AL515" s="162"/>
      <c r="AM515" s="46"/>
      <c r="AN515" s="1134"/>
      <c r="AP515" s="2396"/>
      <c r="AQ515" s="2397"/>
      <c r="AR515" s="2398"/>
      <c r="AS515" s="242">
        <v>50</v>
      </c>
      <c r="AT515" s="46">
        <v>0</v>
      </c>
      <c r="AU515" s="243">
        <v>10</v>
      </c>
      <c r="AV515" s="243">
        <v>25</v>
      </c>
      <c r="AW515" s="243">
        <v>37.5</v>
      </c>
      <c r="AX515" s="243">
        <v>35</v>
      </c>
      <c r="AY515" s="243">
        <v>37.5</v>
      </c>
      <c r="AZ515" s="243">
        <v>50</v>
      </c>
      <c r="BA515" s="243">
        <v>50</v>
      </c>
      <c r="BE515" s="2396"/>
      <c r="BF515" s="2397"/>
      <c r="BG515" s="239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96"/>
      <c r="AQ516" s="2397"/>
      <c r="AR516" s="2398"/>
      <c r="AS516" s="242">
        <v>45</v>
      </c>
      <c r="AT516" s="46">
        <v>0</v>
      </c>
      <c r="AU516" s="243">
        <v>10</v>
      </c>
      <c r="AV516" s="243">
        <v>22.5</v>
      </c>
      <c r="AW516" s="243">
        <v>33.799999999999997</v>
      </c>
      <c r="AX516" s="243">
        <v>35</v>
      </c>
      <c r="AY516" s="243">
        <v>37.5</v>
      </c>
      <c r="AZ516" s="243">
        <v>50</v>
      </c>
      <c r="BA516" s="243">
        <v>50</v>
      </c>
      <c r="BE516" s="2396"/>
      <c r="BF516" s="2397"/>
      <c r="BG516" s="239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41" t="s">
        <v>136</v>
      </c>
      <c r="D517" s="2342"/>
      <c r="E517" s="1240" t="s">
        <v>1392</v>
      </c>
      <c r="F517" s="1239" t="s">
        <v>1082</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96"/>
      <c r="AQ517" s="2397"/>
      <c r="AR517" s="2398"/>
      <c r="AS517" s="242">
        <v>40</v>
      </c>
      <c r="AT517" s="46">
        <v>0</v>
      </c>
      <c r="AU517" s="243">
        <v>10</v>
      </c>
      <c r="AV517" s="243">
        <v>20</v>
      </c>
      <c r="AW517" s="243">
        <v>30</v>
      </c>
      <c r="AX517" s="243">
        <v>35</v>
      </c>
      <c r="AY517" s="243">
        <v>37.5</v>
      </c>
      <c r="AZ517" s="243">
        <v>50</v>
      </c>
      <c r="BA517" s="243">
        <v>50</v>
      </c>
      <c r="BE517" s="2396"/>
      <c r="BF517" s="2397"/>
      <c r="BG517" s="239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96"/>
      <c r="AQ518" s="2397"/>
      <c r="AR518" s="2398"/>
      <c r="AS518" s="242">
        <v>35</v>
      </c>
      <c r="AT518" s="46">
        <v>0</v>
      </c>
      <c r="AU518" s="243">
        <v>8.8000000000000007</v>
      </c>
      <c r="AV518" s="243">
        <v>17.5</v>
      </c>
      <c r="AW518" s="243">
        <v>26.3</v>
      </c>
      <c r="AX518" s="243">
        <v>35</v>
      </c>
      <c r="AY518" s="243">
        <v>37.5</v>
      </c>
      <c r="AZ518" s="243">
        <v>50</v>
      </c>
      <c r="BA518" s="243">
        <v>50</v>
      </c>
      <c r="BE518" s="2396"/>
      <c r="BF518" s="2397"/>
      <c r="BG518" s="239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614"/>
      <c r="D519" s="2103"/>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1077</v>
      </c>
      <c r="AI519" s="27"/>
      <c r="AJ519" s="175"/>
      <c r="AK519" s="1194"/>
      <c r="AL519" s="162"/>
      <c r="AM519" s="46"/>
      <c r="AN519" s="1134"/>
      <c r="AP519" s="2396"/>
      <c r="AQ519" s="2397"/>
      <c r="AR519" s="2398"/>
      <c r="AS519" s="242">
        <v>30</v>
      </c>
      <c r="AT519" s="46">
        <v>0</v>
      </c>
      <c r="AU519" s="243">
        <v>7.5</v>
      </c>
      <c r="AV519" s="243">
        <v>15</v>
      </c>
      <c r="AW519" s="243">
        <v>22.5</v>
      </c>
      <c r="AX519" s="243">
        <v>30</v>
      </c>
      <c r="AY519" s="243">
        <v>37.5</v>
      </c>
      <c r="AZ519" s="243">
        <v>45</v>
      </c>
      <c r="BA519" s="243">
        <v>50</v>
      </c>
      <c r="BE519" s="2396"/>
      <c r="BF519" s="2397"/>
      <c r="BG519" s="239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610" t="s">
        <v>136</v>
      </c>
      <c r="H520" s="2610"/>
      <c r="I520" s="2610"/>
      <c r="J520" s="2610"/>
      <c r="K520" s="2610"/>
      <c r="L520" s="2610"/>
      <c r="M520" s="2610"/>
      <c r="N520" s="2610"/>
      <c r="O520" s="2610"/>
      <c r="P520" s="2610"/>
      <c r="Q520" s="2610"/>
      <c r="R520" s="2610"/>
      <c r="S520" s="2610"/>
      <c r="T520" s="2610"/>
      <c r="U520" s="2610"/>
      <c r="V520" s="2610"/>
      <c r="W520" s="2610"/>
      <c r="X520" s="2610"/>
      <c r="Y520" s="2610"/>
      <c r="Z520" s="2610"/>
      <c r="AA520" s="2610"/>
      <c r="AB520" s="2610"/>
      <c r="AC520" s="2610"/>
      <c r="AD520" s="2610"/>
      <c r="AE520" s="2610"/>
      <c r="AF520" s="2610"/>
      <c r="AG520" s="162"/>
      <c r="AH520" s="162"/>
      <c r="AI520" s="162"/>
      <c r="AJ520" s="27"/>
      <c r="AK520" s="1194"/>
      <c r="AL520" s="162"/>
      <c r="AM520" s="46"/>
      <c r="AN520" s="1134"/>
      <c r="AP520" s="2396"/>
      <c r="AQ520" s="2397"/>
      <c r="AR520" s="2398"/>
      <c r="AS520" s="242">
        <v>25</v>
      </c>
      <c r="AT520" s="46">
        <v>0</v>
      </c>
      <c r="AU520" s="243">
        <v>6.3</v>
      </c>
      <c r="AV520" s="243">
        <v>12.5</v>
      </c>
      <c r="AW520" s="243">
        <v>18.8</v>
      </c>
      <c r="AX520" s="243">
        <v>25</v>
      </c>
      <c r="AY520" s="243">
        <v>31.3</v>
      </c>
      <c r="AZ520" s="243">
        <v>37.5</v>
      </c>
      <c r="BA520" s="243">
        <v>50</v>
      </c>
      <c r="BE520" s="2396"/>
      <c r="BF520" s="2397"/>
      <c r="BG520" s="239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3"/>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96"/>
      <c r="AQ521" s="2397"/>
      <c r="AR521" s="2398"/>
      <c r="AS521" s="242">
        <v>20</v>
      </c>
      <c r="AT521" s="46">
        <v>0</v>
      </c>
      <c r="AU521" s="243">
        <v>5</v>
      </c>
      <c r="AV521" s="243">
        <v>10</v>
      </c>
      <c r="AW521" s="243">
        <v>15</v>
      </c>
      <c r="AX521" s="243">
        <v>20</v>
      </c>
      <c r="AY521" s="243">
        <v>25</v>
      </c>
      <c r="AZ521" s="243">
        <v>30</v>
      </c>
      <c r="BA521" s="243">
        <v>40</v>
      </c>
      <c r="BE521" s="2396"/>
      <c r="BF521" s="2397"/>
      <c r="BG521" s="239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11" t="s">
        <v>136</v>
      </c>
      <c r="D522" s="2612"/>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1077</v>
      </c>
      <c r="AI522" s="27"/>
      <c r="AJ522" s="1158"/>
      <c r="AK522" s="1194"/>
      <c r="AL522" s="162"/>
      <c r="AM522" s="46"/>
      <c r="AN522" s="1134"/>
      <c r="AP522" s="2396"/>
      <c r="AQ522" s="2397"/>
      <c r="AR522" s="2398"/>
      <c r="AS522" s="242">
        <v>15</v>
      </c>
      <c r="AT522" s="46">
        <v>0</v>
      </c>
      <c r="AU522" s="243">
        <v>3.8</v>
      </c>
      <c r="AV522" s="243">
        <v>7.5</v>
      </c>
      <c r="AW522" s="243">
        <v>11.3</v>
      </c>
      <c r="AX522" s="243">
        <v>15</v>
      </c>
      <c r="AY522" s="243">
        <v>18.8</v>
      </c>
      <c r="AZ522" s="243">
        <v>22.5</v>
      </c>
      <c r="BA522" s="243">
        <v>30</v>
      </c>
      <c r="BE522" s="2396"/>
      <c r="BF522" s="2397"/>
      <c r="BG522" s="239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234"/>
      <c r="D523" s="1161"/>
      <c r="E523" s="1161"/>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99"/>
      <c r="AQ523" s="2400"/>
      <c r="AR523" s="2401"/>
      <c r="AS523" s="242">
        <v>10</v>
      </c>
      <c r="AT523" s="46">
        <v>0</v>
      </c>
      <c r="AU523" s="243">
        <v>2.5</v>
      </c>
      <c r="AV523" s="243">
        <v>5</v>
      </c>
      <c r="AW523" s="243">
        <v>7.5</v>
      </c>
      <c r="AX523" s="243">
        <v>10</v>
      </c>
      <c r="AY523" s="243">
        <v>12.5</v>
      </c>
      <c r="AZ523" s="243">
        <v>15</v>
      </c>
      <c r="BA523" s="243">
        <v>20</v>
      </c>
      <c r="BE523" s="2399"/>
      <c r="BF523" s="2400"/>
      <c r="BG523" s="240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611" t="s">
        <v>136</v>
      </c>
      <c r="D526" s="2612"/>
      <c r="E526" s="162"/>
      <c r="F526" s="792" t="s">
        <v>963</v>
      </c>
      <c r="G526" s="2378" t="s">
        <v>1086</v>
      </c>
      <c r="H526" s="2378"/>
      <c r="I526" s="2378"/>
      <c r="J526" s="2378"/>
      <c r="K526" s="2378"/>
      <c r="L526" s="2378"/>
      <c r="M526" s="2378"/>
      <c r="N526" s="2378"/>
      <c r="O526" s="2378"/>
      <c r="P526" s="2378"/>
      <c r="Q526" s="2378"/>
      <c r="R526" s="2378"/>
      <c r="S526" s="2378"/>
      <c r="T526" s="2378"/>
      <c r="U526" s="2378"/>
      <c r="V526" s="2378"/>
      <c r="W526" s="2378"/>
      <c r="X526" s="2378"/>
      <c r="Y526" s="2378"/>
      <c r="Z526" s="2378"/>
      <c r="AA526" s="2378"/>
      <c r="AB526" s="2378"/>
      <c r="AC526" s="2378"/>
      <c r="AD526" s="2378"/>
      <c r="AE526" s="2378"/>
      <c r="AF526" s="2378"/>
      <c r="AG526" s="175">
        <f>IF(AND($C$526="Yes",$C$517="Yes"),2,0)</f>
        <v>0</v>
      </c>
      <c r="AH526" s="1160" t="s">
        <v>1077</v>
      </c>
      <c r="AI526" s="27"/>
      <c r="AJ526" s="1158"/>
      <c r="AK526" s="1194"/>
      <c r="AL526" s="162"/>
      <c r="AN526" s="1135"/>
      <c r="AP526" s="253"/>
      <c r="AQ526" s="254"/>
      <c r="AR526" s="254"/>
      <c r="AS526" s="254"/>
      <c r="AT526" s="254"/>
      <c r="AU526" s="254"/>
      <c r="AV526" s="254"/>
      <c r="AW526" s="254"/>
      <c r="AX526" s="254"/>
      <c r="AY526" s="254"/>
      <c r="AZ526" s="255"/>
      <c r="BA526" s="254"/>
      <c r="BB526" s="254"/>
      <c r="BC526" s="138" t="s">
        <v>376</v>
      </c>
      <c r="BD526" s="2605">
        <f>BJ530</f>
        <v>49</v>
      </c>
      <c r="BE526" s="2605"/>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9"/>
      <c r="D527" s="1242"/>
      <c r="E527" s="1224"/>
      <c r="F527" s="1250"/>
      <c r="G527" s="2613"/>
      <c r="H527" s="2613"/>
      <c r="I527" s="2613"/>
      <c r="J527" s="2613"/>
      <c r="K527" s="2613"/>
      <c r="L527" s="2613"/>
      <c r="M527" s="2613"/>
      <c r="N527" s="2613"/>
      <c r="O527" s="2613"/>
      <c r="P527" s="2613"/>
      <c r="Q527" s="2613"/>
      <c r="R527" s="2613"/>
      <c r="S527" s="2613"/>
      <c r="T527" s="2613"/>
      <c r="U527" s="2613"/>
      <c r="V527" s="2613"/>
      <c r="W527" s="2613"/>
      <c r="X527" s="2613"/>
      <c r="Y527" s="2613"/>
      <c r="Z527" s="2613"/>
      <c r="AA527" s="2613"/>
      <c r="AB527" s="2613"/>
      <c r="AC527" s="2613"/>
      <c r="AD527" s="2613"/>
      <c r="AE527" s="2613"/>
      <c r="AF527" s="2613"/>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378</v>
      </c>
      <c r="BD527" s="2605">
        <f>SUM(E583:J591)</f>
        <v>49</v>
      </c>
      <c r="BE527" s="260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7">
        <v>0</v>
      </c>
      <c r="BK528" s="259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4" t="s">
        <v>2074</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7">
        <f>Application!AG431</f>
        <v>0</v>
      </c>
      <c r="BK529" s="2598"/>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95" t="s">
        <v>136</v>
      </c>
      <c r="D530" s="1699"/>
      <c r="E530" s="791" t="s">
        <v>1393</v>
      </c>
      <c r="F530" s="892" t="s">
        <v>1489</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1077</v>
      </c>
      <c r="AI530" s="27"/>
      <c r="AJ530" s="27"/>
      <c r="AK530" s="1194"/>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7">
        <f>Application!AG433</f>
        <v>49</v>
      </c>
      <c r="BK530" s="2598"/>
      <c r="BM530" s="2455"/>
      <c r="BN530" s="2456"/>
      <c r="BO530" s="2455"/>
      <c r="BP530" s="2456"/>
      <c r="BQ530" s="2470"/>
      <c r="BR530" s="2472"/>
      <c r="BS530" s="2470"/>
      <c r="BT530" s="2472"/>
      <c r="BU530" s="2455">
        <f>IF(T610&gt;0,1,0)</f>
        <v>1</v>
      </c>
      <c r="BV530" s="2456"/>
      <c r="BW530" s="2455">
        <f>IF(Y610&gt;=0.1,1,0)</f>
        <v>1</v>
      </c>
      <c r="BX530" s="2456"/>
      <c r="BY530" s="2470"/>
      <c r="BZ530" s="2472"/>
      <c r="CA530" s="2470"/>
      <c r="CB530" s="2472"/>
      <c r="CC530" s="2455"/>
      <c r="CD530" s="2456"/>
      <c r="CE530" s="2455"/>
      <c r="CF530" s="2456"/>
      <c r="CG530" s="16"/>
      <c r="CH530" s="16"/>
      <c r="CI530" s="16"/>
      <c r="CJ530" s="16"/>
    </row>
    <row r="531" spans="1:101" s="46" customFormat="1" ht="12.75" hidden="1" customHeight="1">
      <c r="A531" s="28"/>
      <c r="C531" s="1248"/>
      <c r="D531" s="153"/>
      <c r="E531" s="225"/>
      <c r="F531" s="1995" t="s">
        <v>136</v>
      </c>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27"/>
      <c r="AH531" s="27"/>
      <c r="AI531" s="27"/>
      <c r="AJ531" s="27"/>
      <c r="AK531" s="1194"/>
      <c r="AL531" s="162"/>
      <c r="AN531" s="439"/>
      <c r="BM531" s="2455"/>
      <c r="BN531" s="2456"/>
      <c r="BO531" s="2455"/>
      <c r="BP531" s="2456"/>
      <c r="BQ531" s="2470"/>
      <c r="BR531" s="2472"/>
      <c r="BS531" s="2470"/>
      <c r="BT531" s="2472"/>
      <c r="BU531" s="2455"/>
      <c r="BV531" s="2456"/>
      <c r="BW531" s="2455"/>
      <c r="BX531" s="2456"/>
      <c r="BY531" s="2506">
        <f>IF(T611&gt;0,1,0)</f>
        <v>1</v>
      </c>
      <c r="BZ531" s="2508"/>
      <c r="CA531" s="2506">
        <f>IF(Y611&gt;=0.1,1,0)</f>
        <v>1</v>
      </c>
      <c r="CB531" s="2508"/>
      <c r="CC531" s="2455"/>
      <c r="CD531" s="2456"/>
      <c r="CE531" s="2455"/>
      <c r="CF531" s="2456"/>
      <c r="CG531" s="16"/>
      <c r="CH531" s="16"/>
      <c r="CI531" s="16"/>
      <c r="CJ531" s="16"/>
      <c r="CW531" s="16"/>
    </row>
    <row r="532" spans="1:101" s="46" customFormat="1" ht="12.75" hidden="1" customHeight="1">
      <c r="A532" s="28"/>
      <c r="C532" s="1249"/>
      <c r="D532" s="1204"/>
      <c r="E532" s="1224"/>
      <c r="F532" s="2402"/>
      <c r="G532" s="2402"/>
      <c r="H532" s="2402"/>
      <c r="I532" s="2402"/>
      <c r="J532" s="2402"/>
      <c r="K532" s="2402"/>
      <c r="L532" s="2402"/>
      <c r="M532" s="2402"/>
      <c r="N532" s="2402"/>
      <c r="O532" s="2402"/>
      <c r="P532" s="2402"/>
      <c r="Q532" s="2402"/>
      <c r="R532" s="2402"/>
      <c r="S532" s="2402"/>
      <c r="T532" s="2402"/>
      <c r="U532" s="2402"/>
      <c r="V532" s="2402"/>
      <c r="W532" s="2402"/>
      <c r="X532" s="2402"/>
      <c r="Y532" s="2402"/>
      <c r="Z532" s="2402"/>
      <c r="AA532" s="2402"/>
      <c r="AB532" s="2402"/>
      <c r="AC532" s="2402"/>
      <c r="AD532" s="2402"/>
      <c r="AE532" s="2402"/>
      <c r="AF532" s="2402"/>
      <c r="AG532" s="1226"/>
      <c r="AH532" s="1226"/>
      <c r="AI532" s="1226"/>
      <c r="AJ532" s="1226"/>
      <c r="AK532" s="1205"/>
      <c r="AL532" s="162"/>
      <c r="AN532" s="439"/>
      <c r="BM532" s="2455"/>
      <c r="BN532" s="2456"/>
      <c r="BO532" s="2455"/>
      <c r="BP532" s="2456"/>
      <c r="BQ532" s="2470"/>
      <c r="BR532" s="2472"/>
      <c r="BS532" s="2470"/>
      <c r="BT532" s="2472"/>
      <c r="BU532" s="2455"/>
      <c r="BV532" s="2456"/>
      <c r="BW532" s="2455"/>
      <c r="BX532" s="2456"/>
      <c r="BY532" s="2470"/>
      <c r="BZ532" s="2472"/>
      <c r="CA532" s="2470"/>
      <c r="CB532" s="2472"/>
      <c r="CC532" s="2455">
        <f>IF(T612&gt;0,1,0)</f>
        <v>0</v>
      </c>
      <c r="CD532" s="2456"/>
      <c r="CE532" s="2455">
        <f>IF(Y612&gt;=0.1,1,0)</f>
        <v>0</v>
      </c>
      <c r="CF532" s="2456"/>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5">
        <f>SUM(BM528:BN532)</f>
        <v>0</v>
      </c>
      <c r="BN533" s="2456"/>
      <c r="BO533" s="2455">
        <f>SUM(BO528:BP532)</f>
        <v>0</v>
      </c>
      <c r="BP533" s="2456"/>
      <c r="BQ533" s="2455">
        <f>SUM(BQ528:BR532)</f>
        <v>0</v>
      </c>
      <c r="BR533" s="2456"/>
      <c r="BS533" s="2455">
        <f>SUM(BS528:BT532)</f>
        <v>0</v>
      </c>
      <c r="BT533" s="2456"/>
      <c r="BU533" s="2455">
        <f>SUM(BU528:BV532)</f>
        <v>1</v>
      </c>
      <c r="BV533" s="2456"/>
      <c r="BW533" s="2455">
        <f>SUM(BW528:BX532)</f>
        <v>1</v>
      </c>
      <c r="BX533" s="2456"/>
      <c r="BY533" s="2455">
        <f>SUM(BY528:BZ532)</f>
        <v>1</v>
      </c>
      <c r="BZ533" s="2456"/>
      <c r="CA533" s="2455">
        <f>SUM(CA528:CB532)</f>
        <v>1</v>
      </c>
      <c r="CB533" s="2456"/>
      <c r="CC533" s="2455">
        <f>SUM(CC528:CD532)</f>
        <v>0</v>
      </c>
      <c r="CD533" s="2456"/>
      <c r="CE533" s="2455">
        <f>SUM(CE528:CF532)</f>
        <v>0</v>
      </c>
      <c r="CF533" s="2456"/>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602" t="s">
        <v>504</v>
      </c>
      <c r="AQ534" s="2603"/>
      <c r="AR534" s="2603"/>
      <c r="AS534" s="2603"/>
      <c r="AT534" s="2604"/>
      <c r="AU534" s="2602" t="s">
        <v>505</v>
      </c>
      <c r="AV534" s="2603"/>
      <c r="AW534" s="2603"/>
      <c r="AX534" s="2603"/>
      <c r="AY534" s="2604"/>
      <c r="BM534" s="2470">
        <f>SUM(BM533:BP533)</f>
        <v>0</v>
      </c>
      <c r="BN534" s="2471"/>
      <c r="BO534" s="2471"/>
      <c r="BP534" s="2472"/>
      <c r="BQ534" s="2470">
        <f>SUM(BQ533:BT533)</f>
        <v>0</v>
      </c>
      <c r="BR534" s="2471"/>
      <c r="BS534" s="2471"/>
      <c r="BT534" s="2472"/>
      <c r="BU534" s="2470">
        <f>SUM(BU533:BX533)</f>
        <v>2</v>
      </c>
      <c r="BV534" s="2471"/>
      <c r="BW534" s="2471"/>
      <c r="BX534" s="2472"/>
      <c r="BY534" s="2470">
        <f>SUM(BY533:CB533)</f>
        <v>2</v>
      </c>
      <c r="BZ534" s="2471"/>
      <c r="CA534" s="2471"/>
      <c r="CB534" s="2472"/>
      <c r="CC534" s="2470">
        <f>SUM(CC533:CF533)</f>
        <v>0</v>
      </c>
      <c r="CD534" s="2471"/>
      <c r="CE534" s="2471"/>
      <c r="CF534" s="2472"/>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9">
        <f>RANK(T608,$T$608:$X$612,0)+COUNTIF($T$608:$X$612,T608)-1</f>
        <v>5</v>
      </c>
      <c r="AQ535" s="2600"/>
      <c r="AR535" s="2600"/>
      <c r="AS535" s="2600"/>
      <c r="AT535" s="2601"/>
      <c r="AU535" s="2599">
        <f>RANK(Y608,$Y$608:$AC$612,0)+COUNTIF($Y$608:$AC$612,Y608)-1</f>
        <v>5</v>
      </c>
      <c r="AV535" s="2600"/>
      <c r="AW535" s="2600"/>
      <c r="AX535" s="2600"/>
      <c r="AY535" s="2601"/>
      <c r="BM535" s="2470"/>
      <c r="BN535" s="2471"/>
      <c r="BO535" s="2471"/>
      <c r="BP535" s="2472"/>
      <c r="BQ535" s="2470">
        <f>IF(AND(BQ534=2,BM534=1),1,0)</f>
        <v>0</v>
      </c>
      <c r="BR535" s="2471"/>
      <c r="BS535" s="2471"/>
      <c r="BT535" s="2472"/>
      <c r="BU535" s="2470">
        <f>IF(AND(BU534=2,BQ534=1),1,0)</f>
        <v>0</v>
      </c>
      <c r="BV535" s="2471"/>
      <c r="BW535" s="2471"/>
      <c r="BX535" s="2472"/>
      <c r="BY535" s="2470">
        <f>IF(AND(BY534=2,BU534=1),1,0)</f>
        <v>0</v>
      </c>
      <c r="BZ535" s="2471"/>
      <c r="CA535" s="2471"/>
      <c r="CB535" s="2472"/>
      <c r="CC535" s="2470">
        <f>IF(AND(CC534=2,BU534=1),1,0)</f>
        <v>0</v>
      </c>
      <c r="CD535" s="2471"/>
      <c r="CE535" s="2471"/>
      <c r="CF535" s="2472"/>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9">
        <f>RANK(T609,$T$608:$X$612,0)+COUNTIF($T$608:$X$612,T609)-1</f>
        <v>5</v>
      </c>
      <c r="AQ536" s="2600"/>
      <c r="AR536" s="2600"/>
      <c r="AS536" s="2600"/>
      <c r="AT536" s="2601"/>
      <c r="AU536" s="2599">
        <f>RANK(Y609,$Y$608:$AC$612,0)+COUNTIF($Y$608:$AC$612,Y609)-1</f>
        <v>5</v>
      </c>
      <c r="AV536" s="2600"/>
      <c r="AW536" s="2600"/>
      <c r="AX536" s="2600"/>
      <c r="AY536" s="2601"/>
      <c r="BM536" s="2470"/>
      <c r="BN536" s="2471"/>
      <c r="BO536" s="2471"/>
      <c r="BP536" s="2472"/>
      <c r="BQ536" s="2470"/>
      <c r="BR536" s="2471"/>
      <c r="BS536" s="2471"/>
      <c r="BT536" s="2472"/>
      <c r="BU536" s="2470">
        <f>IF(AND(BU534=2,BM534=1),1,0)</f>
        <v>0</v>
      </c>
      <c r="BV536" s="2471"/>
      <c r="BW536" s="2471"/>
      <c r="BX536" s="2472"/>
      <c r="BY536" s="2470">
        <f>IF(AND(BY534=2,BQ534=1),1,0)</f>
        <v>0</v>
      </c>
      <c r="BZ536" s="2471"/>
      <c r="CA536" s="2471"/>
      <c r="CB536" s="2472"/>
      <c r="CC536" s="2470">
        <f>IF(AND(CC535=2,BY535=1),1,0)</f>
        <v>0</v>
      </c>
      <c r="CD536" s="2471"/>
      <c r="CE536" s="2471"/>
      <c r="CF536" s="2472"/>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9">
        <f>RANK(T610,$T$608:$X$612,0)+COUNTIF($T$608:$X$612,T610)-1</f>
        <v>2</v>
      </c>
      <c r="AQ537" s="2600"/>
      <c r="AR537" s="2600"/>
      <c r="AS537" s="2600"/>
      <c r="AT537" s="2601"/>
      <c r="AU537" s="2599">
        <f>RANK(Y610,$Y$608:$AC$612,0)+COUNTIF($Y$608:$AC$612,Y610)-1</f>
        <v>2</v>
      </c>
      <c r="AV537" s="2600"/>
      <c r="AW537" s="2600"/>
      <c r="AX537" s="2600"/>
      <c r="AY537" s="2601"/>
      <c r="BM537" s="2470"/>
      <c r="BN537" s="2471"/>
      <c r="BO537" s="2471"/>
      <c r="BP537" s="2472"/>
      <c r="BQ537" s="2470"/>
      <c r="BR537" s="2471"/>
      <c r="BS537" s="2471"/>
      <c r="BT537" s="2472"/>
      <c r="BU537" s="2470"/>
      <c r="BV537" s="2471"/>
      <c r="BW537" s="2471"/>
      <c r="BX537" s="2472"/>
      <c r="BY537" s="2470">
        <f>IF(AND(BY534=2,BM534=1),1,0)</f>
        <v>0</v>
      </c>
      <c r="BZ537" s="2471"/>
      <c r="CA537" s="2471"/>
      <c r="CB537" s="2472"/>
      <c r="CC537" s="2470">
        <f>IF(AND(CC534=2,BQ534=1),1,0)</f>
        <v>0</v>
      </c>
      <c r="CD537" s="2471"/>
      <c r="CE537" s="2471"/>
      <c r="CF537" s="2472"/>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9">
        <f>RANK(T611,$T$608:$X$612,0)+COUNTIF($T$608:$X$612,T611)-1</f>
        <v>1</v>
      </c>
      <c r="AQ538" s="2600"/>
      <c r="AR538" s="2600"/>
      <c r="AS538" s="2600"/>
      <c r="AT538" s="2601"/>
      <c r="AU538" s="2599">
        <f>RANK(Y611,$Y$608:$AC$612,0)+COUNTIF($Y$608:$AC$612,Y611)-1</f>
        <v>1</v>
      </c>
      <c r="AV538" s="2600"/>
      <c r="AW538" s="2600"/>
      <c r="AX538" s="2600"/>
      <c r="AY538" s="2601"/>
      <c r="BM538" s="2470"/>
      <c r="BN538" s="2471"/>
      <c r="BO538" s="2471"/>
      <c r="BP538" s="2472"/>
      <c r="BQ538" s="2470"/>
      <c r="BR538" s="2471"/>
      <c r="BS538" s="2471"/>
      <c r="BT538" s="2472"/>
      <c r="BU538" s="2470"/>
      <c r="BV538" s="2471"/>
      <c r="BW538" s="2471"/>
      <c r="BX538" s="2472"/>
      <c r="BY538" s="2470"/>
      <c r="BZ538" s="2471"/>
      <c r="CA538" s="2471"/>
      <c r="CB538" s="2472"/>
      <c r="CC538" s="2470">
        <f>IF(AND(CC534=2,BM534=1),1,0)</f>
        <v>0</v>
      </c>
      <c r="CD538" s="2471"/>
      <c r="CE538" s="2471"/>
      <c r="CF538" s="2472"/>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9">
        <f>RANK(T612,$T$608:$X$612,0)+COUNTIF($T$608:$X$612,T612)-1</f>
        <v>5</v>
      </c>
      <c r="AQ539" s="2600"/>
      <c r="AR539" s="2600"/>
      <c r="AS539" s="2600"/>
      <c r="AT539" s="2601"/>
      <c r="AU539" s="2599">
        <f>RANK(Y612,$Y$608:$AC$612,0)+COUNTIF($Y$608:$AC$612,Y612)-1</f>
        <v>5</v>
      </c>
      <c r="AV539" s="2600"/>
      <c r="AW539" s="2600"/>
      <c r="AX539" s="2600"/>
      <c r="AY539" s="2601"/>
      <c r="BM539" s="2470">
        <f>SUM(BM535:BP538)</f>
        <v>0</v>
      </c>
      <c r="BN539" s="2471"/>
      <c r="BO539" s="2471"/>
      <c r="BP539" s="2472"/>
      <c r="BQ539" s="2470">
        <f>SUM(BQ535:BT538)</f>
        <v>0</v>
      </c>
      <c r="BR539" s="2471"/>
      <c r="BS539" s="2471"/>
      <c r="BT539" s="2472"/>
      <c r="BU539" s="2470">
        <f>SUM(BU535:BX538)</f>
        <v>0</v>
      </c>
      <c r="BV539" s="2471"/>
      <c r="BW539" s="2471"/>
      <c r="BX539" s="2472"/>
      <c r="BY539" s="2470">
        <f>SUM(BY535:CB538)</f>
        <v>0</v>
      </c>
      <c r="BZ539" s="2471"/>
      <c r="CA539" s="2471"/>
      <c r="CB539" s="2472"/>
      <c r="CC539" s="2470">
        <f>SUM(CC535:CF538)</f>
        <v>0</v>
      </c>
      <c r="CD539" s="2471"/>
      <c r="CE539" s="2471"/>
      <c r="CF539" s="2472"/>
      <c r="CG539" s="2470">
        <f>SUM(BM539:CF539)</f>
        <v>0</v>
      </c>
      <c r="CH539" s="2471"/>
      <c r="CI539" s="2471"/>
      <c r="CJ539" s="2472"/>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196</v>
      </c>
      <c r="AK542" s="2365">
        <f>SUM(AG486:AG531)</f>
        <v>0</v>
      </c>
      <c r="AL542" s="2366"/>
      <c r="AM542" s="2367"/>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55">
        <f>SUM(O608:S612)</f>
        <v>49</v>
      </c>
      <c r="AZ543" s="2456"/>
      <c r="CG543" s="35"/>
      <c r="CH543" s="2505" t="s">
        <v>847</v>
      </c>
      <c r="CI543" s="2155"/>
      <c r="CJ543" s="2155"/>
      <c r="CK543" s="215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55" t="str">
        <f>IF(AY543=BK570,"passed","failed")</f>
        <v>passed</v>
      </c>
      <c r="AT544" s="2461"/>
      <c r="AU544" s="2456"/>
      <c r="AV544" s="233"/>
      <c r="AW544" s="233"/>
      <c r="AX544" s="233"/>
      <c r="AY544" s="233"/>
      <c r="AZ544" s="234"/>
      <c r="CG544" s="35"/>
      <c r="CH544" s="2157"/>
      <c r="CI544" s="2158"/>
      <c r="CJ544" s="2158"/>
      <c r="CK544" s="2159"/>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0" t="s">
        <v>409</v>
      </c>
      <c r="AF545" s="2420"/>
      <c r="AG545" s="2420"/>
      <c r="AH545" s="2420"/>
      <c r="AI545" s="2420"/>
      <c r="AJ545" s="2420"/>
      <c r="AK545" s="2420"/>
      <c r="AL545" s="1300"/>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157"/>
      <c r="CI545" s="2158"/>
      <c r="CJ545" s="2158"/>
      <c r="CK545" s="2159"/>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199</v>
      </c>
      <c r="AH546" s="2368"/>
      <c r="AI546" s="2368"/>
      <c r="AJ546" s="2368"/>
      <c r="AK546" s="26"/>
      <c r="AL546" s="1300"/>
      <c r="AM546" s="65"/>
      <c r="AN546" s="439"/>
      <c r="BE546" s="2470" t="s">
        <v>249</v>
      </c>
      <c r="BF546" s="2471"/>
      <c r="BG546" s="2471"/>
      <c r="BH546" s="2472"/>
      <c r="BI546" s="2470" t="s">
        <v>782</v>
      </c>
      <c r="BJ546" s="2471"/>
      <c r="BK546" s="2471"/>
      <c r="BL546" s="2472"/>
      <c r="BM546" s="2470" t="s">
        <v>783</v>
      </c>
      <c r="BN546" s="2471"/>
      <c r="BO546" s="2471"/>
      <c r="BP546" s="2472"/>
      <c r="BQ546" s="2470" t="s">
        <v>784</v>
      </c>
      <c r="BR546" s="2471"/>
      <c r="BS546" s="2471"/>
      <c r="BT546" s="2472"/>
      <c r="BU546" s="2470" t="s">
        <v>785</v>
      </c>
      <c r="BV546" s="2471"/>
      <c r="BW546" s="2471"/>
      <c r="BX546" s="2472"/>
      <c r="BY546" s="2470" t="s">
        <v>250</v>
      </c>
      <c r="BZ546" s="2471"/>
      <c r="CA546" s="2471"/>
      <c r="CB546" s="2472"/>
      <c r="CC546" s="16"/>
      <c r="CG546" s="16"/>
      <c r="CH546" s="2157"/>
      <c r="CI546" s="2158"/>
      <c r="CJ546" s="2158"/>
      <c r="CK546" s="2159"/>
    </row>
    <row r="547" spans="1:89" s="46" customFormat="1" ht="12.75" customHeight="1">
      <c r="A547" s="152"/>
      <c r="B547" s="2580" t="s">
        <v>1935</v>
      </c>
      <c r="C547" s="2580"/>
      <c r="D547" s="2580"/>
      <c r="E547" s="2580"/>
      <c r="F547" s="2580"/>
      <c r="G547" s="2580"/>
      <c r="H547" s="2580"/>
      <c r="I547" s="2580"/>
      <c r="J547" s="2580"/>
      <c r="K547" s="2580"/>
      <c r="L547" s="2580"/>
      <c r="M547" s="2580"/>
      <c r="N547" s="2580"/>
      <c r="O547" s="2580"/>
      <c r="P547" s="2580"/>
      <c r="Q547" s="2580"/>
      <c r="R547" s="2580"/>
      <c r="S547" s="2580"/>
      <c r="T547" s="2580"/>
      <c r="U547" s="2580"/>
      <c r="V547" s="2580"/>
      <c r="W547" s="2580"/>
      <c r="X547" s="2580"/>
      <c r="Y547" s="2580"/>
      <c r="Z547" s="2580"/>
      <c r="AA547" s="2580"/>
      <c r="AB547" s="2580"/>
      <c r="AC547" s="2580"/>
      <c r="AD547" s="2580"/>
      <c r="AE547" s="2580"/>
      <c r="AF547" s="2580"/>
      <c r="AG547" s="2580"/>
      <c r="AK547" s="65"/>
      <c r="AL547" s="65"/>
      <c r="AM547" s="153"/>
      <c r="AN547" s="439"/>
      <c r="AP547" s="690" t="s">
        <v>678</v>
      </c>
      <c r="AQ547" s="691"/>
      <c r="AR547" s="691"/>
      <c r="AS547" s="691"/>
      <c r="AT547" s="691"/>
      <c r="AU547" s="691"/>
      <c r="AV547" s="692"/>
      <c r="AW547" s="691"/>
      <c r="AX547" s="691"/>
      <c r="AY547" s="692"/>
      <c r="BE547" s="2455">
        <f>IF(CH548=1,0,1)</f>
        <v>0</v>
      </c>
      <c r="BF547" s="2461"/>
      <c r="BG547" s="2461"/>
      <c r="BH547" s="2456"/>
      <c r="BI547" s="2455"/>
      <c r="BJ547" s="2461"/>
      <c r="BK547" s="2461"/>
      <c r="BL547" s="2456"/>
      <c r="BM547" s="2455"/>
      <c r="BN547" s="2461"/>
      <c r="BO547" s="2461"/>
      <c r="BP547" s="2456"/>
      <c r="BQ547" s="2455"/>
      <c r="BR547" s="2461"/>
      <c r="BS547" s="2461"/>
      <c r="BT547" s="2456"/>
      <c r="BU547" s="2506"/>
      <c r="BV547" s="2507"/>
      <c r="BW547" s="2507"/>
      <c r="BX547" s="2508"/>
      <c r="BY547" s="2506"/>
      <c r="BZ547" s="2507"/>
      <c r="CA547" s="2507"/>
      <c r="CB547" s="2508"/>
      <c r="CC547" s="16"/>
      <c r="CG547" s="16"/>
      <c r="CH547" s="2166"/>
      <c r="CI547" s="2167"/>
      <c r="CJ547" s="2167"/>
      <c r="CK547" s="2168"/>
    </row>
    <row r="548" spans="1:89" s="46" customFormat="1" ht="12.75" customHeight="1">
      <c r="A548" s="29"/>
      <c r="B548" s="2580"/>
      <c r="C548" s="2580"/>
      <c r="D548" s="2580"/>
      <c r="E548" s="2580"/>
      <c r="F548" s="2580"/>
      <c r="G548" s="2580"/>
      <c r="H548" s="2580"/>
      <c r="I548" s="2580"/>
      <c r="J548" s="2580"/>
      <c r="K548" s="2580"/>
      <c r="L548" s="2580"/>
      <c r="M548" s="2580"/>
      <c r="N548" s="2580"/>
      <c r="O548" s="2580"/>
      <c r="P548" s="2580"/>
      <c r="Q548" s="2580"/>
      <c r="R548" s="2580"/>
      <c r="S548" s="2580"/>
      <c r="T548" s="2580"/>
      <c r="U548" s="2580"/>
      <c r="V548" s="2580"/>
      <c r="W548" s="2580"/>
      <c r="X548" s="2580"/>
      <c r="Y548" s="2580"/>
      <c r="Z548" s="2580"/>
      <c r="AA548" s="2580"/>
      <c r="AB548" s="2580"/>
      <c r="AC548" s="2580"/>
      <c r="AD548" s="2580"/>
      <c r="AE548" s="2580"/>
      <c r="AF548" s="2580"/>
      <c r="AG548" s="2580"/>
      <c r="AK548" s="246"/>
      <c r="AL548" s="246"/>
      <c r="AM548" s="246"/>
      <c r="AN548" s="439"/>
      <c r="AP548" s="693" t="s">
        <v>676</v>
      </c>
      <c r="AQ548" s="694"/>
      <c r="AR548" s="694"/>
      <c r="AS548" s="694"/>
      <c r="AT548" s="694"/>
      <c r="AU548" s="2495">
        <f>ROUNDUP(BK570*0.1,0)</f>
        <v>5</v>
      </c>
      <c r="AV548" s="2497"/>
      <c r="AW548" s="694"/>
      <c r="AX548" s="694">
        <f>AU548-AP550</f>
        <v>-5</v>
      </c>
      <c r="AY548" s="695"/>
      <c r="BE548" s="2455"/>
      <c r="BF548" s="2461"/>
      <c r="BG548" s="2461"/>
      <c r="BH548" s="2456"/>
      <c r="BI548" s="2455">
        <f>IF(AND(CH549=1,BE547=0),0,1)</f>
        <v>0</v>
      </c>
      <c r="BJ548" s="2461"/>
      <c r="BK548" s="2461"/>
      <c r="BL548" s="2456"/>
      <c r="BM548" s="2455"/>
      <c r="BN548" s="2461"/>
      <c r="BO548" s="2461"/>
      <c r="BP548" s="2456"/>
      <c r="BQ548" s="2455"/>
      <c r="BR548" s="2461"/>
      <c r="BS548" s="2461"/>
      <c r="BT548" s="2456"/>
      <c r="BU548" s="2506"/>
      <c r="BV548" s="2507"/>
      <c r="BW548" s="2507"/>
      <c r="BX548" s="2508"/>
      <c r="BY548" s="2506"/>
      <c r="BZ548" s="2507"/>
      <c r="CA548" s="2507"/>
      <c r="CB548" s="2508"/>
      <c r="CC548" s="16"/>
      <c r="CG548" s="16"/>
      <c r="CH548" s="2470">
        <f>IF(OR(Y608=0,Y608&gt;=0.1),1,0)</f>
        <v>1</v>
      </c>
      <c r="CI548" s="2471"/>
      <c r="CJ548" s="2471"/>
      <c r="CK548" s="2472"/>
    </row>
    <row r="549" spans="1:89" s="46" customFormat="1" ht="12.75" customHeight="1">
      <c r="A549" s="28"/>
      <c r="B549" s="2580"/>
      <c r="C549" s="2580"/>
      <c r="D549" s="2580"/>
      <c r="E549" s="2580"/>
      <c r="F549" s="2580"/>
      <c r="G549" s="2580"/>
      <c r="H549" s="2580"/>
      <c r="I549" s="2580"/>
      <c r="J549" s="2580"/>
      <c r="K549" s="2580"/>
      <c r="L549" s="2580"/>
      <c r="M549" s="2580"/>
      <c r="N549" s="2580"/>
      <c r="O549" s="2580"/>
      <c r="P549" s="2580"/>
      <c r="Q549" s="2580"/>
      <c r="R549" s="2580"/>
      <c r="S549" s="2580"/>
      <c r="T549" s="2580"/>
      <c r="U549" s="2580"/>
      <c r="V549" s="2580"/>
      <c r="W549" s="2580"/>
      <c r="X549" s="2580"/>
      <c r="Y549" s="2580"/>
      <c r="Z549" s="2580"/>
      <c r="AA549" s="2580"/>
      <c r="AB549" s="2580"/>
      <c r="AC549" s="2580"/>
      <c r="AD549" s="2580"/>
      <c r="AE549" s="2580"/>
      <c r="AF549" s="2580"/>
      <c r="AG549" s="2580"/>
      <c r="AH549" s="245"/>
      <c r="AI549" s="245"/>
      <c r="AJ549" s="245"/>
      <c r="AK549" s="246"/>
      <c r="AL549" s="246"/>
      <c r="AM549" s="246"/>
      <c r="AN549" s="439"/>
      <c r="AP549" s="693"/>
      <c r="AQ549" s="694"/>
      <c r="AR549" s="694"/>
      <c r="AS549" s="694"/>
      <c r="AT549" s="694"/>
      <c r="AU549" s="694"/>
      <c r="AV549" s="695"/>
      <c r="AW549" s="694"/>
      <c r="AX549" s="694"/>
      <c r="AY549" s="695"/>
      <c r="BE549" s="2455"/>
      <c r="BF549" s="2461"/>
      <c r="BG549" s="2461"/>
      <c r="BH549" s="2456"/>
      <c r="BI549" s="2455"/>
      <c r="BJ549" s="2461"/>
      <c r="BK549" s="2461"/>
      <c r="BL549" s="2456"/>
      <c r="BM549" s="2455">
        <f>IF(AND(AND(CH550=1,BI548=0,BE547=0)),0,1)</f>
        <v>0</v>
      </c>
      <c r="BN549" s="2461"/>
      <c r="BO549" s="2461"/>
      <c r="BP549" s="2456"/>
      <c r="BQ549" s="2455"/>
      <c r="BR549" s="2461"/>
      <c r="BS549" s="2461"/>
      <c r="BT549" s="2456"/>
      <c r="BU549" s="2506"/>
      <c r="BV549" s="2507"/>
      <c r="BW549" s="2507"/>
      <c r="BX549" s="2508"/>
      <c r="BY549" s="2506"/>
      <c r="BZ549" s="2507"/>
      <c r="CA549" s="2507"/>
      <c r="CB549" s="2508"/>
      <c r="CC549" s="16"/>
      <c r="CG549" s="16"/>
      <c r="CH549" s="2470">
        <f>IF(OR(Y609=0,Y609&gt;=0.1),1,0)</f>
        <v>1</v>
      </c>
      <c r="CI549" s="2471"/>
      <c r="CJ549" s="2471"/>
      <c r="CK549" s="2472"/>
    </row>
    <row r="550" spans="1:89" s="46" customFormat="1" ht="12.75" customHeight="1">
      <c r="A550" s="28"/>
      <c r="B550" s="2580"/>
      <c r="C550" s="2580"/>
      <c r="D550" s="2580"/>
      <c r="E550" s="2580"/>
      <c r="F550" s="2580"/>
      <c r="G550" s="2580"/>
      <c r="H550" s="2580"/>
      <c r="I550" s="2580"/>
      <c r="J550" s="2580"/>
      <c r="K550" s="2580"/>
      <c r="L550" s="2580"/>
      <c r="M550" s="2580"/>
      <c r="N550" s="2580"/>
      <c r="O550" s="2580"/>
      <c r="P550" s="2580"/>
      <c r="Q550" s="2580"/>
      <c r="R550" s="2580"/>
      <c r="S550" s="2580"/>
      <c r="T550" s="2580"/>
      <c r="U550" s="2580"/>
      <c r="V550" s="2580"/>
      <c r="W550" s="2580"/>
      <c r="X550" s="2580"/>
      <c r="Y550" s="2580"/>
      <c r="Z550" s="2580"/>
      <c r="AA550" s="2580"/>
      <c r="AB550" s="2580"/>
      <c r="AC550" s="2580"/>
      <c r="AD550" s="2580"/>
      <c r="AE550" s="2580"/>
      <c r="AF550" s="2580"/>
      <c r="AG550" s="2580"/>
      <c r="AH550" s="245"/>
      <c r="AI550" s="245"/>
      <c r="AJ550" s="245"/>
      <c r="AK550" s="246"/>
      <c r="AL550" s="246"/>
      <c r="AM550" s="246"/>
      <c r="AN550" s="439"/>
      <c r="AP550" s="2582">
        <f>SUM(T608:X612)</f>
        <v>10</v>
      </c>
      <c r="AQ550" s="2583"/>
      <c r="AR550" s="2583"/>
      <c r="AS550" s="2583"/>
      <c r="AT550" s="2584"/>
      <c r="AU550" s="694"/>
      <c r="AV550" s="695"/>
      <c r="AW550" s="694"/>
      <c r="AX550" s="694"/>
      <c r="AY550" s="695"/>
      <c r="BE550" s="2455"/>
      <c r="BF550" s="2461"/>
      <c r="BG550" s="2461"/>
      <c r="BH550" s="2456"/>
      <c r="BI550" s="2455"/>
      <c r="BJ550" s="2461"/>
      <c r="BK550" s="2461"/>
      <c r="BL550" s="2456"/>
      <c r="BM550" s="2455"/>
      <c r="BN550" s="2461"/>
      <c r="BO550" s="2461"/>
      <c r="BP550" s="2456"/>
      <c r="BQ550" s="2455">
        <f>IF(AND(AND(AND(CH551=1,BM549=0,BI548=0,BE547=0))),0,1)</f>
        <v>0</v>
      </c>
      <c r="BR550" s="2461"/>
      <c r="BS550" s="2461"/>
      <c r="BT550" s="2456"/>
      <c r="BU550" s="2506"/>
      <c r="BV550" s="2507"/>
      <c r="BW550" s="2507"/>
      <c r="BX550" s="2508"/>
      <c r="BY550" s="2506"/>
      <c r="BZ550" s="2507"/>
      <c r="CA550" s="2507"/>
      <c r="CB550" s="2508"/>
      <c r="CC550" s="16"/>
      <c r="CG550" s="16"/>
      <c r="CH550" s="2470">
        <f>IF(OR(Y610=0,Y610&gt;=0.1),1,0)</f>
        <v>1</v>
      </c>
      <c r="CI550" s="2471"/>
      <c r="CJ550" s="2471"/>
      <c r="CK550" s="2472"/>
    </row>
    <row r="551" spans="1:89" s="46" customFormat="1" ht="12.75" customHeight="1">
      <c r="A551" s="28"/>
      <c r="B551" s="2580"/>
      <c r="C551" s="2580"/>
      <c r="D551" s="2580"/>
      <c r="E551" s="2580"/>
      <c r="F551" s="2580"/>
      <c r="G551" s="2580"/>
      <c r="H551" s="2580"/>
      <c r="I551" s="2580"/>
      <c r="J551" s="2580"/>
      <c r="K551" s="2580"/>
      <c r="L551" s="2580"/>
      <c r="M551" s="2580"/>
      <c r="N551" s="2580"/>
      <c r="O551" s="2580"/>
      <c r="P551" s="2580"/>
      <c r="Q551" s="2580"/>
      <c r="R551" s="2580"/>
      <c r="S551" s="2580"/>
      <c r="T551" s="2580"/>
      <c r="U551" s="2580"/>
      <c r="V551" s="2580"/>
      <c r="W551" s="2580"/>
      <c r="X551" s="2580"/>
      <c r="Y551" s="2580"/>
      <c r="Z551" s="2580"/>
      <c r="AA551" s="2580"/>
      <c r="AB551" s="2580"/>
      <c r="AC551" s="2580"/>
      <c r="AD551" s="2580"/>
      <c r="AE551" s="2580"/>
      <c r="AF551" s="2580"/>
      <c r="AG551" s="2580"/>
      <c r="AH551" s="245"/>
      <c r="AI551" s="245"/>
      <c r="AJ551" s="245"/>
      <c r="AK551" s="246"/>
      <c r="AL551" s="246"/>
      <c r="AM551" s="246"/>
      <c r="AN551" s="439"/>
      <c r="AP551" s="696"/>
      <c r="AQ551" s="697"/>
      <c r="AR551" s="697"/>
      <c r="AS551" s="697"/>
      <c r="AT551" s="698" t="s">
        <v>671</v>
      </c>
      <c r="AU551" s="2495" t="str">
        <f>IF(AP550&gt;=AU548,"passed","failed")</f>
        <v>passed</v>
      </c>
      <c r="AV551" s="2496"/>
      <c r="AW551" s="2497"/>
      <c r="AX551" s="699"/>
      <c r="AY551" s="700"/>
      <c r="BE551" s="2455"/>
      <c r="BF551" s="2461"/>
      <c r="BG551" s="2461"/>
      <c r="BH551" s="2456"/>
      <c r="BI551" s="2455"/>
      <c r="BJ551" s="2461"/>
      <c r="BK551" s="2461"/>
      <c r="BL551" s="2456"/>
      <c r="BM551" s="2455"/>
      <c r="BN551" s="2461"/>
      <c r="BO551" s="2461"/>
      <c r="BP551" s="2456"/>
      <c r="BQ551" s="2455"/>
      <c r="BR551" s="2461"/>
      <c r="BS551" s="2461"/>
      <c r="BT551" s="2456"/>
      <c r="BU551" s="2455">
        <f>IF(AND(AND(AND(AND(CH552=1,BQ550=0,BM549=0,BI548=0,BE547=0)))),0,1)</f>
        <v>0</v>
      </c>
      <c r="BV551" s="2461"/>
      <c r="BW551" s="2461"/>
      <c r="BX551" s="2456"/>
      <c r="BY551" s="2506"/>
      <c r="BZ551" s="2507"/>
      <c r="CA551" s="2507"/>
      <c r="CB551" s="2508"/>
      <c r="CC551" s="16"/>
      <c r="CD551" s="16"/>
      <c r="CE551" s="16"/>
      <c r="CF551" s="16"/>
      <c r="CG551" s="16"/>
      <c r="CH551" s="2470">
        <f>IF(OR(Y611=0,Y611&gt;=0.1),1,0)</f>
        <v>1</v>
      </c>
      <c r="CI551" s="2471"/>
      <c r="CJ551" s="2471"/>
      <c r="CK551" s="2472"/>
    </row>
    <row r="552" spans="1:89" s="46" customFormat="1" ht="13.75" customHeight="1">
      <c r="A552" s="28"/>
      <c r="B552" s="2580"/>
      <c r="C552" s="2580"/>
      <c r="D552" s="2580"/>
      <c r="E552" s="2580"/>
      <c r="F552" s="2580"/>
      <c r="G552" s="2580"/>
      <c r="H552" s="2580"/>
      <c r="I552" s="2580"/>
      <c r="J552" s="2580"/>
      <c r="K552" s="2580"/>
      <c r="L552" s="2580"/>
      <c r="M552" s="2580"/>
      <c r="N552" s="2580"/>
      <c r="O552" s="2580"/>
      <c r="P552" s="2580"/>
      <c r="Q552" s="2580"/>
      <c r="R552" s="2580"/>
      <c r="S552" s="2580"/>
      <c r="T552" s="2580"/>
      <c r="U552" s="2580"/>
      <c r="V552" s="2580"/>
      <c r="W552" s="2580"/>
      <c r="X552" s="2580"/>
      <c r="Y552" s="2580"/>
      <c r="Z552" s="2580"/>
      <c r="AA552" s="2580"/>
      <c r="AB552" s="2580"/>
      <c r="AC552" s="2580"/>
      <c r="AD552" s="2580"/>
      <c r="AE552" s="2580"/>
      <c r="AF552" s="2580"/>
      <c r="AG552" s="2580"/>
      <c r="AH552" s="245"/>
      <c r="AI552" s="245"/>
      <c r="AJ552" s="245"/>
      <c r="AK552" s="246"/>
      <c r="AL552" s="246"/>
      <c r="AM552" s="246"/>
      <c r="AN552" s="1139"/>
      <c r="BE552" s="2455">
        <f>SUM(BE547:BH551)</f>
        <v>0</v>
      </c>
      <c r="BF552" s="2461"/>
      <c r="BG552" s="2461"/>
      <c r="BH552" s="2456"/>
      <c r="BI552" s="2455">
        <f>SUM(BI547:BL551)</f>
        <v>0</v>
      </c>
      <c r="BJ552" s="2461"/>
      <c r="BK552" s="2461"/>
      <c r="BL552" s="2456"/>
      <c r="BM552" s="2455">
        <f>SUM(BM547:BP551)</f>
        <v>0</v>
      </c>
      <c r="BN552" s="2461"/>
      <c r="BO552" s="2461"/>
      <c r="BP552" s="2456"/>
      <c r="BQ552" s="2455">
        <f>SUM(BQ547:BT551)</f>
        <v>0</v>
      </c>
      <c r="BR552" s="2461"/>
      <c r="BS552" s="2461"/>
      <c r="BT552" s="2456"/>
      <c r="BU552" s="2455">
        <f>SUM(BU547:BX551)</f>
        <v>0</v>
      </c>
      <c r="BV552" s="2461"/>
      <c r="BW552" s="2461"/>
      <c r="BX552" s="2456"/>
      <c r="BY552" s="2455">
        <f>SUM(BY547:CB551)</f>
        <v>0</v>
      </c>
      <c r="BZ552" s="2461"/>
      <c r="CA552" s="2461"/>
      <c r="CB552" s="2456"/>
      <c r="CC552" s="2470">
        <f>IF(AND(CH548=1,T608&gt;0),0,SUM(BE552:CB552))</f>
        <v>0</v>
      </c>
      <c r="CD552" s="2471"/>
      <c r="CE552" s="2471"/>
      <c r="CF552" s="2472"/>
      <c r="CG552" s="16"/>
      <c r="CH552" s="2470">
        <f>IF(OR(Y612=0,Y612&gt;=0.1),1,0)</f>
        <v>1</v>
      </c>
      <c r="CI552" s="2471"/>
      <c r="CJ552" s="2471"/>
      <c r="CK552" s="2472"/>
    </row>
    <row r="553" spans="1:89" s="137" customFormat="1" ht="12.5" customHeight="1">
      <c r="A553" s="28"/>
      <c r="B553" s="2473" t="s">
        <v>1677</v>
      </c>
      <c r="C553" s="2473"/>
      <c r="D553" s="2473"/>
      <c r="E553" s="2473"/>
      <c r="F553" s="2473"/>
      <c r="G553" s="2473"/>
      <c r="H553" s="2473"/>
      <c r="I553" s="2473"/>
      <c r="J553" s="2473"/>
      <c r="K553" s="2473"/>
      <c r="L553" s="2473"/>
      <c r="M553" s="2473"/>
      <c r="N553" s="2473"/>
      <c r="O553" s="2473"/>
      <c r="P553" s="2473"/>
      <c r="Q553" s="2473"/>
      <c r="R553" s="2473"/>
      <c r="S553" s="2473"/>
      <c r="T553" s="2473"/>
      <c r="U553" s="2473"/>
      <c r="V553" s="2473"/>
      <c r="W553" s="2473"/>
      <c r="X553" s="2473"/>
      <c r="Y553" s="2473"/>
      <c r="Z553" s="2473"/>
      <c r="AA553" s="2473"/>
      <c r="AB553" s="2473"/>
      <c r="AC553" s="2473"/>
      <c r="AD553" s="2473"/>
      <c r="AE553" s="2473"/>
      <c r="AF553" s="2473"/>
      <c r="AG553" s="2473"/>
      <c r="AH553" s="245"/>
      <c r="AI553" s="245"/>
      <c r="AJ553" s="245"/>
      <c r="AK553" s="246"/>
      <c r="AL553" s="246"/>
      <c r="AM553" s="246"/>
      <c r="AN553" s="439"/>
    </row>
    <row r="554" spans="1:89" s="46" customFormat="1" ht="21" customHeight="1">
      <c r="A554" s="28"/>
      <c r="B554" s="2473"/>
      <c r="C554" s="2473"/>
      <c r="D554" s="2473"/>
      <c r="E554" s="2473"/>
      <c r="F554" s="2473"/>
      <c r="G554" s="2473"/>
      <c r="H554" s="2473"/>
      <c r="I554" s="2473"/>
      <c r="J554" s="2473"/>
      <c r="K554" s="2473"/>
      <c r="L554" s="2473"/>
      <c r="M554" s="2473"/>
      <c r="N554" s="2473"/>
      <c r="O554" s="2473"/>
      <c r="P554" s="2473"/>
      <c r="Q554" s="2473"/>
      <c r="R554" s="2473"/>
      <c r="S554" s="2473"/>
      <c r="T554" s="2473"/>
      <c r="U554" s="2473"/>
      <c r="V554" s="2473"/>
      <c r="W554" s="2473"/>
      <c r="X554" s="2473"/>
      <c r="Y554" s="2473"/>
      <c r="Z554" s="2473"/>
      <c r="AA554" s="2473"/>
      <c r="AB554" s="2473"/>
      <c r="AC554" s="2473"/>
      <c r="AD554" s="2473"/>
      <c r="AE554" s="2473"/>
      <c r="AF554" s="2473"/>
      <c r="AG554" s="247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73" t="s">
        <v>1990</v>
      </c>
      <c r="C555" s="2473"/>
      <c r="D555" s="2473"/>
      <c r="E555" s="2473"/>
      <c r="F555" s="2473"/>
      <c r="G555" s="2473"/>
      <c r="H555" s="2473"/>
      <c r="I555" s="2473"/>
      <c r="J555" s="2473"/>
      <c r="K555" s="2473"/>
      <c r="L555" s="2473"/>
      <c r="M555" s="2473"/>
      <c r="N555" s="2473"/>
      <c r="O555" s="2473"/>
      <c r="P555" s="2473"/>
      <c r="Q555" s="2473"/>
      <c r="R555" s="2473"/>
      <c r="S555" s="2473"/>
      <c r="T555" s="2473"/>
      <c r="U555" s="2473"/>
      <c r="V555" s="2473"/>
      <c r="W555" s="2473"/>
      <c r="X555" s="2473"/>
      <c r="Y555" s="2473"/>
      <c r="Z555" s="2473"/>
      <c r="AA555" s="2473"/>
      <c r="AB555" s="2473"/>
      <c r="AC555" s="2473"/>
      <c r="AD555" s="2473"/>
      <c r="AE555" s="2473"/>
      <c r="AF555" s="2473"/>
      <c r="AG555" s="1153"/>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73"/>
      <c r="C556" s="2473"/>
      <c r="D556" s="2473"/>
      <c r="E556" s="2473"/>
      <c r="F556" s="2473"/>
      <c r="G556" s="2473"/>
      <c r="H556" s="2473"/>
      <c r="I556" s="2473"/>
      <c r="J556" s="2473"/>
      <c r="K556" s="2473"/>
      <c r="L556" s="2473"/>
      <c r="M556" s="2473"/>
      <c r="N556" s="2473"/>
      <c r="O556" s="2473"/>
      <c r="P556" s="2473"/>
      <c r="Q556" s="2473"/>
      <c r="R556" s="2473"/>
      <c r="S556" s="2473"/>
      <c r="T556" s="2473"/>
      <c r="U556" s="2473"/>
      <c r="V556" s="2473"/>
      <c r="W556" s="2473"/>
      <c r="X556" s="2473"/>
      <c r="Y556" s="2473"/>
      <c r="Z556" s="2473"/>
      <c r="AA556" s="2473"/>
      <c r="AB556" s="2473"/>
      <c r="AC556" s="2473"/>
      <c r="AD556" s="2473"/>
      <c r="AE556" s="2473"/>
      <c r="AF556" s="2473"/>
      <c r="AG556" s="245"/>
      <c r="AH556" s="245"/>
      <c r="AI556" s="245"/>
      <c r="AJ556" s="245"/>
      <c r="AK556" s="246"/>
      <c r="AL556" s="246"/>
      <c r="AM556" s="246"/>
      <c r="AN556" s="439"/>
      <c r="AP556" s="232"/>
      <c r="AQ556" s="233"/>
      <c r="AR556" s="233"/>
      <c r="AS556" s="233"/>
      <c r="AT556" s="239" t="s">
        <v>671</v>
      </c>
      <c r="AU556" s="233"/>
      <c r="AV556" s="2455" t="str">
        <f>IF(BJ592&gt;0,"failed","passed")</f>
        <v>failed</v>
      </c>
      <c r="AW556" s="2461"/>
      <c r="AX556" s="2461"/>
      <c r="AY556" s="2456"/>
    </row>
    <row r="557" spans="1:89" s="46" customFormat="1" ht="12.5" customHeight="1">
      <c r="A557" s="28"/>
      <c r="B557" s="1154" t="s">
        <v>1681</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81" t="s">
        <v>1678</v>
      </c>
      <c r="R559" s="2581"/>
      <c r="S559" s="2581"/>
      <c r="T559" s="2581"/>
      <c r="U559" s="2581"/>
      <c r="V559" s="2581"/>
      <c r="W559" s="2581"/>
      <c r="X559" s="2581"/>
      <c r="Y559" s="2581"/>
      <c r="Z559" s="2581"/>
      <c r="AA559" s="2581"/>
      <c r="AB559" s="2581"/>
      <c r="AC559" s="2581"/>
      <c r="AD559" s="2581"/>
      <c r="AE559" s="2581"/>
      <c r="AF559" s="258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81"/>
      <c r="R560" s="2581"/>
      <c r="S560" s="2581"/>
      <c r="T560" s="2581"/>
      <c r="U560" s="2581"/>
      <c r="V560" s="2581"/>
      <c r="W560" s="2581"/>
      <c r="X560" s="2581"/>
      <c r="Y560" s="2581"/>
      <c r="Z560" s="2581"/>
      <c r="AA560" s="2581"/>
      <c r="AB560" s="2581"/>
      <c r="AC560" s="2581"/>
      <c r="AD560" s="2581"/>
      <c r="AE560" s="2581"/>
      <c r="AF560" s="2581"/>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3" t="s">
        <v>1989</v>
      </c>
      <c r="R561" s="2384"/>
      <c r="S561" s="2593" t="s">
        <v>227</v>
      </c>
      <c r="T561" s="2593"/>
      <c r="U561" s="2383">
        <v>0.5</v>
      </c>
      <c r="V561" s="2384"/>
      <c r="W561" s="2383">
        <v>0.45</v>
      </c>
      <c r="X561" s="2384"/>
      <c r="Y561" s="2383">
        <v>0.4</v>
      </c>
      <c r="Z561" s="2384"/>
      <c r="AA561" s="2383">
        <v>0.35</v>
      </c>
      <c r="AB561" s="2384"/>
      <c r="AC561" s="2493">
        <v>0.3</v>
      </c>
      <c r="AD561" s="2494"/>
      <c r="AE561" s="2383">
        <v>0.2</v>
      </c>
      <c r="AF561" s="238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4"/>
      <c r="P562" s="2345"/>
      <c r="Q562" s="2382"/>
      <c r="R562" s="2369"/>
      <c r="S562" s="2474"/>
      <c r="T562" s="2474"/>
      <c r="U562" s="2369"/>
      <c r="V562" s="2369"/>
      <c r="W562" s="2369"/>
      <c r="X562" s="2369"/>
      <c r="Y562" s="2369"/>
      <c r="Z562" s="2369"/>
      <c r="AA562" s="2462"/>
      <c r="AB562" s="2462"/>
      <c r="AC562" s="2369"/>
      <c r="AD562" s="2369"/>
      <c r="AE562" s="2491"/>
      <c r="AF562" s="2492"/>
      <c r="AN562" s="439"/>
      <c r="AP562" s="226" t="s">
        <v>779</v>
      </c>
      <c r="AQ562" s="91"/>
      <c r="AR562" s="91"/>
      <c r="AS562" s="91"/>
      <c r="AT562" s="2470" t="str">
        <f>IF(OR(AV556="passed",BD560="passed"),"passed","failed")</f>
        <v>passed</v>
      </c>
      <c r="AU562" s="2471"/>
      <c r="AV562" s="2471"/>
      <c r="AW562" s="2471"/>
      <c r="AX562" s="2472"/>
    </row>
    <row r="563" spans="1:96" s="46" customFormat="1" ht="12.75" customHeight="1">
      <c r="A563" s="28"/>
      <c r="B563" s="106"/>
      <c r="C563" s="28"/>
      <c r="I563" s="345"/>
      <c r="J563" s="245"/>
      <c r="K563" s="162"/>
      <c r="L563" s="162"/>
      <c r="M563" s="162"/>
      <c r="N563" s="71"/>
      <c r="O563" s="2344"/>
      <c r="P563" s="2345"/>
      <c r="Q563" s="2357"/>
      <c r="R563" s="2358"/>
      <c r="S563" s="2358"/>
      <c r="T563" s="2358"/>
      <c r="U563" s="2358"/>
      <c r="V563" s="2358"/>
      <c r="W563" s="2358"/>
      <c r="X563" s="2358"/>
      <c r="Y563" s="2356"/>
      <c r="Z563" s="2356"/>
      <c r="AA563" s="2358"/>
      <c r="AB563" s="2358"/>
      <c r="AC563" s="2356"/>
      <c r="AD563" s="2356"/>
      <c r="AE563" s="2359"/>
      <c r="AF563" s="236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4"/>
      <c r="P564" s="2345"/>
      <c r="Q564" s="2357"/>
      <c r="R564" s="2358"/>
      <c r="S564" s="2358"/>
      <c r="T564" s="2358"/>
      <c r="U564" s="2358"/>
      <c r="V564" s="2358"/>
      <c r="W564" s="2358"/>
      <c r="X564" s="2358"/>
      <c r="Y564" s="2358"/>
      <c r="Z564" s="2358"/>
      <c r="AA564" s="2356"/>
      <c r="AB564" s="2356"/>
      <c r="AC564" s="2358"/>
      <c r="AD564" s="2358"/>
      <c r="AE564" s="2501"/>
      <c r="AF564" s="2502"/>
      <c r="AN564" s="439"/>
      <c r="AP564" s="235" t="s">
        <v>672</v>
      </c>
      <c r="AQ564" s="236"/>
      <c r="AR564" s="236"/>
      <c r="AS564" s="236"/>
      <c r="AT564" s="236"/>
      <c r="AU564" s="236"/>
      <c r="AV564" s="237"/>
      <c r="AW564" s="2498" t="str">
        <f>IF(AND(AND(AND(AND(AS544="passed",AU551="passed",BD560="passed",SUM(T608:X612)&gt;1)))),"YES","NO")</f>
        <v>YES</v>
      </c>
      <c r="AX564" s="2499"/>
      <c r="AY564" s="250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4"/>
      <c r="P565" s="2345"/>
      <c r="Q565" s="2357"/>
      <c r="R565" s="2358"/>
      <c r="S565" s="2358"/>
      <c r="T565" s="2358"/>
      <c r="U565" s="2358"/>
      <c r="V565" s="2358"/>
      <c r="W565" s="2358"/>
      <c r="X565" s="2358"/>
      <c r="Y565" s="2356"/>
      <c r="Z565" s="2356"/>
      <c r="AA565" s="2358"/>
      <c r="AB565" s="2358"/>
      <c r="AC565" s="2356"/>
      <c r="AD565" s="2356"/>
      <c r="AE565" s="2359"/>
      <c r="AF565" s="2360"/>
      <c r="AN565" s="439"/>
    </row>
    <row r="566" spans="1:96" s="46" customFormat="1" ht="12.75" customHeight="1">
      <c r="A566" s="28"/>
      <c r="B566" s="106"/>
      <c r="C566" s="28"/>
      <c r="I566" s="345"/>
      <c r="J566" s="245"/>
      <c r="K566" s="162"/>
      <c r="L566" s="162"/>
      <c r="M566" s="162"/>
      <c r="N566" s="71"/>
      <c r="O566" s="2344"/>
      <c r="P566" s="2345"/>
      <c r="Q566" s="2357"/>
      <c r="R566" s="2358"/>
      <c r="S566" s="2358"/>
      <c r="T566" s="2358"/>
      <c r="U566" s="2358"/>
      <c r="V566" s="2358"/>
      <c r="W566" s="2356"/>
      <c r="X566" s="2356"/>
      <c r="Y566" s="2358"/>
      <c r="Z566" s="2358"/>
      <c r="AA566" s="2356"/>
      <c r="AB566" s="2356"/>
      <c r="AC566" s="2358"/>
      <c r="AD566" s="2358"/>
      <c r="AE566" s="2501"/>
      <c r="AF566" s="2502"/>
      <c r="AN566" s="439"/>
    </row>
    <row r="567" spans="1:96" s="46" customFormat="1" ht="12.75" customHeight="1">
      <c r="A567" s="28"/>
      <c r="B567" s="106"/>
      <c r="C567" s="28"/>
      <c r="I567" s="345"/>
      <c r="J567" s="245"/>
      <c r="K567" s="162"/>
      <c r="L567" s="162"/>
      <c r="M567" s="162"/>
      <c r="N567" s="71"/>
      <c r="O567" s="2344"/>
      <c r="P567" s="2345"/>
      <c r="Q567" s="2357"/>
      <c r="R567" s="2358"/>
      <c r="S567" s="2358"/>
      <c r="T567" s="2358"/>
      <c r="U567" s="2358"/>
      <c r="V567" s="2358"/>
      <c r="W567" s="2358"/>
      <c r="X567" s="2358"/>
      <c r="Y567" s="2356"/>
      <c r="Z567" s="2356"/>
      <c r="AA567" s="2358"/>
      <c r="AB567" s="2358"/>
      <c r="AC567" s="2356"/>
      <c r="AD567" s="2356"/>
      <c r="AE567" s="2359"/>
      <c r="AF567" s="2360"/>
      <c r="AN567" s="439"/>
      <c r="AU567" s="65"/>
      <c r="AV567" s="65"/>
      <c r="AW567" s="90"/>
      <c r="AX567" s="91"/>
      <c r="AY567" s="91"/>
      <c r="AZ567" s="100" t="s">
        <v>1247</v>
      </c>
      <c r="BA567" s="2509" t="s">
        <v>780</v>
      </c>
      <c r="BB567" s="2510"/>
      <c r="BC567" s="2510"/>
      <c r="BD567" s="2510"/>
      <c r="BE567" s="2511"/>
      <c r="BF567" s="2466">
        <f>SUM(O608:S612)</f>
        <v>49</v>
      </c>
      <c r="BG567" s="2467"/>
      <c r="BH567" s="2467"/>
      <c r="BI567" s="2467"/>
      <c r="BJ567" s="2468"/>
      <c r="BK567" s="2347">
        <f>SUM(T608:X612)</f>
        <v>10</v>
      </c>
      <c r="BL567" s="2348"/>
      <c r="BM567" s="2348"/>
      <c r="BN567" s="2348"/>
      <c r="BO567" s="2349"/>
    </row>
    <row r="568" spans="1:96" s="46" customFormat="1" ht="12.75" customHeight="1">
      <c r="A568" s="28"/>
      <c r="B568" s="57"/>
      <c r="C568" s="28"/>
      <c r="I568" s="2396" t="s">
        <v>1676</v>
      </c>
      <c r="J568" s="2397"/>
      <c r="K568" s="2397"/>
      <c r="L568" s="2397"/>
      <c r="M568" s="2397"/>
      <c r="N568" s="2398"/>
      <c r="O568" s="2344">
        <v>0.5</v>
      </c>
      <c r="P568" s="2345"/>
      <c r="Q568" s="2375"/>
      <c r="R568" s="2376"/>
      <c r="S568" s="2358"/>
      <c r="T568" s="2358"/>
      <c r="U568" s="2595" t="s">
        <v>1680</v>
      </c>
      <c r="V568" s="2595"/>
      <c r="W568" s="2374">
        <v>37.5</v>
      </c>
      <c r="X568" s="2374"/>
      <c r="Y568" s="2376"/>
      <c r="Z568" s="2376"/>
      <c r="AA568" s="2374"/>
      <c r="AB568" s="2374"/>
      <c r="AC568" s="2376"/>
      <c r="AD568" s="2376"/>
      <c r="AE568" s="2503"/>
      <c r="AF568" s="2504"/>
      <c r="AN568" s="439"/>
      <c r="CL568" s="16"/>
      <c r="CM568" s="16"/>
    </row>
    <row r="569" spans="1:96" s="46" customFormat="1" ht="12.75" customHeight="1">
      <c r="A569" s="28"/>
      <c r="B569" s="195"/>
      <c r="C569" s="101"/>
      <c r="D569" s="28"/>
      <c r="E569" s="28"/>
      <c r="I569" s="2396"/>
      <c r="J569" s="2397"/>
      <c r="K569" s="2397"/>
      <c r="L569" s="2397"/>
      <c r="M569" s="2397"/>
      <c r="N569" s="2398"/>
      <c r="O569" s="2344">
        <v>0.45</v>
      </c>
      <c r="P569" s="2345"/>
      <c r="Q569" s="2357"/>
      <c r="R569" s="2358"/>
      <c r="S569" s="2358"/>
      <c r="T569" s="2358"/>
      <c r="U569" s="2364" t="s">
        <v>145</v>
      </c>
      <c r="V569" s="2364"/>
      <c r="W569" s="2356">
        <v>33.799999999999997</v>
      </c>
      <c r="X569" s="2356"/>
      <c r="Y569" s="2356"/>
      <c r="Z569" s="2356"/>
      <c r="AA569" s="2358"/>
      <c r="AB569" s="2358"/>
      <c r="AC569" s="2356"/>
      <c r="AD569" s="2356"/>
      <c r="AE569" s="2359"/>
      <c r="AF569" s="2360"/>
      <c r="AN569" s="439"/>
      <c r="CL569" s="16"/>
      <c r="CM569" s="16"/>
    </row>
    <row r="570" spans="1:96" s="46" customFormat="1" ht="12.75" customHeight="1">
      <c r="A570" s="28"/>
      <c r="B570" s="8"/>
      <c r="C570" s="8"/>
      <c r="D570" s="8"/>
      <c r="E570" s="8"/>
      <c r="I570" s="2396"/>
      <c r="J570" s="2397"/>
      <c r="K570" s="2397"/>
      <c r="L570" s="2397"/>
      <c r="M570" s="2397"/>
      <c r="N570" s="2398"/>
      <c r="O570" s="2344">
        <v>0.4</v>
      </c>
      <c r="P570" s="2345"/>
      <c r="Q570" s="2357"/>
      <c r="R570" s="2358"/>
      <c r="S570" s="2364" t="s">
        <v>1679</v>
      </c>
      <c r="T570" s="2364"/>
      <c r="U570" s="2356">
        <v>20</v>
      </c>
      <c r="V570" s="2356"/>
      <c r="W570" s="2356">
        <v>30</v>
      </c>
      <c r="X570" s="2356"/>
      <c r="Y570" s="2356"/>
      <c r="Z570" s="2356"/>
      <c r="AA570" s="2356"/>
      <c r="AB570" s="2356"/>
      <c r="AC570" s="2356"/>
      <c r="AD570" s="2356"/>
      <c r="AE570" s="2359"/>
      <c r="AF570" s="2360"/>
      <c r="AN570" s="439"/>
      <c r="AP570" s="2512" t="s">
        <v>228</v>
      </c>
      <c r="AQ570" s="2513"/>
      <c r="AR570" s="2513"/>
      <c r="AS570" s="2513"/>
      <c r="AT570" s="2513"/>
      <c r="AU570" s="2513"/>
      <c r="AV570" s="2513"/>
      <c r="AW570" s="2513"/>
      <c r="AX570" s="2513"/>
      <c r="AY570" s="2513"/>
      <c r="AZ570" s="2513"/>
      <c r="BA570" s="2513"/>
      <c r="BB570" s="2513"/>
      <c r="BC570" s="2513"/>
      <c r="BD570" s="2513"/>
      <c r="BE570" s="2513"/>
      <c r="BF570" s="2513"/>
      <c r="BG570" s="2513"/>
      <c r="BH570" s="2513"/>
      <c r="BI570" s="2513"/>
      <c r="BJ570" s="2514"/>
      <c r="BK570" s="2485">
        <f>BF567</f>
        <v>49</v>
      </c>
      <c r="BL570" s="2486"/>
      <c r="BM570" s="2486"/>
      <c r="BN570" s="2486"/>
      <c r="BO570" s="248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6"/>
      <c r="J571" s="2397"/>
      <c r="K571" s="2397"/>
      <c r="L571" s="2397"/>
      <c r="M571" s="2397"/>
      <c r="N571" s="2398"/>
      <c r="O571" s="2344">
        <v>0.35</v>
      </c>
      <c r="P571" s="2345"/>
      <c r="Q571" s="2357"/>
      <c r="R571" s="2358"/>
      <c r="S571" s="2364" t="s">
        <v>1991</v>
      </c>
      <c r="T571" s="2364"/>
      <c r="U571" s="2356">
        <v>17.5</v>
      </c>
      <c r="V571" s="2356"/>
      <c r="W571" s="2356">
        <v>26.3</v>
      </c>
      <c r="X571" s="2356"/>
      <c r="Y571" s="2356">
        <v>35</v>
      </c>
      <c r="Z571" s="2356"/>
      <c r="AA571" s="2356"/>
      <c r="AB571" s="2356"/>
      <c r="AC571" s="2356">
        <v>50</v>
      </c>
      <c r="AD571" s="2356"/>
      <c r="AE571" s="2359"/>
      <c r="AF571" s="2360"/>
      <c r="AN571" s="439"/>
      <c r="AP571" s="2515"/>
      <c r="AQ571" s="2516"/>
      <c r="AR571" s="2516"/>
      <c r="AS571" s="2516"/>
      <c r="AT571" s="2516"/>
      <c r="AU571" s="2516"/>
      <c r="AV571" s="2516"/>
      <c r="AW571" s="2516"/>
      <c r="AX571" s="2516"/>
      <c r="AY571" s="2516"/>
      <c r="AZ571" s="2516"/>
      <c r="BA571" s="2516"/>
      <c r="BB571" s="2516"/>
      <c r="BC571" s="2516"/>
      <c r="BD571" s="2516"/>
      <c r="BE571" s="2516"/>
      <c r="BF571" s="2516"/>
      <c r="BG571" s="2516"/>
      <c r="BH571" s="2516"/>
      <c r="BI571" s="2516"/>
      <c r="BJ571" s="2517"/>
      <c r="BK571" s="2488"/>
      <c r="BL571" s="2489"/>
      <c r="BM571" s="2489"/>
      <c r="BN571" s="2489"/>
      <c r="BO571" s="249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6"/>
      <c r="J572" s="2397"/>
      <c r="K572" s="2397"/>
      <c r="L572" s="2397"/>
      <c r="M572" s="2397"/>
      <c r="N572" s="2398"/>
      <c r="O572" s="2344">
        <v>0.3</v>
      </c>
      <c r="P572" s="2345"/>
      <c r="Q572" s="2357"/>
      <c r="R572" s="2358"/>
      <c r="S572" s="2364" t="s">
        <v>1992</v>
      </c>
      <c r="T572" s="2364"/>
      <c r="U572" s="2356">
        <v>15</v>
      </c>
      <c r="V572" s="2356"/>
      <c r="W572" s="2356">
        <v>22.5</v>
      </c>
      <c r="X572" s="2356"/>
      <c r="Y572" s="2356">
        <v>30</v>
      </c>
      <c r="Z572" s="2356"/>
      <c r="AA572" s="2356">
        <v>37.5</v>
      </c>
      <c r="AB572" s="2356"/>
      <c r="AC572" s="2356">
        <v>45</v>
      </c>
      <c r="AD572" s="2356"/>
      <c r="AE572" s="2359"/>
      <c r="AF572" s="236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932">
        <v>5</v>
      </c>
      <c r="BK572" s="2469"/>
      <c r="BL572" s="2469"/>
      <c r="BM572" s="2469"/>
      <c r="BN572" s="1933"/>
      <c r="BO572" s="1932">
        <v>4</v>
      </c>
      <c r="BP572" s="2469"/>
      <c r="BQ572" s="2469"/>
      <c r="BR572" s="2469"/>
      <c r="BS572" s="1933"/>
      <c r="BT572" s="1932">
        <v>3</v>
      </c>
      <c r="BU572" s="2469"/>
      <c r="BV572" s="2469"/>
      <c r="BW572" s="2469"/>
      <c r="BX572" s="1933"/>
      <c r="BY572" s="1932">
        <v>2</v>
      </c>
      <c r="BZ572" s="2469"/>
      <c r="CA572" s="2469"/>
      <c r="CB572" s="2469"/>
      <c r="CC572" s="1933"/>
      <c r="CD572" s="1932">
        <v>1</v>
      </c>
      <c r="CE572" s="2469"/>
      <c r="CF572" s="2469"/>
      <c r="CG572" s="2469"/>
      <c r="CH572" s="1933"/>
      <c r="CI572" s="1932">
        <v>0</v>
      </c>
      <c r="CJ572" s="2469"/>
      <c r="CK572" s="2469"/>
      <c r="CL572" s="2469"/>
      <c r="CM572" s="1933"/>
      <c r="CN572" s="65"/>
      <c r="CO572" s="65"/>
      <c r="CP572" s="65"/>
      <c r="CQ572" s="65"/>
      <c r="CR572" s="65"/>
    </row>
    <row r="573" spans="1:96" s="46" customFormat="1" ht="12.75" customHeight="1">
      <c r="A573" s="28"/>
      <c r="B573" s="8"/>
      <c r="C573" s="8"/>
      <c r="D573" s="8"/>
      <c r="E573" s="8"/>
      <c r="I573" s="2396"/>
      <c r="J573" s="2397"/>
      <c r="K573" s="2397"/>
      <c r="L573" s="2397"/>
      <c r="M573" s="2397"/>
      <c r="N573" s="2398"/>
      <c r="O573" s="2344">
        <v>0.25</v>
      </c>
      <c r="P573" s="2345"/>
      <c r="Q573" s="2357"/>
      <c r="R573" s="2358"/>
      <c r="S573" s="2364" t="s">
        <v>1993</v>
      </c>
      <c r="T573" s="2364"/>
      <c r="U573" s="2356">
        <v>12.5</v>
      </c>
      <c r="V573" s="2356"/>
      <c r="W573" s="2356">
        <v>18.8</v>
      </c>
      <c r="X573" s="2356"/>
      <c r="Y573" s="2356">
        <v>25</v>
      </c>
      <c r="Z573" s="2356"/>
      <c r="AA573" s="2356">
        <v>31.3</v>
      </c>
      <c r="AB573" s="2356"/>
      <c r="AC573" s="2356">
        <v>37.5</v>
      </c>
      <c r="AD573" s="2356"/>
      <c r="AE573" s="2359">
        <v>50</v>
      </c>
      <c r="AF573" s="2360"/>
      <c r="AN573" s="439"/>
      <c r="AP573" s="2463" t="str">
        <f t="shared" ref="AP573:AP579" si="0">J607</f>
        <v>5 BR</v>
      </c>
      <c r="AQ573" s="2464"/>
      <c r="AR573" s="2464"/>
      <c r="AS573" s="2464"/>
      <c r="AT573" s="2465"/>
      <c r="AU573" s="2458">
        <f t="shared" ref="AU573:AU578" si="1">O607</f>
        <v>0</v>
      </c>
      <c r="AV573" s="2459"/>
      <c r="AW573" s="2459"/>
      <c r="AX573" s="2459"/>
      <c r="AY573" s="2460"/>
      <c r="AZ573" s="2458">
        <f t="shared" ref="AZ573:AZ578" si="2">T607</f>
        <v>0</v>
      </c>
      <c r="BA573" s="2459"/>
      <c r="BB573" s="2459"/>
      <c r="BC573" s="2459"/>
      <c r="BD573" s="2460"/>
      <c r="BE573" s="1920">
        <f t="shared" ref="BE573:BE578" si="3">Y607</f>
        <v>0</v>
      </c>
      <c r="BF573" s="1921"/>
      <c r="BG573" s="1921"/>
      <c r="BH573" s="1921"/>
      <c r="BI573" s="1922"/>
      <c r="BJ573" s="1932">
        <f>IF(OR(AP583=0,BE573&gt;=0.1),0,1)</f>
        <v>0</v>
      </c>
      <c r="BK573" s="2469"/>
      <c r="BL573" s="2469"/>
      <c r="BM573" s="2469"/>
      <c r="BN573" s="1933"/>
      <c r="BO573" s="1932"/>
      <c r="BP573" s="2469"/>
      <c r="BQ573" s="2469"/>
      <c r="BR573" s="2469"/>
      <c r="BS573" s="1933"/>
      <c r="BT573" s="1932"/>
      <c r="BU573" s="2469"/>
      <c r="BV573" s="2469"/>
      <c r="BW573" s="2469"/>
      <c r="BX573" s="1933"/>
      <c r="BY573" s="1932"/>
      <c r="BZ573" s="2469"/>
      <c r="CA573" s="2469"/>
      <c r="CB573" s="2469"/>
      <c r="CC573" s="1933"/>
      <c r="CD573" s="1932"/>
      <c r="CE573" s="2469"/>
      <c r="CF573" s="2469"/>
      <c r="CG573" s="2469"/>
      <c r="CH573" s="1933"/>
      <c r="CI573" s="1932"/>
      <c r="CJ573" s="2469"/>
      <c r="CK573" s="2469"/>
      <c r="CL573" s="2469"/>
      <c r="CM573" s="1933"/>
      <c r="CN573" s="65"/>
      <c r="CO573" s="65"/>
      <c r="CP573" s="65"/>
      <c r="CQ573" s="65"/>
      <c r="CR573" s="65"/>
    </row>
    <row r="574" spans="1:96" s="46" customFormat="1" ht="12.75" customHeight="1">
      <c r="A574" s="195"/>
      <c r="B574" s="8"/>
      <c r="C574" s="8"/>
      <c r="D574" s="8"/>
      <c r="E574" s="8"/>
      <c r="I574" s="2396"/>
      <c r="J574" s="2397"/>
      <c r="K574" s="2397"/>
      <c r="L574" s="2397"/>
      <c r="M574" s="2397"/>
      <c r="N574" s="2398"/>
      <c r="O574" s="2344">
        <v>0.2</v>
      </c>
      <c r="P574" s="2345"/>
      <c r="Q574" s="2357"/>
      <c r="R574" s="2358"/>
      <c r="S574" s="2381" t="s">
        <v>1996</v>
      </c>
      <c r="T574" s="2381"/>
      <c r="U574" s="2356">
        <v>10</v>
      </c>
      <c r="V574" s="2356"/>
      <c r="W574" s="2356">
        <v>15</v>
      </c>
      <c r="X574" s="2356"/>
      <c r="Y574" s="2356">
        <v>20</v>
      </c>
      <c r="Z574" s="2356"/>
      <c r="AA574" s="2356">
        <v>25</v>
      </c>
      <c r="AB574" s="2356"/>
      <c r="AC574" s="2356">
        <v>30</v>
      </c>
      <c r="AD574" s="2356"/>
      <c r="AE574" s="2359">
        <v>40</v>
      </c>
      <c r="AF574" s="2360"/>
      <c r="AN574" s="439"/>
      <c r="AP574" s="2463" t="str">
        <f t="shared" si="0"/>
        <v>4 BR</v>
      </c>
      <c r="AQ574" s="2464"/>
      <c r="AR574" s="2464"/>
      <c r="AS574" s="2464"/>
      <c r="AT574" s="2465"/>
      <c r="AU574" s="2458">
        <f t="shared" si="1"/>
        <v>0</v>
      </c>
      <c r="AV574" s="2459"/>
      <c r="AW574" s="2459"/>
      <c r="AX574" s="2459"/>
      <c r="AY574" s="2460"/>
      <c r="AZ574" s="2458">
        <f t="shared" si="2"/>
        <v>0</v>
      </c>
      <c r="BA574" s="2459"/>
      <c r="BB574" s="2459"/>
      <c r="BC574" s="2459"/>
      <c r="BD574" s="2460"/>
      <c r="BE574" s="1920">
        <f t="shared" si="3"/>
        <v>0</v>
      </c>
      <c r="BF574" s="1921"/>
      <c r="BG574" s="1921"/>
      <c r="BH574" s="1921"/>
      <c r="BI574" s="1922"/>
      <c r="BJ574" s="1932"/>
      <c r="BK574" s="2469"/>
      <c r="BL574" s="2469"/>
      <c r="BM574" s="2469"/>
      <c r="BN574" s="1933"/>
      <c r="BO574" s="1932">
        <f>IF(AND(AND(AZ573=0,BJ573=0,AP584=1)),1,0)</f>
        <v>0</v>
      </c>
      <c r="BP574" s="2469"/>
      <c r="BQ574" s="2469"/>
      <c r="BR574" s="2469"/>
      <c r="BS574" s="1933"/>
      <c r="BT574" s="1932"/>
      <c r="BU574" s="2469"/>
      <c r="BV574" s="2469"/>
      <c r="BW574" s="2469"/>
      <c r="BX574" s="1933"/>
      <c r="BY574" s="1932"/>
      <c r="BZ574" s="2469"/>
      <c r="CA574" s="2469"/>
      <c r="CB574" s="2469"/>
      <c r="CC574" s="1933"/>
      <c r="CD574" s="1932"/>
      <c r="CE574" s="2469"/>
      <c r="CF574" s="2469"/>
      <c r="CG574" s="2469"/>
      <c r="CH574" s="1933"/>
      <c r="CI574" s="1932"/>
      <c r="CJ574" s="2469"/>
      <c r="CK574" s="2469"/>
      <c r="CL574" s="2469"/>
      <c r="CM574" s="1933"/>
      <c r="CN574" s="65"/>
      <c r="CO574" s="65"/>
      <c r="CP574" s="65"/>
      <c r="CQ574" s="65"/>
      <c r="CR574" s="65"/>
    </row>
    <row r="575" spans="1:96" s="46" customFormat="1" ht="12.75" customHeight="1">
      <c r="A575" s="195"/>
      <c r="B575" s="8"/>
      <c r="C575" s="8"/>
      <c r="D575" s="8"/>
      <c r="E575" s="8"/>
      <c r="I575" s="2396"/>
      <c r="J575" s="2397"/>
      <c r="K575" s="2397"/>
      <c r="L575" s="2397"/>
      <c r="M575" s="2397"/>
      <c r="N575" s="2398"/>
      <c r="O575" s="2344">
        <v>0.15</v>
      </c>
      <c r="P575" s="2345"/>
      <c r="Q575" s="2357"/>
      <c r="R575" s="2358"/>
      <c r="S575" s="2364" t="s">
        <v>1994</v>
      </c>
      <c r="T575" s="2364"/>
      <c r="U575" s="2356">
        <v>7.5</v>
      </c>
      <c r="V575" s="2356"/>
      <c r="W575" s="2356">
        <v>11.3</v>
      </c>
      <c r="X575" s="2356"/>
      <c r="Y575" s="2356">
        <v>15</v>
      </c>
      <c r="Z575" s="2356"/>
      <c r="AA575" s="2356">
        <v>18.8</v>
      </c>
      <c r="AB575" s="2356"/>
      <c r="AC575" s="2356">
        <v>22.5</v>
      </c>
      <c r="AD575" s="2356"/>
      <c r="AE575" s="2359">
        <v>30</v>
      </c>
      <c r="AF575" s="2360"/>
      <c r="AK575" s="153"/>
      <c r="AL575" s="153"/>
      <c r="AM575" s="153"/>
      <c r="AN575" s="439"/>
      <c r="AP575" s="2463" t="str">
        <f t="shared" si="0"/>
        <v>3 BR</v>
      </c>
      <c r="AQ575" s="2464"/>
      <c r="AR575" s="2464"/>
      <c r="AS575" s="2464"/>
      <c r="AT575" s="2465"/>
      <c r="AU575" s="2458">
        <f t="shared" si="1"/>
        <v>0</v>
      </c>
      <c r="AV575" s="2459"/>
      <c r="AW575" s="2459"/>
      <c r="AX575" s="2459"/>
      <c r="AY575" s="2460"/>
      <c r="AZ575" s="2458">
        <f t="shared" si="2"/>
        <v>0</v>
      </c>
      <c r="BA575" s="2459"/>
      <c r="BB575" s="2459"/>
      <c r="BC575" s="2459"/>
      <c r="BD575" s="2460"/>
      <c r="BE575" s="1920">
        <f t="shared" si="3"/>
        <v>0</v>
      </c>
      <c r="BF575" s="1921"/>
      <c r="BG575" s="1921"/>
      <c r="BH575" s="1921"/>
      <c r="BI575" s="1922"/>
      <c r="BJ575" s="1932"/>
      <c r="BK575" s="2469"/>
      <c r="BL575" s="2469"/>
      <c r="BM575" s="2469"/>
      <c r="BN575" s="1933"/>
      <c r="BO575" s="1932"/>
      <c r="BP575" s="2469"/>
      <c r="BQ575" s="2469"/>
      <c r="BR575" s="2469"/>
      <c r="BS575" s="1933"/>
      <c r="BT575" s="1932">
        <f>IF(AND(AND(AZ573+AZ574=0,BJ573+BO574=0,AP585=1)),1,0)</f>
        <v>0</v>
      </c>
      <c r="BU575" s="2469"/>
      <c r="BV575" s="2469"/>
      <c r="BW575" s="2469"/>
      <c r="BX575" s="1933"/>
      <c r="BY575" s="1932"/>
      <c r="BZ575" s="2469"/>
      <c r="CA575" s="2469"/>
      <c r="CB575" s="2469"/>
      <c r="CC575" s="1933"/>
      <c r="CD575" s="1932"/>
      <c r="CE575" s="2469"/>
      <c r="CF575" s="2469"/>
      <c r="CG575" s="2469"/>
      <c r="CH575" s="1933"/>
      <c r="CI575" s="1932"/>
      <c r="CJ575" s="2469"/>
      <c r="CK575" s="2469"/>
      <c r="CL575" s="2469"/>
      <c r="CM575" s="1933"/>
      <c r="CN575" s="65"/>
      <c r="CO575" s="65"/>
      <c r="CP575" s="65"/>
      <c r="CQ575" s="65"/>
      <c r="CR575" s="65"/>
    </row>
    <row r="576" spans="1:96" s="46" customFormat="1" ht="12.75" customHeight="1" thickBot="1">
      <c r="B576" s="8"/>
      <c r="C576" s="8"/>
      <c r="D576" s="8"/>
      <c r="E576" s="8"/>
      <c r="I576" s="2399"/>
      <c r="J576" s="2400"/>
      <c r="K576" s="2400"/>
      <c r="L576" s="2400"/>
      <c r="M576" s="2400"/>
      <c r="N576" s="2401"/>
      <c r="O576" s="2344">
        <v>0.1</v>
      </c>
      <c r="P576" s="2345"/>
      <c r="Q576" s="2379"/>
      <c r="R576" s="2380"/>
      <c r="S576" s="2364" t="s">
        <v>1995</v>
      </c>
      <c r="T576" s="2364"/>
      <c r="U576" s="2457">
        <v>5</v>
      </c>
      <c r="V576" s="2457"/>
      <c r="W576" s="2457">
        <v>7.5</v>
      </c>
      <c r="X576" s="2457"/>
      <c r="Y576" s="2457">
        <v>10</v>
      </c>
      <c r="Z576" s="2457"/>
      <c r="AA576" s="2457">
        <v>12.5</v>
      </c>
      <c r="AB576" s="2457"/>
      <c r="AC576" s="2457">
        <v>15</v>
      </c>
      <c r="AD576" s="2457"/>
      <c r="AE576" s="2616">
        <v>20</v>
      </c>
      <c r="AF576" s="2617"/>
      <c r="AK576" s="252"/>
      <c r="AL576" s="252"/>
      <c r="AM576" s="8"/>
      <c r="AN576" s="439"/>
      <c r="AP576" s="2463" t="str">
        <f t="shared" si="0"/>
        <v>2 BR</v>
      </c>
      <c r="AQ576" s="2464"/>
      <c r="AR576" s="2464"/>
      <c r="AS576" s="2464"/>
      <c r="AT576" s="2465"/>
      <c r="AU576" s="2458">
        <f t="shared" si="1"/>
        <v>5</v>
      </c>
      <c r="AV576" s="2459"/>
      <c r="AW576" s="2459"/>
      <c r="AX576" s="2459"/>
      <c r="AY576" s="2460"/>
      <c r="AZ576" s="2458">
        <f t="shared" si="2"/>
        <v>1</v>
      </c>
      <c r="BA576" s="2459"/>
      <c r="BB576" s="2459"/>
      <c r="BC576" s="2459"/>
      <c r="BD576" s="2460"/>
      <c r="BE576" s="1920">
        <f t="shared" si="3"/>
        <v>0.2</v>
      </c>
      <c r="BF576" s="1921"/>
      <c r="BG576" s="1921"/>
      <c r="BH576" s="1921"/>
      <c r="BI576" s="1922"/>
      <c r="BJ576" s="1932"/>
      <c r="BK576" s="2469"/>
      <c r="BL576" s="2469"/>
      <c r="BM576" s="2469"/>
      <c r="BN576" s="1933"/>
      <c r="BO576" s="1932"/>
      <c r="BP576" s="2469"/>
      <c r="BQ576" s="2469"/>
      <c r="BR576" s="2469"/>
      <c r="BS576" s="1933"/>
      <c r="BT576" s="1932"/>
      <c r="BU576" s="2469"/>
      <c r="BV576" s="2469"/>
      <c r="BW576" s="2469"/>
      <c r="BX576" s="1933"/>
      <c r="BY576" s="1932">
        <f>IF(AND(AND(AZ573+AZ574+AZ575=0,BO574+BT575+BJ573=0,AP586=1)),1,0)</f>
        <v>0</v>
      </c>
      <c r="BZ576" s="2469"/>
      <c r="CA576" s="2469"/>
      <c r="CB576" s="2469"/>
      <c r="CC576" s="1933"/>
      <c r="CD576" s="1932"/>
      <c r="CE576" s="2469"/>
      <c r="CF576" s="2469"/>
      <c r="CG576" s="2469"/>
      <c r="CH576" s="1933"/>
      <c r="CI576" s="1932"/>
      <c r="CJ576" s="2469"/>
      <c r="CK576" s="2469"/>
      <c r="CL576" s="2469"/>
      <c r="CM576" s="1933"/>
      <c r="CN576" s="65"/>
      <c r="CO576" s="65"/>
      <c r="CP576" s="65"/>
      <c r="CQ576" s="65"/>
      <c r="CR576" s="65"/>
    </row>
    <row r="577" spans="2:96" s="46" customFormat="1" ht="12.75" customHeight="1">
      <c r="B577" s="8"/>
      <c r="C577" s="8"/>
      <c r="D577" s="8"/>
      <c r="E577" s="1817" t="s">
        <v>1042</v>
      </c>
      <c r="F577" s="1860"/>
      <c r="G577" s="1860"/>
      <c r="H577" s="1860"/>
      <c r="I577" s="1860"/>
      <c r="J577" s="1860"/>
      <c r="K577" s="1860"/>
      <c r="L577" s="1860"/>
      <c r="M577" s="1860"/>
      <c r="N577" s="1860"/>
      <c r="O577" s="1860"/>
      <c r="P577" s="1860"/>
      <c r="Q577" s="1860"/>
      <c r="R577" s="1860"/>
      <c r="S577" s="1860"/>
      <c r="T577" s="1860"/>
      <c r="U577" s="1860"/>
      <c r="V577" s="1860"/>
      <c r="W577" s="1860"/>
      <c r="X577" s="1860"/>
      <c r="Y577" s="1860"/>
      <c r="Z577" s="1860"/>
      <c r="AA577" s="1860"/>
      <c r="AB577" s="1860"/>
      <c r="AC577" s="1860"/>
      <c r="AD577" s="1860"/>
      <c r="AE577" s="1860"/>
      <c r="AF577" s="1860"/>
      <c r="AG577" s="1860"/>
      <c r="AH577" s="1861"/>
      <c r="AK577" s="252"/>
      <c r="AL577" s="252"/>
      <c r="AM577" s="8"/>
      <c r="AN577" s="439"/>
      <c r="AP577" s="2463" t="str">
        <f t="shared" si="0"/>
        <v>1 BR</v>
      </c>
      <c r="AQ577" s="2464"/>
      <c r="AR577" s="2464"/>
      <c r="AS577" s="2464"/>
      <c r="AT577" s="2465"/>
      <c r="AU577" s="2458">
        <f t="shared" si="1"/>
        <v>44</v>
      </c>
      <c r="AV577" s="2459"/>
      <c r="AW577" s="2459"/>
      <c r="AX577" s="2459"/>
      <c r="AY577" s="2460"/>
      <c r="AZ577" s="2458">
        <f t="shared" si="2"/>
        <v>9</v>
      </c>
      <c r="BA577" s="2459"/>
      <c r="BB577" s="2459"/>
      <c r="BC577" s="2459"/>
      <c r="BD577" s="2460"/>
      <c r="BE577" s="1920">
        <f t="shared" si="3"/>
        <v>0.20454545454545456</v>
      </c>
      <c r="BF577" s="1921"/>
      <c r="BG577" s="1921"/>
      <c r="BH577" s="1921"/>
      <c r="BI577" s="1922"/>
      <c r="BJ577" s="1932"/>
      <c r="BK577" s="2469"/>
      <c r="BL577" s="2469"/>
      <c r="BM577" s="2469"/>
      <c r="BN577" s="1933"/>
      <c r="BO577" s="1932"/>
      <c r="BP577" s="2469"/>
      <c r="BQ577" s="2469"/>
      <c r="BR577" s="2469"/>
      <c r="BS577" s="1933"/>
      <c r="BT577" s="1932"/>
      <c r="BU577" s="2469"/>
      <c r="BV577" s="2469"/>
      <c r="BW577" s="2469"/>
      <c r="BX577" s="1933"/>
      <c r="BY577" s="1932"/>
      <c r="BZ577" s="2469"/>
      <c r="CA577" s="2469"/>
      <c r="CB577" s="2469"/>
      <c r="CC577" s="1933"/>
      <c r="CD577" s="1932">
        <f>IF(AND(AND(BE574+BE575+BE576+BE573=0,BT575+BY576+BO574+BJ573=0,AP587=1)),1,0)</f>
        <v>0</v>
      </c>
      <c r="CE577" s="2469"/>
      <c r="CF577" s="2469"/>
      <c r="CG577" s="2469"/>
      <c r="CH577" s="1933"/>
      <c r="CI577" s="1932"/>
      <c r="CJ577" s="2469"/>
      <c r="CK577" s="2469"/>
      <c r="CL577" s="2469"/>
      <c r="CM577" s="1933"/>
      <c r="CN577" s="65"/>
      <c r="CO577" s="65"/>
      <c r="CP577" s="65"/>
      <c r="CQ577" s="65"/>
      <c r="CR577" s="65"/>
    </row>
    <row r="578" spans="2:96" s="46" customFormat="1" ht="12.75" customHeight="1">
      <c r="E578" s="2585"/>
      <c r="F578" s="1856"/>
      <c r="G578" s="1856"/>
      <c r="H578" s="1856"/>
      <c r="I578" s="1856"/>
      <c r="J578" s="1856"/>
      <c r="K578" s="1856"/>
      <c r="L578" s="1856"/>
      <c r="M578" s="1856"/>
      <c r="N578" s="1856"/>
      <c r="O578" s="1856"/>
      <c r="P578" s="1856"/>
      <c r="Q578" s="1856"/>
      <c r="R578" s="1856"/>
      <c r="S578" s="1856"/>
      <c r="T578" s="1856"/>
      <c r="U578" s="1856"/>
      <c r="V578" s="1856"/>
      <c r="W578" s="1856"/>
      <c r="X578" s="1856"/>
      <c r="Y578" s="1856"/>
      <c r="Z578" s="1856"/>
      <c r="AA578" s="1856"/>
      <c r="AB578" s="1856"/>
      <c r="AC578" s="1856"/>
      <c r="AD578" s="1856"/>
      <c r="AE578" s="1856"/>
      <c r="AF578" s="1856"/>
      <c r="AG578" s="1856"/>
      <c r="AH578" s="2586"/>
      <c r="AN578" s="439"/>
      <c r="AP578" s="2463" t="str">
        <f t="shared" si="0"/>
        <v>SRO</v>
      </c>
      <c r="AQ578" s="2464"/>
      <c r="AR578" s="2464"/>
      <c r="AS578" s="2464"/>
      <c r="AT578" s="2465"/>
      <c r="AU578" s="2458">
        <f t="shared" si="1"/>
        <v>0</v>
      </c>
      <c r="AV578" s="2459"/>
      <c r="AW578" s="2459"/>
      <c r="AX578" s="2459"/>
      <c r="AY578" s="2460"/>
      <c r="AZ578" s="2458">
        <f t="shared" si="2"/>
        <v>0</v>
      </c>
      <c r="BA578" s="2459"/>
      <c r="BB578" s="2459"/>
      <c r="BC578" s="2459"/>
      <c r="BD578" s="2460"/>
      <c r="BE578" s="1920">
        <f t="shared" si="3"/>
        <v>0</v>
      </c>
      <c r="BF578" s="1921"/>
      <c r="BG578" s="1921"/>
      <c r="BH578" s="1921"/>
      <c r="BI578" s="1922"/>
      <c r="BJ578" s="1932"/>
      <c r="BK578" s="2469"/>
      <c r="BL578" s="2469"/>
      <c r="BM578" s="2469"/>
      <c r="BN578" s="1933"/>
      <c r="BO578" s="1932"/>
      <c r="BP578" s="2469"/>
      <c r="BQ578" s="2469"/>
      <c r="BR578" s="2469"/>
      <c r="BS578" s="1933"/>
      <c r="BT578" s="1932"/>
      <c r="BU578" s="2469"/>
      <c r="BV578" s="2469"/>
      <c r="BW578" s="2469"/>
      <c r="BX578" s="1933"/>
      <c r="BY578" s="1932"/>
      <c r="BZ578" s="2469"/>
      <c r="CA578" s="2469"/>
      <c r="CB578" s="2469"/>
      <c r="CC578" s="1933"/>
      <c r="CD578" s="1932"/>
      <c r="CE578" s="2469"/>
      <c r="CF578" s="2469"/>
      <c r="CG578" s="2469"/>
      <c r="CH578" s="1933"/>
      <c r="CI578" s="1932">
        <f>IF(AND(AND(AZ575+AZ576+AZ577+AZ574+AZ573=0,BY576+CD577+BT575+BO574+BJ573=0,AP588=1)),1,0)</f>
        <v>0</v>
      </c>
      <c r="CJ578" s="2469"/>
      <c r="CK578" s="2469"/>
      <c r="CL578" s="2469"/>
      <c r="CM578" s="1933"/>
      <c r="CN578" s="65"/>
      <c r="CO578" s="65"/>
      <c r="CP578" s="65"/>
      <c r="CQ578" s="65"/>
      <c r="CR578" s="65"/>
    </row>
    <row r="579" spans="2:96" s="46" customFormat="1" ht="12.75" customHeight="1">
      <c r="E579" s="2618" t="s">
        <v>1686</v>
      </c>
      <c r="F579" s="2619"/>
      <c r="G579" s="2619"/>
      <c r="H579" s="2619"/>
      <c r="I579" s="2619"/>
      <c r="J579" s="2620"/>
      <c r="K579" s="2618" t="s">
        <v>1987</v>
      </c>
      <c r="L579" s="2619"/>
      <c r="M579" s="2619"/>
      <c r="N579" s="2619"/>
      <c r="O579" s="2619"/>
      <c r="P579" s="2620"/>
      <c r="Q579" s="2577" t="s">
        <v>1682</v>
      </c>
      <c r="R579" s="2578"/>
      <c r="S579" s="2578"/>
      <c r="T579" s="2578"/>
      <c r="U579" s="2578"/>
      <c r="V579" s="2579"/>
      <c r="W579" s="2577" t="str">
        <f>I568</f>
        <v>Percent of Low-Income Units (exclusive of manager’s units)</v>
      </c>
      <c r="X579" s="2578"/>
      <c r="Y579" s="2578"/>
      <c r="Z579" s="2578"/>
      <c r="AA579" s="2578"/>
      <c r="AB579" s="2579"/>
      <c r="AC579" s="2577" t="s">
        <v>1685</v>
      </c>
      <c r="AD579" s="2578"/>
      <c r="AE579" s="2578"/>
      <c r="AF579" s="2578"/>
      <c r="AG579" s="2578"/>
      <c r="AH579" s="2579"/>
      <c r="AN579" s="439"/>
      <c r="AP579" s="2463" t="str">
        <f t="shared" si="0"/>
        <v>Total:</v>
      </c>
      <c r="AQ579" s="2464"/>
      <c r="AR579" s="2464"/>
      <c r="AS579" s="2464"/>
      <c r="AT579" s="2465"/>
      <c r="AU579" s="2463"/>
      <c r="AV579" s="2464"/>
      <c r="AW579" s="2464"/>
      <c r="AX579" s="2464"/>
      <c r="AY579" s="2465"/>
      <c r="AZ579" s="2463"/>
      <c r="BA579" s="2464"/>
      <c r="BB579" s="2464"/>
      <c r="BC579" s="2464"/>
      <c r="BD579" s="2465"/>
      <c r="BE579" s="2463"/>
      <c r="BF579" s="2464"/>
      <c r="BG579" s="2464"/>
      <c r="BH579" s="2464"/>
      <c r="BI579" s="2465"/>
      <c r="BJ579" s="1932">
        <f>SUM(BJ573:BN578)</f>
        <v>0</v>
      </c>
      <c r="BK579" s="2469"/>
      <c r="BL579" s="2469"/>
      <c r="BM579" s="2469"/>
      <c r="BN579" s="1933"/>
      <c r="BO579" s="1932">
        <f>SUM(BO573:BS578)</f>
        <v>0</v>
      </c>
      <c r="BP579" s="2469"/>
      <c r="BQ579" s="2469"/>
      <c r="BR579" s="2469"/>
      <c r="BS579" s="1933"/>
      <c r="BT579" s="1932">
        <f>SUM(BT573:BX578)</f>
        <v>0</v>
      </c>
      <c r="BU579" s="2469"/>
      <c r="BV579" s="2469"/>
      <c r="BW579" s="2469"/>
      <c r="BX579" s="1933"/>
      <c r="BY579" s="1932">
        <f>SUM(BY573:CC578)</f>
        <v>0</v>
      </c>
      <c r="BZ579" s="2469"/>
      <c r="CA579" s="2469"/>
      <c r="CB579" s="2469"/>
      <c r="CC579" s="1933"/>
      <c r="CD579" s="1932">
        <f>SUM(CD573:CH578)</f>
        <v>0</v>
      </c>
      <c r="CE579" s="2469"/>
      <c r="CF579" s="2469"/>
      <c r="CG579" s="2469"/>
      <c r="CH579" s="1933"/>
      <c r="CI579" s="1932">
        <f>SUM(CI573:CM578)</f>
        <v>0</v>
      </c>
      <c r="CJ579" s="2469"/>
      <c r="CK579" s="2469"/>
      <c r="CL579" s="2469"/>
      <c r="CM579" s="1933"/>
      <c r="CN579" s="1932">
        <f>SUM(BJ579:CM579)</f>
        <v>0</v>
      </c>
      <c r="CO579" s="2469"/>
      <c r="CP579" s="2469"/>
      <c r="CQ579" s="2469"/>
      <c r="CR579" s="1933"/>
    </row>
    <row r="580" spans="2:96" s="46" customFormat="1" ht="12.75" customHeight="1">
      <c r="E580" s="2621"/>
      <c r="F580" s="2622"/>
      <c r="G580" s="2622"/>
      <c r="H580" s="2622"/>
      <c r="I580" s="2622"/>
      <c r="J580" s="2623"/>
      <c r="K580" s="2621"/>
      <c r="L580" s="2622"/>
      <c r="M580" s="2622"/>
      <c r="N580" s="2622"/>
      <c r="O580" s="2622"/>
      <c r="P580" s="2623"/>
      <c r="Q580" s="2396"/>
      <c r="R580" s="2397"/>
      <c r="S580" s="2397"/>
      <c r="T580" s="2397"/>
      <c r="U580" s="2397"/>
      <c r="V580" s="2398"/>
      <c r="W580" s="2396"/>
      <c r="X580" s="2397"/>
      <c r="Y580" s="2397"/>
      <c r="Z580" s="2397"/>
      <c r="AA580" s="2397"/>
      <c r="AB580" s="2398"/>
      <c r="AC580" s="2396"/>
      <c r="AD580" s="2397"/>
      <c r="AE580" s="2397"/>
      <c r="AF580" s="2397"/>
      <c r="AG580" s="2397"/>
      <c r="AH580" s="2398"/>
      <c r="AN580" s="439"/>
    </row>
    <row r="581" spans="2:96" s="46" customFormat="1" ht="12.75" customHeight="1">
      <c r="E581" s="2621"/>
      <c r="F581" s="2622"/>
      <c r="G581" s="2622"/>
      <c r="H581" s="2622"/>
      <c r="I581" s="2622"/>
      <c r="J581" s="2623"/>
      <c r="K581" s="2621"/>
      <c r="L581" s="2622"/>
      <c r="M581" s="2622"/>
      <c r="N581" s="2622"/>
      <c r="O581" s="2622"/>
      <c r="P581" s="2623"/>
      <c r="Q581" s="2396"/>
      <c r="R581" s="2397"/>
      <c r="S581" s="2397"/>
      <c r="T581" s="2397"/>
      <c r="U581" s="2397"/>
      <c r="V581" s="2398"/>
      <c r="W581" s="2396"/>
      <c r="X581" s="2397"/>
      <c r="Y581" s="2397"/>
      <c r="Z581" s="2397"/>
      <c r="AA581" s="2397"/>
      <c r="AB581" s="2398"/>
      <c r="AC581" s="2396"/>
      <c r="AD581" s="2397"/>
      <c r="AE581" s="2397"/>
      <c r="AF581" s="2397"/>
      <c r="AG581" s="2397"/>
      <c r="AH581" s="2398"/>
      <c r="AN581" s="439"/>
    </row>
    <row r="582" spans="2:96" s="46" customFormat="1" ht="12.75" customHeight="1">
      <c r="E582" s="2621"/>
      <c r="F582" s="2622"/>
      <c r="G582" s="2622"/>
      <c r="H582" s="2622"/>
      <c r="I582" s="2622"/>
      <c r="J582" s="2623"/>
      <c r="K582" s="2621"/>
      <c r="L582" s="2622"/>
      <c r="M582" s="2622"/>
      <c r="N582" s="2622"/>
      <c r="O582" s="2622"/>
      <c r="P582" s="2623"/>
      <c r="Q582" s="2396"/>
      <c r="R582" s="2397"/>
      <c r="S582" s="2397"/>
      <c r="T582" s="2397"/>
      <c r="U582" s="2397"/>
      <c r="V582" s="2398"/>
      <c r="W582" s="2396"/>
      <c r="X582" s="2397"/>
      <c r="Y582" s="2397"/>
      <c r="Z582" s="2397"/>
      <c r="AA582" s="2397"/>
      <c r="AB582" s="2398"/>
      <c r="AC582" s="2396"/>
      <c r="AD582" s="2397"/>
      <c r="AE582" s="2397"/>
      <c r="AF582" s="2397"/>
      <c r="AG582" s="2397"/>
      <c r="AH582" s="2398"/>
      <c r="AN582" s="439"/>
      <c r="AP582" s="63" t="s">
        <v>1248</v>
      </c>
      <c r="BH582" s="63" t="s">
        <v>1249</v>
      </c>
    </row>
    <row r="583" spans="2:96" s="46" customFormat="1" ht="12.75" customHeight="1">
      <c r="E583" s="2350"/>
      <c r="F583" s="2351"/>
      <c r="G583" s="2351"/>
      <c r="H583" s="2351"/>
      <c r="I583" s="2351"/>
      <c r="J583" s="2352"/>
      <c r="K583" s="2347">
        <v>20</v>
      </c>
      <c r="L583" s="2348"/>
      <c r="M583" s="2348"/>
      <c r="N583" s="2348"/>
      <c r="O583" s="2348"/>
      <c r="P583" s="2349"/>
      <c r="Q583" s="2361">
        <f>IF(ISERROR(IF((((E583/$BJ$530)*100)&gt;100),"EXCESSIVE VALUE",(E583/$BJ$530)*100)),0,IF((((E583/$BJ$530)*100)&gt;100),"EXCESSIVE VALUE",(E583/$BJ$530)*100))</f>
        <v>0</v>
      </c>
      <c r="R583" s="2362"/>
      <c r="S583" s="2362"/>
      <c r="T583" s="2362"/>
      <c r="U583" s="2362"/>
      <c r="V583" s="2363"/>
      <c r="W583" s="2353">
        <f>IF(FLOOR(Q583,5)&gt;80,80,FLOOR(Q583,5))</f>
        <v>0</v>
      </c>
      <c r="X583" s="2354"/>
      <c r="Y583" s="2354"/>
      <c r="Z583" s="2354"/>
      <c r="AA583" s="2354"/>
      <c r="AB583" s="2355"/>
      <c r="AC583" s="2353">
        <f t="shared" ref="AC583:AC588" si="4">IF(W583&gt;0,INDEX($BI$509:$BP$523,MATCH(W583,$BH$509:$BH$523,0),MATCH(K583,$BI$508:$BP$508,0)),0)</f>
        <v>0</v>
      </c>
      <c r="AD583" s="2354"/>
      <c r="AE583" s="2354"/>
      <c r="AF583" s="2354"/>
      <c r="AG583" s="2354"/>
      <c r="AH583" s="2355"/>
      <c r="AN583" s="439"/>
      <c r="AO583" s="46">
        <v>5</v>
      </c>
      <c r="AP583" s="2482">
        <f t="shared" ref="AP583:AP588" si="5">IF(OR(BE573&gt;=0.1,BE573=0),0,1)</f>
        <v>0</v>
      </c>
      <c r="AQ583" s="2483"/>
      <c r="AR583" s="2483"/>
      <c r="AS583" s="2483"/>
      <c r="AT583" s="2484"/>
      <c r="AX583" s="2455" t="s">
        <v>869</v>
      </c>
      <c r="AY583" s="2461"/>
      <c r="AZ583" s="2461"/>
      <c r="BA583" s="2461"/>
      <c r="BB583" s="2461"/>
      <c r="BC583" s="2461"/>
      <c r="BD583" s="2461"/>
      <c r="BE583" s="2461"/>
      <c r="BF583" s="2461"/>
      <c r="BG583" s="2461"/>
      <c r="BH583" s="2461"/>
      <c r="BI583" s="2461"/>
      <c r="BJ583" s="2461"/>
      <c r="BK583" s="2461"/>
      <c r="BL583" s="2461"/>
      <c r="BM583" s="2461"/>
      <c r="BN583" s="2461"/>
      <c r="BO583" s="2461"/>
      <c r="BP583" s="2461"/>
      <c r="BQ583" s="2456"/>
    </row>
    <row r="584" spans="2:96" s="46" customFormat="1" ht="12.75" customHeight="1">
      <c r="E584" s="2350">
        <v>10</v>
      </c>
      <c r="F584" s="2351"/>
      <c r="G584" s="2351"/>
      <c r="H584" s="2351"/>
      <c r="I584" s="2351"/>
      <c r="J584" s="2352"/>
      <c r="K584" s="2347">
        <v>30</v>
      </c>
      <c r="L584" s="2348"/>
      <c r="M584" s="2348"/>
      <c r="N584" s="2348"/>
      <c r="O584" s="2348"/>
      <c r="P584" s="2349"/>
      <c r="Q584" s="2361">
        <f t="shared" ref="Q584:Q591" si="6">IF(ISERROR(IF((((E584/$BJ$530)*100)&gt;100),"EXCESSIVE VALUE",(E584/$BJ$530)*100)),0,IF((((E584/$BJ$530)*100)&gt;100),"EXCESSIVE VALUE",(E584/$BJ$530)*100))</f>
        <v>20.408163265306122</v>
      </c>
      <c r="R584" s="2362"/>
      <c r="S584" s="2362"/>
      <c r="T584" s="2362"/>
      <c r="U584" s="2362"/>
      <c r="V584" s="2363"/>
      <c r="W584" s="2353">
        <f>IF(FLOOR(Q584,5)&gt;80,80,FLOOR(Q584,5))</f>
        <v>20</v>
      </c>
      <c r="X584" s="2354"/>
      <c r="Y584" s="2354"/>
      <c r="Z584" s="2354"/>
      <c r="AA584" s="2354"/>
      <c r="AB584" s="2355"/>
      <c r="AC584" s="2353">
        <f t="shared" si="4"/>
        <v>30</v>
      </c>
      <c r="AD584" s="2354"/>
      <c r="AE584" s="2354"/>
      <c r="AF584" s="2354"/>
      <c r="AG584" s="2354"/>
      <c r="AH584" s="2355"/>
      <c r="AN584" s="439"/>
      <c r="AO584" s="46">
        <v>4</v>
      </c>
      <c r="AP584" s="2482">
        <f t="shared" si="5"/>
        <v>0</v>
      </c>
      <c r="AQ584" s="2483"/>
      <c r="AR584" s="2483"/>
      <c r="AS584" s="2483"/>
      <c r="AT584" s="2484"/>
      <c r="AX584" s="2480" t="s">
        <v>681</v>
      </c>
      <c r="AY584" s="2481"/>
      <c r="AZ584" s="1833" t="s">
        <v>681</v>
      </c>
      <c r="BA584" s="1834"/>
      <c r="BB584" s="2480" t="s">
        <v>293</v>
      </c>
      <c r="BC584" s="2481"/>
      <c r="BD584" s="2470" t="s">
        <v>293</v>
      </c>
      <c r="BE584" s="2472"/>
      <c r="BF584" s="2480" t="s">
        <v>292</v>
      </c>
      <c r="BG584" s="2481"/>
      <c r="BH584" s="2470" t="s">
        <v>292</v>
      </c>
      <c r="BI584" s="2472"/>
      <c r="BJ584" s="2480" t="s">
        <v>291</v>
      </c>
      <c r="BK584" s="2481"/>
      <c r="BL584" s="2470" t="s">
        <v>291</v>
      </c>
      <c r="BM584" s="2472"/>
      <c r="BN584" s="2480" t="s">
        <v>680</v>
      </c>
      <c r="BO584" s="2481"/>
      <c r="BP584" s="2470" t="s">
        <v>680</v>
      </c>
      <c r="BQ584" s="2472"/>
    </row>
    <row r="585" spans="2:96" s="46" customFormat="1" ht="12.75" customHeight="1">
      <c r="E585" s="2350"/>
      <c r="F585" s="2351"/>
      <c r="G585" s="2351"/>
      <c r="H585" s="2351"/>
      <c r="I585" s="2351"/>
      <c r="J585" s="2352"/>
      <c r="K585" s="2347">
        <v>35</v>
      </c>
      <c r="L585" s="2348"/>
      <c r="M585" s="2348"/>
      <c r="N585" s="2348"/>
      <c r="O585" s="2348"/>
      <c r="P585" s="2349"/>
      <c r="Q585" s="2361">
        <f t="shared" si="6"/>
        <v>0</v>
      </c>
      <c r="R585" s="2362"/>
      <c r="S585" s="2362"/>
      <c r="T585" s="2362"/>
      <c r="U585" s="2362"/>
      <c r="V585" s="2363"/>
      <c r="W585" s="2353">
        <f t="shared" ref="W585:W591" si="7">IF(FLOOR(Q585,5)&gt;80,80,FLOOR(Q585,5))</f>
        <v>0</v>
      </c>
      <c r="X585" s="2354"/>
      <c r="Y585" s="2354"/>
      <c r="Z585" s="2354"/>
      <c r="AA585" s="2354"/>
      <c r="AB585" s="2355"/>
      <c r="AC585" s="2353">
        <f t="shared" si="4"/>
        <v>0</v>
      </c>
      <c r="AD585" s="2354"/>
      <c r="AE585" s="2354"/>
      <c r="AF585" s="2354"/>
      <c r="AG585" s="2354"/>
      <c r="AH585" s="2355"/>
      <c r="AN585" s="439"/>
      <c r="AO585" s="137">
        <v>3</v>
      </c>
      <c r="AP585" s="2347">
        <f t="shared" si="5"/>
        <v>0</v>
      </c>
      <c r="AQ585" s="2348"/>
      <c r="AR585" s="2348"/>
      <c r="AS585" s="2348"/>
      <c r="AT585" s="2349"/>
      <c r="AX585" s="2480">
        <f>IF(AP535=1,1,0)</f>
        <v>0</v>
      </c>
      <c r="AY585" s="2481"/>
      <c r="AZ585" s="2455"/>
      <c r="BA585" s="2456"/>
      <c r="BB585" s="2478"/>
      <c r="BC585" s="2479"/>
      <c r="BD585" s="2470">
        <f>IF(AND(T608&gt;0,AP535&gt;0),1,0)</f>
        <v>0</v>
      </c>
      <c r="BE585" s="2472"/>
      <c r="BF585" s="2478"/>
      <c r="BG585" s="2479"/>
      <c r="BH585" s="2470">
        <f>IF(AND(T608&gt;0,AP535&gt;0),1,0)</f>
        <v>0</v>
      </c>
      <c r="BI585" s="2472"/>
      <c r="BJ585" s="2478"/>
      <c r="BK585" s="2479"/>
      <c r="BL585" s="2470">
        <f>IF(AND(T608&gt;0,AP535&gt;0),1,0)</f>
        <v>0</v>
      </c>
      <c r="BM585" s="2472"/>
      <c r="BN585" s="2478"/>
      <c r="BO585" s="2479"/>
      <c r="BP585" s="2470">
        <f>IF(AND(T608&gt;0,AP535&gt;0),1,0)</f>
        <v>0</v>
      </c>
      <c r="BQ585" s="2472"/>
    </row>
    <row r="586" spans="2:96" s="46" customFormat="1" ht="12.75" customHeight="1">
      <c r="E586" s="2350"/>
      <c r="F586" s="2351"/>
      <c r="G586" s="2351"/>
      <c r="H586" s="2351"/>
      <c r="I586" s="2351"/>
      <c r="J586" s="2352"/>
      <c r="K586" s="2347">
        <v>40</v>
      </c>
      <c r="L586" s="2348"/>
      <c r="M586" s="2348"/>
      <c r="N586" s="2348"/>
      <c r="O586" s="2348"/>
      <c r="P586" s="2349"/>
      <c r="Q586" s="2361">
        <f t="shared" si="6"/>
        <v>0</v>
      </c>
      <c r="R586" s="2362"/>
      <c r="S586" s="2362"/>
      <c r="T586" s="2362"/>
      <c r="U586" s="2362"/>
      <c r="V586" s="2363"/>
      <c r="W586" s="2353">
        <f t="shared" si="7"/>
        <v>0</v>
      </c>
      <c r="X586" s="2354"/>
      <c r="Y586" s="2354"/>
      <c r="Z586" s="2354"/>
      <c r="AA586" s="2354"/>
      <c r="AB586" s="2355"/>
      <c r="AC586" s="2353">
        <f t="shared" si="4"/>
        <v>0</v>
      </c>
      <c r="AD586" s="2354"/>
      <c r="AE586" s="2354"/>
      <c r="AF586" s="2354"/>
      <c r="AG586" s="2354"/>
      <c r="AH586" s="2355"/>
      <c r="AN586" s="439"/>
      <c r="AO586" s="46">
        <v>2</v>
      </c>
      <c r="AP586" s="2482">
        <f t="shared" si="5"/>
        <v>0</v>
      </c>
      <c r="AQ586" s="2483"/>
      <c r="AR586" s="2483"/>
      <c r="AS586" s="2483"/>
      <c r="AT586" s="2484"/>
      <c r="AX586" s="2478"/>
      <c r="AY586" s="2479"/>
      <c r="AZ586" s="2455"/>
      <c r="BA586" s="2456"/>
      <c r="BB586" s="2480">
        <f>IF(AP536=1,1,0)</f>
        <v>0</v>
      </c>
      <c r="BC586" s="2481"/>
      <c r="BD586" s="2455"/>
      <c r="BE586" s="2456"/>
      <c r="BF586" s="2478"/>
      <c r="BG586" s="2479"/>
      <c r="BH586" s="2470">
        <f>IF(AND(T609&gt;0,AP536&gt;0),1,0)</f>
        <v>0</v>
      </c>
      <c r="BI586" s="2472"/>
      <c r="BJ586" s="2478"/>
      <c r="BK586" s="2479"/>
      <c r="BL586" s="2470">
        <f>IF(AND(T609&gt;0,AP536&gt;0),1,0)</f>
        <v>0</v>
      </c>
      <c r="BM586" s="2472"/>
      <c r="BN586" s="2478"/>
      <c r="BO586" s="2479"/>
      <c r="BP586" s="2470">
        <f>IF(AND(T609&gt;0,AP536&gt;0),1,0)</f>
        <v>0</v>
      </c>
      <c r="BQ586" s="2472"/>
    </row>
    <row r="587" spans="2:96" s="46" customFormat="1" ht="12.75" customHeight="1">
      <c r="E587" s="2350">
        <v>8</v>
      </c>
      <c r="F587" s="2351"/>
      <c r="G587" s="2351"/>
      <c r="H587" s="2351"/>
      <c r="I587" s="2351"/>
      <c r="J587" s="2352"/>
      <c r="K587" s="2347">
        <v>45</v>
      </c>
      <c r="L587" s="2348"/>
      <c r="M587" s="2348"/>
      <c r="N587" s="2348"/>
      <c r="O587" s="2348"/>
      <c r="P587" s="2349"/>
      <c r="Q587" s="2361">
        <f t="shared" si="6"/>
        <v>16.326530612244898</v>
      </c>
      <c r="R587" s="2362"/>
      <c r="S587" s="2362"/>
      <c r="T587" s="2362"/>
      <c r="U587" s="2362"/>
      <c r="V587" s="2363"/>
      <c r="W587" s="2353">
        <f>IF(FLOOR(Q587,5)&gt;65,65,FLOOR(Q587,5))</f>
        <v>15</v>
      </c>
      <c r="X587" s="2354"/>
      <c r="Y587" s="2354"/>
      <c r="Z587" s="2354"/>
      <c r="AA587" s="2354"/>
      <c r="AB587" s="2355"/>
      <c r="AC587" s="2353">
        <f t="shared" si="4"/>
        <v>11.3</v>
      </c>
      <c r="AD587" s="2354"/>
      <c r="AE587" s="2354"/>
      <c r="AF587" s="2354"/>
      <c r="AG587" s="2354"/>
      <c r="AH587" s="2355"/>
      <c r="AN587" s="439"/>
      <c r="AO587" s="46">
        <v>1</v>
      </c>
      <c r="AP587" s="2482">
        <f t="shared" si="5"/>
        <v>0</v>
      </c>
      <c r="AQ587" s="2483"/>
      <c r="AR587" s="2483"/>
      <c r="AS587" s="2483"/>
      <c r="AT587" s="2484"/>
      <c r="AX587" s="2478"/>
      <c r="AY587" s="2479"/>
      <c r="AZ587" s="2455"/>
      <c r="BA587" s="2456"/>
      <c r="BB587" s="2478"/>
      <c r="BC587" s="2479"/>
      <c r="BD587" s="2455"/>
      <c r="BE587" s="2456"/>
      <c r="BF587" s="2480">
        <f>IF(AP537=1,1,0)</f>
        <v>0</v>
      </c>
      <c r="BG587" s="2481"/>
      <c r="BH587" s="2455"/>
      <c r="BI587" s="2456"/>
      <c r="BJ587" s="2478"/>
      <c r="BK587" s="2479"/>
      <c r="BL587" s="2470">
        <f>IF(AND(T610&gt;0,AP537&gt;0),1,0)</f>
        <v>1</v>
      </c>
      <c r="BM587" s="2472"/>
      <c r="BN587" s="2478"/>
      <c r="BO587" s="2479"/>
      <c r="BP587" s="2470">
        <f>IF(AND(T610&gt;0,AP537&gt;0),1,0)</f>
        <v>1</v>
      </c>
      <c r="BQ587" s="2472"/>
    </row>
    <row r="588" spans="2:96" s="46" customFormat="1" ht="12.75" customHeight="1">
      <c r="E588" s="2350">
        <v>17</v>
      </c>
      <c r="F588" s="2351"/>
      <c r="G588" s="2351"/>
      <c r="H588" s="2351"/>
      <c r="I588" s="2351"/>
      <c r="J588" s="2352"/>
      <c r="K588" s="2347">
        <v>50</v>
      </c>
      <c r="L588" s="2348"/>
      <c r="M588" s="2348"/>
      <c r="N588" s="2348"/>
      <c r="O588" s="2348"/>
      <c r="P588" s="2349"/>
      <c r="Q588" s="2361">
        <f t="shared" si="6"/>
        <v>34.693877551020407</v>
      </c>
      <c r="R588" s="2362"/>
      <c r="S588" s="2362"/>
      <c r="T588" s="2362"/>
      <c r="U588" s="2362"/>
      <c r="V588" s="2363"/>
      <c r="W588" s="2353">
        <f>IF(FLOOR(Q588,5)&gt;40,40,FLOOR(Q588,5))</f>
        <v>30</v>
      </c>
      <c r="X588" s="2354"/>
      <c r="Y588" s="2354"/>
      <c r="Z588" s="2354"/>
      <c r="AA588" s="2354"/>
      <c r="AB588" s="2355"/>
      <c r="AC588" s="2353">
        <f t="shared" si="4"/>
        <v>15</v>
      </c>
      <c r="AD588" s="2354"/>
      <c r="AE588" s="2354"/>
      <c r="AF588" s="2354"/>
      <c r="AG588" s="2354"/>
      <c r="AH588" s="2355"/>
      <c r="AN588" s="439"/>
      <c r="AO588" s="46">
        <v>0</v>
      </c>
      <c r="AP588" s="2482">
        <f t="shared" si="5"/>
        <v>0</v>
      </c>
      <c r="AQ588" s="2483"/>
      <c r="AR588" s="2483"/>
      <c r="AS588" s="2483"/>
      <c r="AT588" s="2484"/>
      <c r="AX588" s="2478"/>
      <c r="AY588" s="2479"/>
      <c r="AZ588" s="2455"/>
      <c r="BA588" s="2456"/>
      <c r="BB588" s="2478"/>
      <c r="BC588" s="2479"/>
      <c r="BD588" s="2455"/>
      <c r="BE588" s="2456"/>
      <c r="BF588" s="2478"/>
      <c r="BG588" s="2479"/>
      <c r="BH588" s="2455"/>
      <c r="BI588" s="2456"/>
      <c r="BJ588" s="2480">
        <f>IF(AP538=1,1,0)</f>
        <v>1</v>
      </c>
      <c r="BK588" s="2481"/>
      <c r="BL588" s="2478"/>
      <c r="BM588" s="2479"/>
      <c r="BN588" s="2478"/>
      <c r="BO588" s="2479"/>
      <c r="BP588" s="2470">
        <f>IF(AND(T611&gt;0,AP538&gt;0),1,0)</f>
        <v>1</v>
      </c>
      <c r="BQ588" s="2472"/>
    </row>
    <row r="589" spans="2:96" s="46" customFormat="1" ht="12.75" customHeight="1">
      <c r="E589" s="2447"/>
      <c r="F589" s="2448"/>
      <c r="G589" s="2448"/>
      <c r="H589" s="2448"/>
      <c r="I589" s="2448"/>
      <c r="J589" s="2449"/>
      <c r="K589" s="2443">
        <f>IF(OR(Application!D211="Rural",Application!D211="Rural apportionment (Section 514)",Application!D211="Rural apportionment (Section 515)",Application!D211="Rural apportionment (HOME)",Application!D211="Rural (Native American apportionment)"),50,0)</f>
        <v>0</v>
      </c>
      <c r="L589" s="2444"/>
      <c r="M589" s="2445" t="s">
        <v>2093</v>
      </c>
      <c r="N589" s="2445"/>
      <c r="O589" s="2445"/>
      <c r="P589" s="2446"/>
      <c r="Q589" s="2361">
        <f t="shared" si="6"/>
        <v>0</v>
      </c>
      <c r="R589" s="2362"/>
      <c r="S589" s="2362"/>
      <c r="T589" s="2362"/>
      <c r="U589" s="2362"/>
      <c r="V589" s="2363"/>
      <c r="W589" s="2353">
        <f>IF(FLOOR(Q589,5)&gt;50,50,FLOOR(Q589,5))</f>
        <v>0</v>
      </c>
      <c r="X589" s="2354"/>
      <c r="Y589" s="2354"/>
      <c r="Z589" s="2354"/>
      <c r="AA589" s="2354"/>
      <c r="AB589" s="2355"/>
      <c r="AC589" s="2353">
        <f>IF(W589&gt;0,INDEX($AT$509:$BA$523,MATCH(W589,$AS$509:$AS$523,0),MATCH(K589,$AT$508:$BA$508,0)),0)</f>
        <v>0</v>
      </c>
      <c r="AD589" s="2354"/>
      <c r="AE589" s="2354"/>
      <c r="AF589" s="2354"/>
      <c r="AG589" s="2354"/>
      <c r="AH589" s="2355"/>
      <c r="AN589" s="439"/>
      <c r="AP589" s="2482"/>
      <c r="AQ589" s="2483"/>
      <c r="AR589" s="2483"/>
      <c r="AS589" s="2483"/>
      <c r="AT589" s="2484"/>
      <c r="AX589" s="2478"/>
      <c r="AY589" s="2479"/>
      <c r="AZ589" s="2455"/>
      <c r="BA589" s="2456"/>
      <c r="BB589" s="2478"/>
      <c r="BC589" s="2479"/>
      <c r="BD589" s="2455"/>
      <c r="BE589" s="2456"/>
      <c r="BF589" s="2478"/>
      <c r="BG589" s="2479"/>
      <c r="BH589" s="2455"/>
      <c r="BI589" s="2456"/>
      <c r="BJ589" s="2478"/>
      <c r="BK589" s="2479"/>
      <c r="BL589" s="2478"/>
      <c r="BM589" s="2479"/>
      <c r="BN589" s="2480">
        <f>IF(AP539=1,1,0)</f>
        <v>0</v>
      </c>
      <c r="BO589" s="2481"/>
      <c r="BP589" s="2455"/>
      <c r="BQ589" s="2456"/>
    </row>
    <row r="590" spans="2:96" s="46" customFormat="1" ht="12.75" customHeight="1">
      <c r="E590" s="2447"/>
      <c r="F590" s="2448"/>
      <c r="G590" s="2448"/>
      <c r="H590" s="2448"/>
      <c r="I590" s="2448"/>
      <c r="J590" s="2449"/>
      <c r="K590" s="2443">
        <f>IF(OR(Application!D211="Rural",Application!D211="Rural apportionment (Section 514)",Application!D211="Rural apportionment (Section 515)",Application!D211="Rural apportionment (HOME)",Application!D211="Rural (Native American apportionment)"),55,0)</f>
        <v>0</v>
      </c>
      <c r="L590" s="2444"/>
      <c r="M590" s="2445" t="s">
        <v>2093</v>
      </c>
      <c r="N590" s="2445"/>
      <c r="O590" s="2445"/>
      <c r="P590" s="2446"/>
      <c r="Q590" s="2361">
        <f t="shared" si="6"/>
        <v>0</v>
      </c>
      <c r="R590" s="2362"/>
      <c r="S590" s="2362"/>
      <c r="T590" s="2362"/>
      <c r="U590" s="2362"/>
      <c r="V590" s="2363"/>
      <c r="W590" s="2353">
        <f>IF(FLOOR(Q590,5)&gt;40,40,FLOOR(Q590,5))</f>
        <v>0</v>
      </c>
      <c r="X590" s="2354"/>
      <c r="Y590" s="2354"/>
      <c r="Z590" s="2354"/>
      <c r="AA590" s="2354"/>
      <c r="AB590" s="2355"/>
      <c r="AC590" s="2353">
        <f>IF(W590&gt;0,INDEX($AT$509:$BA$523,MATCH(W590,$AS$509:$AS$523,0),MATCH(K590,$AT$508:$BA$508,0)),0)</f>
        <v>0</v>
      </c>
      <c r="AD590" s="2354"/>
      <c r="AE590" s="2354"/>
      <c r="AF590" s="2354"/>
      <c r="AG590" s="2354"/>
      <c r="AH590" s="2355"/>
      <c r="AN590" s="439"/>
      <c r="AX590" s="2480">
        <f>SUM(AX585:AY589)</f>
        <v>0</v>
      </c>
      <c r="AY590" s="2481"/>
      <c r="AZ590" s="2470">
        <f>SUM(AZ586:BA589)</f>
        <v>0</v>
      </c>
      <c r="BA590" s="2472"/>
      <c r="BB590" s="2480">
        <f>SUM(BB586:BC589)</f>
        <v>0</v>
      </c>
      <c r="BC590" s="2481"/>
      <c r="BD590" s="2470">
        <f>SUM(BD585:BE589)</f>
        <v>0</v>
      </c>
      <c r="BE590" s="2472"/>
      <c r="BF590" s="2480">
        <f>SUM(BF587:BG589)</f>
        <v>0</v>
      </c>
      <c r="BG590" s="2481"/>
      <c r="BH590" s="2470">
        <f>SUM(BH585:BI589)</f>
        <v>0</v>
      </c>
      <c r="BI590" s="2472"/>
      <c r="BJ590" s="2480">
        <f>SUM(BJ585:BK589)</f>
        <v>1</v>
      </c>
      <c r="BK590" s="2481"/>
      <c r="BL590" s="2470">
        <f>SUM(BL585:BM589)</f>
        <v>1</v>
      </c>
      <c r="BM590" s="2472"/>
      <c r="BN590" s="2480">
        <f>SUM(BN585:BO589)</f>
        <v>0</v>
      </c>
      <c r="BO590" s="2481"/>
      <c r="BP590" s="2470">
        <f>SUM(BP585:BQ589)</f>
        <v>2</v>
      </c>
      <c r="BQ590" s="2472"/>
    </row>
    <row r="591" spans="2:96" s="46" customFormat="1" ht="12.75" customHeight="1">
      <c r="E591" s="2350">
        <v>14</v>
      </c>
      <c r="F591" s="2351"/>
      <c r="G591" s="2351"/>
      <c r="H591" s="2351"/>
      <c r="I591" s="2351"/>
      <c r="J591" s="2352"/>
      <c r="K591" s="2347" t="s">
        <v>2094</v>
      </c>
      <c r="L591" s="2348"/>
      <c r="M591" s="2348"/>
      <c r="N591" s="2348"/>
      <c r="O591" s="2348"/>
      <c r="P591" s="2349"/>
      <c r="Q591" s="2361">
        <f t="shared" si="6"/>
        <v>28.571428571428569</v>
      </c>
      <c r="R591" s="2362"/>
      <c r="S591" s="2362"/>
      <c r="T591" s="2362"/>
      <c r="U591" s="2362"/>
      <c r="V591" s="2363"/>
      <c r="W591" s="2353">
        <f t="shared" si="7"/>
        <v>25</v>
      </c>
      <c r="X591" s="2354"/>
      <c r="Y591" s="2354"/>
      <c r="Z591" s="2354"/>
      <c r="AA591" s="2354"/>
      <c r="AB591" s="2355"/>
      <c r="AC591" s="2353">
        <v>0</v>
      </c>
      <c r="AD591" s="2354"/>
      <c r="AE591" s="2354"/>
      <c r="AF591" s="2354"/>
      <c r="AG591" s="2354"/>
      <c r="AH591" s="2355"/>
      <c r="AN591" s="439"/>
      <c r="AX591" s="2475">
        <f>IF(AND(AX590=1,AZ590&gt;1),1,0)</f>
        <v>0</v>
      </c>
      <c r="AY591" s="2476"/>
      <c r="AZ591" s="2476"/>
      <c r="BA591" s="2477"/>
      <c r="BB591" s="2475">
        <f>IF(AND(BB590=1,BD590&gt;=1),1,0)</f>
        <v>0</v>
      </c>
      <c r="BC591" s="2476"/>
      <c r="BD591" s="2476"/>
      <c r="BE591" s="2477"/>
      <c r="BF591" s="2475">
        <f>IF(AND(BF590=1,BH590&gt;=1),1,0)</f>
        <v>0</v>
      </c>
      <c r="BG591" s="2476"/>
      <c r="BH591" s="2476"/>
      <c r="BI591" s="2477"/>
      <c r="BJ591" s="2475">
        <f>IF(AND(BJ590=1,BL590&gt;=1),1,0)</f>
        <v>1</v>
      </c>
      <c r="BK591" s="2476"/>
      <c r="BL591" s="2476"/>
      <c r="BM591" s="2477"/>
      <c r="BN591" s="2475">
        <f>IF(AND(BN590=1,BP590&gt;=1),1,0)</f>
        <v>0</v>
      </c>
      <c r="BO591" s="2476"/>
      <c r="BP591" s="2476"/>
      <c r="BQ591" s="2477"/>
    </row>
    <row r="592" spans="2:96" s="46" customFormat="1" ht="12.75" customHeight="1">
      <c r="E592" s="2590">
        <f>SUM(E583:J591)</f>
        <v>49</v>
      </c>
      <c r="F592" s="2591"/>
      <c r="G592" s="2591"/>
      <c r="H592" s="2591"/>
      <c r="I592" s="2591"/>
      <c r="J592" s="2592"/>
      <c r="K592" s="260"/>
      <c r="L592" s="260"/>
      <c r="M592" s="260"/>
      <c r="N592" s="260"/>
      <c r="O592" s="260"/>
      <c r="P592" s="260"/>
      <c r="Q592" s="260"/>
      <c r="R592" s="260"/>
      <c r="S592" s="260"/>
      <c r="T592" s="260"/>
      <c r="U592" s="254"/>
      <c r="V592" s="254"/>
      <c r="W592" s="254"/>
      <c r="X592" s="254"/>
      <c r="Y592" s="254"/>
      <c r="Z592" s="260"/>
      <c r="AA592" s="254"/>
      <c r="AB592" s="100" t="s">
        <v>670</v>
      </c>
      <c r="AC592" s="2587">
        <f>IF(SUM(AC583:AH591)&gt;0,SUM(AC583:AH591),0)</f>
        <v>56.3</v>
      </c>
      <c r="AD592" s="2588"/>
      <c r="AE592" s="2588"/>
      <c r="AF592" s="2588"/>
      <c r="AG592" s="2588"/>
      <c r="AH592" s="2589"/>
      <c r="AK592" s="8"/>
      <c r="AL592" s="8"/>
      <c r="AM592" s="261"/>
      <c r="AN592" s="439"/>
      <c r="AX592" s="16"/>
      <c r="AY592" s="16"/>
      <c r="AZ592" s="16"/>
      <c r="BA592" s="16"/>
      <c r="BB592" s="16"/>
      <c r="BC592" s="16"/>
      <c r="BD592" s="16"/>
      <c r="BE592" s="16"/>
      <c r="BF592" s="16"/>
      <c r="BG592" s="16"/>
      <c r="BH592" s="16"/>
      <c r="BI592" s="240" t="s">
        <v>675</v>
      </c>
      <c r="BJ592" s="2475">
        <f>AX591+BB591+BF591+BJ591+BN591</f>
        <v>1</v>
      </c>
      <c r="BK592" s="2476"/>
      <c r="BL592" s="2476"/>
      <c r="BM592" s="247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368" t="s">
        <v>114</v>
      </c>
      <c r="AH595" s="2368"/>
      <c r="AI595" s="2368"/>
      <c r="AJ595" s="2368"/>
      <c r="AK595" s="8"/>
      <c r="AL595" s="8"/>
      <c r="AM595" s="8"/>
      <c r="AN595" s="439"/>
    </row>
    <row r="596" spans="1:69" s="46" customFormat="1" ht="12.75" customHeight="1">
      <c r="B596" s="2580" t="s">
        <v>2070</v>
      </c>
      <c r="C596" s="2580"/>
      <c r="D596" s="2580"/>
      <c r="E596" s="2580"/>
      <c r="F596" s="2580"/>
      <c r="G596" s="2580"/>
      <c r="H596" s="2580"/>
      <c r="I596" s="2580"/>
      <c r="J596" s="2580"/>
      <c r="K596" s="2580"/>
      <c r="L596" s="2580"/>
      <c r="M596" s="2580"/>
      <c r="N596" s="2580"/>
      <c r="O596" s="2580"/>
      <c r="P596" s="2580"/>
      <c r="Q596" s="2580"/>
      <c r="R596" s="2580"/>
      <c r="S596" s="2580"/>
      <c r="T596" s="2580"/>
      <c r="U596" s="2580"/>
      <c r="V596" s="2580"/>
      <c r="W596" s="2580"/>
      <c r="X596" s="2580"/>
      <c r="Y596" s="2580"/>
      <c r="Z596" s="2580"/>
      <c r="AA596" s="2580"/>
      <c r="AB596" s="2580"/>
      <c r="AC596" s="2580"/>
      <c r="AD596" s="2580"/>
      <c r="AE596" s="2580"/>
      <c r="AF596" s="2580"/>
      <c r="AG596" s="2580"/>
      <c r="AH596" s="2580"/>
      <c r="AI596" s="65"/>
      <c r="AJ596" s="65"/>
      <c r="AK596" s="16"/>
      <c r="AL596" s="16"/>
      <c r="AM596" s="16"/>
      <c r="AN596" s="439"/>
    </row>
    <row r="597" spans="1:69" s="46" customFormat="1" ht="12.75" customHeight="1">
      <c r="A597" s="65"/>
      <c r="B597" s="2580"/>
      <c r="C597" s="2580"/>
      <c r="D597" s="2580"/>
      <c r="E597" s="2580"/>
      <c r="F597" s="2580"/>
      <c r="G597" s="2580"/>
      <c r="H597" s="2580"/>
      <c r="I597" s="2580"/>
      <c r="J597" s="2580"/>
      <c r="K597" s="2580"/>
      <c r="L597" s="2580"/>
      <c r="M597" s="2580"/>
      <c r="N597" s="2580"/>
      <c r="O597" s="2580"/>
      <c r="P597" s="2580"/>
      <c r="Q597" s="2580"/>
      <c r="R597" s="2580"/>
      <c r="S597" s="2580"/>
      <c r="T597" s="2580"/>
      <c r="U597" s="2580"/>
      <c r="V597" s="2580"/>
      <c r="W597" s="2580"/>
      <c r="X597" s="2580"/>
      <c r="Y597" s="2580"/>
      <c r="Z597" s="2580"/>
      <c r="AA597" s="2580"/>
      <c r="AB597" s="2580"/>
      <c r="AC597" s="2580"/>
      <c r="AD597" s="2580"/>
      <c r="AE597" s="2580"/>
      <c r="AF597" s="2580"/>
      <c r="AG597" s="2580"/>
      <c r="AH597" s="2580"/>
      <c r="AI597" s="65"/>
      <c r="AJ597" s="65"/>
      <c r="AK597" s="16"/>
      <c r="AL597" s="16"/>
      <c r="AM597" s="16"/>
      <c r="AN597" s="439"/>
    </row>
    <row r="598" spans="1:69" s="46" customFormat="1" ht="12.75" customHeight="1">
      <c r="A598" s="65"/>
      <c r="B598" s="2580"/>
      <c r="C598" s="2580"/>
      <c r="D598" s="2580"/>
      <c r="E598" s="2580"/>
      <c r="F598" s="2580"/>
      <c r="G598" s="2580"/>
      <c r="H598" s="2580"/>
      <c r="I598" s="2580"/>
      <c r="J598" s="2580"/>
      <c r="K598" s="2580"/>
      <c r="L598" s="2580"/>
      <c r="M598" s="2580"/>
      <c r="N598" s="2580"/>
      <c r="O598" s="2580"/>
      <c r="P598" s="2580"/>
      <c r="Q598" s="2580"/>
      <c r="R598" s="2580"/>
      <c r="S598" s="2580"/>
      <c r="T598" s="2580"/>
      <c r="U598" s="2580"/>
      <c r="V598" s="2580"/>
      <c r="W598" s="2580"/>
      <c r="X598" s="2580"/>
      <c r="Y598" s="2580"/>
      <c r="Z598" s="2580"/>
      <c r="AA598" s="2580"/>
      <c r="AB598" s="2580"/>
      <c r="AC598" s="2580"/>
      <c r="AD598" s="2580"/>
      <c r="AE598" s="2580"/>
      <c r="AF598" s="2580"/>
      <c r="AG598" s="2580"/>
      <c r="AH598" s="2580"/>
      <c r="AI598" s="65"/>
      <c r="AJ598" s="65"/>
      <c r="AK598" s="16"/>
      <c r="AL598" s="16"/>
      <c r="AM598" s="16"/>
      <c r="AN598" s="439"/>
    </row>
    <row r="599" spans="1:69" s="46" customFormat="1" ht="12.75" customHeight="1">
      <c r="A599" s="65"/>
      <c r="B599" s="2580"/>
      <c r="C599" s="2580"/>
      <c r="D599" s="2580"/>
      <c r="E599" s="2580"/>
      <c r="F599" s="2580"/>
      <c r="G599" s="2580"/>
      <c r="H599" s="2580"/>
      <c r="I599" s="2580"/>
      <c r="J599" s="2580"/>
      <c r="K599" s="2580"/>
      <c r="L599" s="2580"/>
      <c r="M599" s="2580"/>
      <c r="N599" s="2580"/>
      <c r="O599" s="2580"/>
      <c r="P599" s="2580"/>
      <c r="Q599" s="2580"/>
      <c r="R599" s="2580"/>
      <c r="S599" s="2580"/>
      <c r="T599" s="2580"/>
      <c r="U599" s="2580"/>
      <c r="V599" s="2580"/>
      <c r="W599" s="2580"/>
      <c r="X599" s="2580"/>
      <c r="Y599" s="2580"/>
      <c r="Z599" s="2580"/>
      <c r="AA599" s="2580"/>
      <c r="AB599" s="2580"/>
      <c r="AC599" s="2580"/>
      <c r="AD599" s="2580"/>
      <c r="AE599" s="2580"/>
      <c r="AF599" s="2580"/>
      <c r="AG599" s="2580"/>
      <c r="AH599" s="2580"/>
      <c r="AI599" s="65"/>
      <c r="AJ599" s="65"/>
      <c r="AK599" s="16"/>
      <c r="AL599" s="16"/>
      <c r="AM599" s="16"/>
      <c r="AN599" s="439"/>
    </row>
    <row r="600" spans="1:69" s="46" customFormat="1" ht="12.75" customHeight="1">
      <c r="A600" s="65"/>
      <c r="B600" s="2580"/>
      <c r="C600" s="2580"/>
      <c r="D600" s="2580"/>
      <c r="E600" s="2580"/>
      <c r="F600" s="2580"/>
      <c r="G600" s="2580"/>
      <c r="H600" s="2580"/>
      <c r="I600" s="2580"/>
      <c r="J600" s="2580"/>
      <c r="K600" s="2580"/>
      <c r="L600" s="2580"/>
      <c r="M600" s="2580"/>
      <c r="N600" s="2580"/>
      <c r="O600" s="2580"/>
      <c r="P600" s="2580"/>
      <c r="Q600" s="2580"/>
      <c r="R600" s="2580"/>
      <c r="S600" s="2580"/>
      <c r="T600" s="2580"/>
      <c r="U600" s="2580"/>
      <c r="V600" s="2580"/>
      <c r="W600" s="2580"/>
      <c r="X600" s="2580"/>
      <c r="Y600" s="2580"/>
      <c r="Z600" s="2580"/>
      <c r="AA600" s="2580"/>
      <c r="AB600" s="2580"/>
      <c r="AC600" s="2580"/>
      <c r="AD600" s="2580"/>
      <c r="AE600" s="2580"/>
      <c r="AF600" s="2580"/>
      <c r="AG600" s="2580"/>
      <c r="AH600" s="2580"/>
      <c r="AI600" s="65"/>
      <c r="AJ600" s="65"/>
      <c r="AK600" s="16"/>
      <c r="AL600" s="16"/>
      <c r="AM600" s="16"/>
      <c r="AN600" s="439"/>
    </row>
    <row r="601" spans="1:69" s="46" customFormat="1" ht="12.75" customHeight="1">
      <c r="A601" s="65"/>
      <c r="B601" s="2580"/>
      <c r="C601" s="2580"/>
      <c r="D601" s="2580"/>
      <c r="E601" s="2580"/>
      <c r="F601" s="2580"/>
      <c r="G601" s="2580"/>
      <c r="H601" s="2580"/>
      <c r="I601" s="2580"/>
      <c r="J601" s="2580"/>
      <c r="K601" s="2580"/>
      <c r="L601" s="2580"/>
      <c r="M601" s="2580"/>
      <c r="N601" s="2580"/>
      <c r="O601" s="2580"/>
      <c r="P601" s="2580"/>
      <c r="Q601" s="2580"/>
      <c r="R601" s="2580"/>
      <c r="S601" s="2580"/>
      <c r="T601" s="2580"/>
      <c r="U601" s="2580"/>
      <c r="V601" s="2580"/>
      <c r="W601" s="2580"/>
      <c r="X601" s="2580"/>
      <c r="Y601" s="2580"/>
      <c r="Z601" s="2580"/>
      <c r="AA601" s="2580"/>
      <c r="AB601" s="2580"/>
      <c r="AC601" s="2580"/>
      <c r="AD601" s="2580"/>
      <c r="AE601" s="2580"/>
      <c r="AF601" s="2580"/>
      <c r="AG601" s="2580"/>
      <c r="AH601" s="2580"/>
      <c r="AI601" s="65"/>
      <c r="AJ601" s="65"/>
      <c r="AK601" s="65"/>
      <c r="AL601" s="65"/>
      <c r="AM601" s="65"/>
      <c r="AN601" s="1134"/>
    </row>
    <row r="602" spans="1:69">
      <c r="E602" s="245"/>
      <c r="BD602" s="65"/>
      <c r="BE602" s="65"/>
      <c r="BF602" s="65"/>
      <c r="BG602" s="65"/>
      <c r="BH602" s="65"/>
    </row>
    <row r="603" spans="1:69" ht="12.75" customHeight="1">
      <c r="J603" s="2531" t="s">
        <v>870</v>
      </c>
      <c r="K603" s="2532"/>
      <c r="L603" s="2532"/>
      <c r="M603" s="2532"/>
      <c r="N603" s="2533"/>
      <c r="O603" s="2577" t="s">
        <v>1683</v>
      </c>
      <c r="P603" s="2578"/>
      <c r="Q603" s="2578"/>
      <c r="R603" s="2578"/>
      <c r="S603" s="2579"/>
      <c r="T603" s="2577" t="s">
        <v>1997</v>
      </c>
      <c r="U603" s="2578"/>
      <c r="V603" s="2578"/>
      <c r="W603" s="2578"/>
      <c r="X603" s="2579"/>
      <c r="Y603" s="2577" t="s">
        <v>1684</v>
      </c>
      <c r="Z603" s="2578"/>
      <c r="AA603" s="2578"/>
      <c r="AB603" s="2578"/>
      <c r="AC603" s="2579"/>
      <c r="AF603" s="16"/>
      <c r="AG603" s="16"/>
      <c r="AH603" s="16"/>
      <c r="AI603" s="16"/>
      <c r="AJ603" s="16"/>
    </row>
    <row r="604" spans="1:69" ht="12.75" customHeight="1">
      <c r="D604" s="16"/>
      <c r="E604" s="16"/>
      <c r="F604" s="16"/>
      <c r="G604" s="16"/>
      <c r="H604" s="16"/>
      <c r="I604" s="16"/>
      <c r="J604" s="2534"/>
      <c r="K604" s="2535"/>
      <c r="L604" s="2535"/>
      <c r="M604" s="2535"/>
      <c r="N604" s="2536"/>
      <c r="O604" s="2396"/>
      <c r="P604" s="2397"/>
      <c r="Q604" s="2397"/>
      <c r="R604" s="2397"/>
      <c r="S604" s="2398"/>
      <c r="T604" s="2396"/>
      <c r="U604" s="2397"/>
      <c r="V604" s="2397"/>
      <c r="W604" s="2397"/>
      <c r="X604" s="2398"/>
      <c r="Y604" s="2396"/>
      <c r="Z604" s="2397"/>
      <c r="AA604" s="2397"/>
      <c r="AB604" s="2397"/>
      <c r="AC604" s="2398"/>
      <c r="AF604" s="16"/>
      <c r="AG604" s="16"/>
      <c r="AH604" s="16"/>
      <c r="AI604" s="16"/>
      <c r="AJ604" s="16"/>
    </row>
    <row r="605" spans="1:69">
      <c r="I605" s="16"/>
      <c r="J605" s="2534"/>
      <c r="K605" s="2535"/>
      <c r="L605" s="2535"/>
      <c r="M605" s="2535"/>
      <c r="N605" s="2536"/>
      <c r="O605" s="2396"/>
      <c r="P605" s="2397"/>
      <c r="Q605" s="2397"/>
      <c r="R605" s="2397"/>
      <c r="S605" s="2398"/>
      <c r="T605" s="2396"/>
      <c r="U605" s="2397"/>
      <c r="V605" s="2397"/>
      <c r="W605" s="2397"/>
      <c r="X605" s="2398"/>
      <c r="Y605" s="2396"/>
      <c r="Z605" s="2397"/>
      <c r="AA605" s="2397"/>
      <c r="AB605" s="2397"/>
      <c r="AC605" s="2398"/>
      <c r="AD605" s="42"/>
      <c r="AF605" s="16"/>
      <c r="AG605" s="16"/>
      <c r="AH605" s="16"/>
      <c r="AI605" s="16"/>
      <c r="AJ605" s="16"/>
    </row>
    <row r="606" spans="1:69">
      <c r="D606" s="16"/>
      <c r="E606" s="16"/>
      <c r="F606" s="16"/>
      <c r="G606" s="16"/>
      <c r="H606" s="16"/>
      <c r="I606" s="16"/>
      <c r="J606" s="2534"/>
      <c r="K606" s="2535"/>
      <c r="L606" s="2535"/>
      <c r="M606" s="2535"/>
      <c r="N606" s="2536"/>
      <c r="O606" s="2396"/>
      <c r="P606" s="2397"/>
      <c r="Q606" s="2397"/>
      <c r="R606" s="2397"/>
      <c r="S606" s="2398"/>
      <c r="T606" s="2396"/>
      <c r="U606" s="2397"/>
      <c r="V606" s="2397"/>
      <c r="W606" s="2397"/>
      <c r="X606" s="2398"/>
      <c r="Y606" s="2396"/>
      <c r="Z606" s="2397"/>
      <c r="AA606" s="2397"/>
      <c r="AB606" s="2397"/>
      <c r="AC606" s="2398"/>
      <c r="AD606" s="42"/>
      <c r="AF606" s="16"/>
      <c r="AG606" s="16"/>
      <c r="AH606" s="16"/>
      <c r="AI606" s="16"/>
      <c r="AJ606" s="16"/>
    </row>
    <row r="607" spans="1:69">
      <c r="D607" s="16"/>
      <c r="E607" s="16"/>
      <c r="F607" s="16"/>
      <c r="G607" s="16"/>
      <c r="H607" s="16"/>
      <c r="I607" s="16"/>
      <c r="J607" s="2430" t="s">
        <v>251</v>
      </c>
      <c r="K607" s="2431"/>
      <c r="L607" s="2431"/>
      <c r="M607" s="2431"/>
      <c r="N607" s="2432"/>
      <c r="O607" s="2347">
        <f>Application!CM627</f>
        <v>0</v>
      </c>
      <c r="P607" s="2348"/>
      <c r="Q607" s="2348"/>
      <c r="R607" s="2348"/>
      <c r="S607" s="2349"/>
      <c r="T607" s="2347">
        <f>Application!DR628</f>
        <v>0</v>
      </c>
      <c r="U607" s="2348"/>
      <c r="V607" s="2348"/>
      <c r="W607" s="2348"/>
      <c r="X607" s="2349"/>
      <c r="Y607" s="2433">
        <f t="shared" ref="Y607:Y612" si="8">IF(T607&gt;0,T607/O607,0)</f>
        <v>0</v>
      </c>
      <c r="Z607" s="2434"/>
      <c r="AA607" s="2434"/>
      <c r="AB607" s="2434"/>
      <c r="AC607" s="2435"/>
      <c r="AD607" s="42"/>
      <c r="AF607" s="16"/>
      <c r="AG607" s="16"/>
      <c r="AH607" s="16"/>
      <c r="AI607" s="16"/>
      <c r="AJ607" s="16"/>
    </row>
    <row r="608" spans="1:69">
      <c r="D608" s="16"/>
      <c r="E608" s="16"/>
      <c r="F608" s="16"/>
      <c r="G608" s="16"/>
      <c r="H608" s="16"/>
      <c r="I608" s="16"/>
      <c r="J608" s="2430" t="s">
        <v>36</v>
      </c>
      <c r="K608" s="2431"/>
      <c r="L608" s="2431"/>
      <c r="M608" s="2431"/>
      <c r="N608" s="2432"/>
      <c r="O608" s="2347">
        <f>Application!CH627</f>
        <v>0</v>
      </c>
      <c r="P608" s="2348"/>
      <c r="Q608" s="2348"/>
      <c r="R608" s="2348"/>
      <c r="S608" s="2349"/>
      <c r="T608" s="2347">
        <f>Application!DM628</f>
        <v>0</v>
      </c>
      <c r="U608" s="2348"/>
      <c r="V608" s="2348"/>
      <c r="W608" s="2348"/>
      <c r="X608" s="2349"/>
      <c r="Y608" s="2433">
        <f t="shared" si="8"/>
        <v>0</v>
      </c>
      <c r="Z608" s="2434"/>
      <c r="AA608" s="2434"/>
      <c r="AB608" s="2434"/>
      <c r="AC608" s="2435"/>
      <c r="AD608" s="42"/>
      <c r="AF608" s="16"/>
      <c r="AG608" s="16"/>
      <c r="AH608" s="16"/>
      <c r="AI608" s="16"/>
      <c r="AJ608" s="16"/>
    </row>
    <row r="609" spans="1:60">
      <c r="D609" s="16"/>
      <c r="E609" s="16"/>
      <c r="F609" s="16"/>
      <c r="G609" s="16"/>
      <c r="H609" s="16"/>
      <c r="I609" s="16"/>
      <c r="J609" s="2430" t="s">
        <v>293</v>
      </c>
      <c r="K609" s="2431"/>
      <c r="L609" s="2431"/>
      <c r="M609" s="2431"/>
      <c r="N609" s="2432"/>
      <c r="O609" s="2347">
        <f>Application!CC627</f>
        <v>0</v>
      </c>
      <c r="P609" s="2348"/>
      <c r="Q609" s="2348"/>
      <c r="R609" s="2348"/>
      <c r="S609" s="2349"/>
      <c r="T609" s="2347">
        <f>Application!DH628</f>
        <v>0</v>
      </c>
      <c r="U609" s="2348"/>
      <c r="V609" s="2348"/>
      <c r="W609" s="2348"/>
      <c r="X609" s="2349"/>
      <c r="Y609" s="2433">
        <f t="shared" si="8"/>
        <v>0</v>
      </c>
      <c r="Z609" s="2434"/>
      <c r="AA609" s="2434"/>
      <c r="AB609" s="2434"/>
      <c r="AC609" s="2435"/>
      <c r="AD609" s="16"/>
      <c r="AF609" s="16"/>
      <c r="AG609" s="16"/>
      <c r="AH609" s="16"/>
      <c r="AI609" s="16"/>
      <c r="AJ609" s="16"/>
      <c r="AN609" s="1150"/>
    </row>
    <row r="610" spans="1:60">
      <c r="D610" s="16"/>
      <c r="E610" s="16"/>
      <c r="F610" s="16"/>
      <c r="G610" s="16"/>
      <c r="H610" s="16"/>
      <c r="I610" s="16"/>
      <c r="J610" s="2430" t="s">
        <v>292</v>
      </c>
      <c r="K610" s="2431"/>
      <c r="L610" s="2431"/>
      <c r="M610" s="2431"/>
      <c r="N610" s="2432"/>
      <c r="O610" s="2347">
        <f>Application!BX627</f>
        <v>5</v>
      </c>
      <c r="P610" s="2348"/>
      <c r="Q610" s="2348"/>
      <c r="R610" s="2348"/>
      <c r="S610" s="2349"/>
      <c r="T610" s="2347">
        <f>Application!DC628</f>
        <v>1</v>
      </c>
      <c r="U610" s="2348"/>
      <c r="V610" s="2348"/>
      <c r="W610" s="2348"/>
      <c r="X610" s="2349"/>
      <c r="Y610" s="2433">
        <f t="shared" si="8"/>
        <v>0.2</v>
      </c>
      <c r="Z610" s="2434"/>
      <c r="AA610" s="2434"/>
      <c r="AB610" s="2434"/>
      <c r="AC610" s="2435"/>
      <c r="AD610" s="16"/>
      <c r="AF610" s="16"/>
      <c r="AG610" s="16"/>
      <c r="AH610" s="16"/>
      <c r="AI610" s="16"/>
      <c r="AJ610" s="16"/>
      <c r="AN610" s="1150"/>
      <c r="AO610" s="46"/>
      <c r="AP610" s="30"/>
      <c r="AQ610" s="30"/>
      <c r="AR610" s="30"/>
      <c r="AS610" s="30"/>
      <c r="AT610" s="30"/>
    </row>
    <row r="611" spans="1:60">
      <c r="D611" s="16"/>
      <c r="E611" s="16"/>
      <c r="F611" s="16"/>
      <c r="G611" s="16"/>
      <c r="H611" s="16"/>
      <c r="I611" s="16"/>
      <c r="J611" s="2430" t="s">
        <v>291</v>
      </c>
      <c r="K611" s="2431"/>
      <c r="L611" s="2431"/>
      <c r="M611" s="2431"/>
      <c r="N611" s="2432"/>
      <c r="O611" s="2347">
        <f>Application!BS627</f>
        <v>44</v>
      </c>
      <c r="P611" s="2348"/>
      <c r="Q611" s="2348"/>
      <c r="R611" s="2348"/>
      <c r="S611" s="2349"/>
      <c r="T611" s="2347">
        <f>Application!CX628</f>
        <v>9</v>
      </c>
      <c r="U611" s="2348"/>
      <c r="V611" s="2348"/>
      <c r="W611" s="2348"/>
      <c r="X611" s="2349"/>
      <c r="Y611" s="2433">
        <f t="shared" si="8"/>
        <v>0.20454545454545456</v>
      </c>
      <c r="Z611" s="2434"/>
      <c r="AA611" s="2434"/>
      <c r="AB611" s="2434"/>
      <c r="AC611" s="2435"/>
      <c r="AD611" s="16"/>
      <c r="AF611" s="16"/>
      <c r="AG611" s="16"/>
      <c r="AH611" s="16"/>
      <c r="AI611" s="16"/>
      <c r="AJ611" s="16"/>
      <c r="AN611" s="1150"/>
      <c r="AQ611" s="30"/>
      <c r="AR611" s="30"/>
      <c r="AS611" s="30"/>
      <c r="AT611" s="30"/>
    </row>
    <row r="612" spans="1:60">
      <c r="D612" s="16"/>
      <c r="E612" s="16"/>
      <c r="F612" s="16"/>
      <c r="G612" s="16"/>
      <c r="H612" s="16"/>
      <c r="I612" s="16"/>
      <c r="J612" s="2430" t="s">
        <v>680</v>
      </c>
      <c r="K612" s="2431"/>
      <c r="L612" s="2431"/>
      <c r="M612" s="2431"/>
      <c r="N612" s="2432"/>
      <c r="O612" s="2347">
        <f>Application!BN627</f>
        <v>0</v>
      </c>
      <c r="P612" s="2348"/>
      <c r="Q612" s="2348"/>
      <c r="R612" s="2348"/>
      <c r="S612" s="2349"/>
      <c r="T612" s="2347">
        <f>Application!CS628</f>
        <v>0</v>
      </c>
      <c r="U612" s="2348"/>
      <c r="V612" s="2348"/>
      <c r="W612" s="2348"/>
      <c r="X612" s="2349"/>
      <c r="Y612" s="2433">
        <f t="shared" si="8"/>
        <v>0</v>
      </c>
      <c r="Z612" s="2434"/>
      <c r="AA612" s="2434"/>
      <c r="AB612" s="2434"/>
      <c r="AC612" s="2435"/>
      <c r="AD612" s="16"/>
      <c r="AF612" s="16"/>
      <c r="AG612" s="16"/>
      <c r="AH612" s="16"/>
      <c r="AI612" s="16"/>
      <c r="AJ612" s="16"/>
      <c r="AN612" s="1150"/>
      <c r="AQ612" s="30"/>
      <c r="AR612" s="30"/>
      <c r="AS612" s="30"/>
      <c r="AT612" s="30"/>
    </row>
    <row r="613" spans="1:60" ht="13">
      <c r="D613" s="16"/>
      <c r="E613" s="16"/>
      <c r="F613" s="16"/>
      <c r="G613" s="16"/>
      <c r="H613" s="16"/>
      <c r="I613" s="16"/>
      <c r="J613" s="2574" t="s">
        <v>974</v>
      </c>
      <c r="K613" s="2575"/>
      <c r="L613" s="2575"/>
      <c r="M613" s="2575"/>
      <c r="N613" s="2576"/>
      <c r="O613" s="2571">
        <f>SUM(O607:S612)</f>
        <v>49</v>
      </c>
      <c r="P613" s="2572"/>
      <c r="Q613" s="2572"/>
      <c r="R613" s="2572"/>
      <c r="S613" s="2573"/>
      <c r="T613" s="2571">
        <f>SUM(T607:X612)</f>
        <v>10</v>
      </c>
      <c r="U613" s="2572"/>
      <c r="V613" s="2572"/>
      <c r="W613" s="2572"/>
      <c r="X613" s="2573"/>
      <c r="Y613" s="2527" t="s">
        <v>259</v>
      </c>
      <c r="Z613" s="2528"/>
      <c r="AA613" s="2528"/>
      <c r="AB613" s="2528"/>
      <c r="AC613" s="2529"/>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ht="13">
      <c r="A616" s="1910" t="s">
        <v>1687</v>
      </c>
      <c r="B616" s="1911"/>
      <c r="C616" s="1911"/>
      <c r="D616" s="1911"/>
      <c r="E616" s="1911"/>
      <c r="F616" s="1911"/>
      <c r="G616" s="1911"/>
      <c r="H616" s="1911"/>
      <c r="I616" s="1911"/>
      <c r="J616" s="1911"/>
      <c r="K616" s="1911"/>
      <c r="L616" s="1911"/>
      <c r="M616" s="1911"/>
      <c r="N616" s="1911"/>
      <c r="O616" s="1911"/>
      <c r="P616" s="1911"/>
      <c r="Q616" s="1911"/>
      <c r="R616" s="1911"/>
      <c r="S616" s="1911"/>
      <c r="T616" s="1911"/>
      <c r="U616" s="1911"/>
      <c r="V616" s="1911"/>
      <c r="W616" s="1911"/>
      <c r="X616" s="1911"/>
      <c r="Y616" s="1911"/>
      <c r="Z616" s="1911"/>
      <c r="AA616" s="1911"/>
      <c r="AB616" s="1911"/>
      <c r="AC616" s="1911"/>
      <c r="AD616" s="1911"/>
      <c r="AE616" s="1911"/>
      <c r="AF616" s="1911"/>
      <c r="AG616" s="1911"/>
      <c r="AH616" s="1911"/>
      <c r="AI616" s="1912"/>
      <c r="AJ616" s="2563">
        <v>2</v>
      </c>
      <c r="AK616" s="2564"/>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ht="13">
      <c r="A618" s="2391" t="s">
        <v>197</v>
      </c>
      <c r="B618" s="2391"/>
      <c r="C618" s="2391"/>
      <c r="D618" s="2391"/>
      <c r="E618" s="2391"/>
      <c r="F618" s="2391"/>
      <c r="G618" s="2391"/>
      <c r="H618" s="2391"/>
      <c r="I618" s="2391"/>
      <c r="J618" s="2391"/>
      <c r="K618" s="2391"/>
      <c r="L618" s="2391"/>
      <c r="M618" s="2391"/>
      <c r="N618" s="2391"/>
      <c r="O618" s="2391"/>
      <c r="P618" s="2391"/>
      <c r="Q618" s="2391"/>
      <c r="R618" s="2391"/>
      <c r="S618" s="2391"/>
      <c r="T618" s="2391"/>
      <c r="U618" s="2391"/>
      <c r="V618" s="2391"/>
      <c r="W618" s="2391"/>
      <c r="X618" s="2391"/>
      <c r="Y618" s="2391"/>
      <c r="Z618" s="2391"/>
      <c r="AA618" s="2391"/>
      <c r="AB618" s="2391"/>
      <c r="AC618" s="2391"/>
      <c r="AD618" s="2391"/>
      <c r="AE618" s="2391"/>
      <c r="AF618" s="2391"/>
      <c r="AG618" s="2391"/>
      <c r="AH618" s="2391"/>
      <c r="AI618" s="2391"/>
      <c r="AJ618" s="2391"/>
      <c r="AK618" s="2365">
        <f>IF($AC$592=0,0,$AC$592+$AJ$616)</f>
        <v>58.3</v>
      </c>
      <c r="AL618" s="2366"/>
      <c r="AM618" s="2367"/>
      <c r="AN618" s="1150"/>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ht="13">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75" customHeight="1">
      <c r="A621" s="26"/>
      <c r="AI621" s="27"/>
      <c r="AJ621" s="46"/>
      <c r="AK621" s="153"/>
      <c r="AL621" s="153"/>
      <c r="AM621" s="153"/>
      <c r="AN621" s="1150"/>
      <c r="AO621" s="46"/>
      <c r="AR621" s="30"/>
      <c r="AS621" s="30"/>
      <c r="AT621" s="30"/>
    </row>
    <row r="622" spans="1:60" ht="13.75" customHeight="1">
      <c r="A622" s="29"/>
      <c r="B622" s="2570" t="s">
        <v>1688</v>
      </c>
      <c r="C622" s="2570"/>
      <c r="D622" s="2570"/>
      <c r="E622" s="2570"/>
      <c r="F622" s="2570"/>
      <c r="G622" s="2570"/>
      <c r="H622" s="2570"/>
      <c r="I622" s="2570"/>
      <c r="J622" s="2570"/>
      <c r="K622" s="2570"/>
      <c r="L622" s="2570"/>
      <c r="M622" s="2570"/>
      <c r="N622" s="2570"/>
      <c r="O622" s="2570"/>
      <c r="P622" s="2570"/>
      <c r="Q622" s="2570"/>
      <c r="R622" s="2570"/>
      <c r="S622" s="2570"/>
      <c r="T622" s="2570"/>
      <c r="U622" s="2570"/>
      <c r="V622" s="2570"/>
      <c r="W622" s="2570"/>
      <c r="X622" s="2570"/>
      <c r="Y622" s="2570"/>
      <c r="Z622" s="2570"/>
      <c r="AA622" s="2570"/>
      <c r="AB622" s="2570"/>
      <c r="AC622" s="2570"/>
      <c r="AD622" s="2570"/>
      <c r="AE622" s="2570"/>
      <c r="AF622" s="2570"/>
      <c r="AG622" s="2570"/>
      <c r="AH622" s="2570"/>
      <c r="AI622" s="27"/>
      <c r="AJ622" s="46"/>
      <c r="AK622" s="153"/>
      <c r="AL622" s="153"/>
      <c r="AM622" s="153"/>
      <c r="AN622" s="1150"/>
      <c r="AO622" s="66"/>
      <c r="AP622" s="30"/>
      <c r="AQ622" s="30"/>
      <c r="AR622" s="30"/>
      <c r="AS622" s="30"/>
      <c r="AT622" s="30"/>
    </row>
    <row r="623" spans="1:60" ht="22.75" customHeight="1">
      <c r="A623" s="28"/>
      <c r="B623" s="2570"/>
      <c r="C623" s="2570"/>
      <c r="D623" s="2570"/>
      <c r="E623" s="2570"/>
      <c r="F623" s="2570"/>
      <c r="G623" s="2570"/>
      <c r="H623" s="2570"/>
      <c r="I623" s="2570"/>
      <c r="J623" s="2570"/>
      <c r="K623" s="2570"/>
      <c r="L623" s="2570"/>
      <c r="M623" s="2570"/>
      <c r="N623" s="2570"/>
      <c r="O623" s="2570"/>
      <c r="P623" s="2570"/>
      <c r="Q623" s="2570"/>
      <c r="R623" s="2570"/>
      <c r="S623" s="2570"/>
      <c r="T623" s="2570"/>
      <c r="U623" s="2570"/>
      <c r="V623" s="2570"/>
      <c r="W623" s="2570"/>
      <c r="X623" s="2570"/>
      <c r="Y623" s="2570"/>
      <c r="Z623" s="2570"/>
      <c r="AA623" s="2570"/>
      <c r="AB623" s="2570"/>
      <c r="AC623" s="2570"/>
      <c r="AD623" s="2570"/>
      <c r="AE623" s="2570"/>
      <c r="AF623" s="2570"/>
      <c r="AG623" s="2570"/>
      <c r="AH623" s="2570"/>
      <c r="AI623" s="46"/>
      <c r="AJ623" s="46"/>
      <c r="AK623" s="46"/>
      <c r="AL623" s="46"/>
      <c r="AM623" s="153"/>
      <c r="AN623" s="1150"/>
      <c r="AS623" s="30"/>
      <c r="AT623" s="30"/>
    </row>
    <row r="624" spans="1:60" ht="13">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75" customHeight="1">
      <c r="A626" s="28"/>
      <c r="B626" s="203"/>
      <c r="C626" s="1699" t="s">
        <v>119</v>
      </c>
      <c r="D626" s="1699"/>
      <c r="E626" s="293"/>
      <c r="F626" s="2537" t="s">
        <v>2318</v>
      </c>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9"/>
      <c r="AE626" s="46"/>
      <c r="AF626" s="265"/>
      <c r="AG626" s="2530" t="s">
        <v>1041</v>
      </c>
      <c r="AH626" s="2530"/>
      <c r="AI626" s="2530"/>
      <c r="AJ626" s="2530"/>
      <c r="AK626" s="153"/>
      <c r="AL626" s="153"/>
      <c r="AM626" s="153"/>
      <c r="AN626" s="1150"/>
      <c r="AO626" s="46"/>
      <c r="AS626" s="30"/>
      <c r="AT626" s="30"/>
    </row>
    <row r="627" spans="1:46" ht="13.75" customHeight="1">
      <c r="A627" s="28"/>
      <c r="B627" s="203"/>
      <c r="C627" s="77"/>
      <c r="D627" s="46"/>
      <c r="E627" s="293"/>
      <c r="F627" s="2540"/>
      <c r="G627" s="2541"/>
      <c r="H627" s="2541"/>
      <c r="I627" s="2541"/>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2"/>
      <c r="AE627" s="46"/>
      <c r="AF627" s="265"/>
      <c r="AG627" s="265"/>
      <c r="AH627" s="265"/>
      <c r="AI627" s="265"/>
      <c r="AJ627" s="46"/>
      <c r="AK627" s="153"/>
      <c r="AL627" s="153"/>
      <c r="AM627" s="153"/>
      <c r="AN627" s="1150"/>
      <c r="AO627" s="46"/>
      <c r="AS627" s="30"/>
      <c r="AT627" s="30"/>
    </row>
    <row r="628" spans="1:46">
      <c r="A628" s="28"/>
      <c r="B628" s="203"/>
      <c r="C628" s="77"/>
      <c r="D628" s="46"/>
      <c r="E628" s="293"/>
      <c r="F628" s="2543"/>
      <c r="G628" s="2544"/>
      <c r="H628" s="2544"/>
      <c r="I628" s="2544"/>
      <c r="J628" s="2544"/>
      <c r="K628" s="2544"/>
      <c r="L628" s="2544"/>
      <c r="M628" s="2544"/>
      <c r="N628" s="2544"/>
      <c r="O628" s="2544"/>
      <c r="P628" s="2544"/>
      <c r="Q628" s="2544"/>
      <c r="R628" s="2544"/>
      <c r="S628" s="2544"/>
      <c r="T628" s="2544"/>
      <c r="U628" s="2544"/>
      <c r="V628" s="2544"/>
      <c r="W628" s="2544"/>
      <c r="X628" s="2544"/>
      <c r="Y628" s="2544"/>
      <c r="Z628" s="2544"/>
      <c r="AA628" s="2544"/>
      <c r="AB628" s="2544"/>
      <c r="AC628" s="2544"/>
      <c r="AD628" s="2545"/>
      <c r="AE628" s="46"/>
      <c r="AF628" s="265"/>
      <c r="AG628" s="265"/>
      <c r="AH628" s="265"/>
      <c r="AI628" s="265"/>
      <c r="AJ628" s="46"/>
      <c r="AK628" s="153"/>
      <c r="AL628" s="153"/>
      <c r="AM628" s="153"/>
      <c r="AN628" s="1150"/>
      <c r="AO628" s="46"/>
      <c r="AP628" s="64"/>
      <c r="AS628" s="30"/>
      <c r="AT628" s="30"/>
    </row>
    <row r="629" spans="1:46">
      <c r="A629" s="28"/>
      <c r="B629" s="203"/>
      <c r="C629" s="77"/>
      <c r="D629" s="46"/>
      <c r="E629" s="293"/>
      <c r="F629" s="1416"/>
      <c r="G629" s="1416"/>
      <c r="H629" s="1416"/>
      <c r="I629" s="1416"/>
      <c r="J629" s="1416"/>
      <c r="K629" s="1416"/>
      <c r="L629" s="1416"/>
      <c r="M629" s="1416"/>
      <c r="N629" s="1416"/>
      <c r="O629" s="1416"/>
      <c r="P629" s="1416"/>
      <c r="Q629" s="1416"/>
      <c r="R629" s="1416"/>
      <c r="S629" s="1416"/>
      <c r="T629" s="1416"/>
      <c r="U629" s="1416"/>
      <c r="V629" s="1416"/>
      <c r="W629" s="1416"/>
      <c r="X629" s="1416"/>
      <c r="Y629" s="1416"/>
      <c r="Z629" s="1416"/>
      <c r="AA629" s="1416"/>
      <c r="AB629" s="1416"/>
      <c r="AC629" s="1416"/>
      <c r="AD629" s="1416"/>
      <c r="AE629" s="162"/>
      <c r="AF629" s="265"/>
      <c r="AG629" s="265"/>
      <c r="AH629" s="265"/>
      <c r="AI629" s="265"/>
      <c r="AJ629" s="46"/>
      <c r="AK629" s="153"/>
      <c r="AL629" s="153"/>
      <c r="AM629" s="153"/>
      <c r="AN629" s="1150"/>
      <c r="AS629" s="30"/>
      <c r="AT629" s="30"/>
    </row>
    <row r="630" spans="1:46" ht="13.75" customHeight="1">
      <c r="A630" s="28"/>
      <c r="B630" s="2570" t="s">
        <v>2073</v>
      </c>
      <c r="C630" s="2570"/>
      <c r="D630" s="2570"/>
      <c r="E630" s="2570"/>
      <c r="F630" s="2570"/>
      <c r="G630" s="2570"/>
      <c r="H630" s="2570"/>
      <c r="I630" s="2570"/>
      <c r="J630" s="2570"/>
      <c r="K630" s="2570"/>
      <c r="L630" s="2570"/>
      <c r="M630" s="2570"/>
      <c r="N630" s="2570"/>
      <c r="O630" s="2570"/>
      <c r="P630" s="2570"/>
      <c r="Q630" s="2570"/>
      <c r="R630" s="2570"/>
      <c r="S630" s="2570"/>
      <c r="T630" s="2570"/>
      <c r="U630" s="2570"/>
      <c r="V630" s="2570"/>
      <c r="W630" s="2570"/>
      <c r="X630" s="2570"/>
      <c r="Y630" s="2570"/>
      <c r="Z630" s="2570"/>
      <c r="AA630" s="2570"/>
      <c r="AB630" s="2570"/>
      <c r="AC630" s="2570"/>
      <c r="AD630" s="2570"/>
      <c r="AE630" s="2570"/>
      <c r="AF630" s="2570"/>
      <c r="AG630" s="2570"/>
      <c r="AH630" s="2570"/>
      <c r="AI630" s="265"/>
      <c r="AJ630" s="46"/>
      <c r="AK630" s="153"/>
      <c r="AL630" s="153"/>
      <c r="AM630" s="153"/>
    </row>
    <row r="631" spans="1:46" ht="13.75" customHeight="1">
      <c r="B631" s="2570"/>
      <c r="C631" s="2570"/>
      <c r="D631" s="2570"/>
      <c r="E631" s="2570"/>
      <c r="F631" s="2570"/>
      <c r="G631" s="2570"/>
      <c r="H631" s="2570"/>
      <c r="I631" s="2570"/>
      <c r="J631" s="2570"/>
      <c r="K631" s="2570"/>
      <c r="L631" s="2570"/>
      <c r="M631" s="2570"/>
      <c r="N631" s="2570"/>
      <c r="O631" s="2570"/>
      <c r="P631" s="2570"/>
      <c r="Q631" s="2570"/>
      <c r="R631" s="2570"/>
      <c r="S631" s="2570"/>
      <c r="T631" s="2570"/>
      <c r="U631" s="2570"/>
      <c r="V631" s="2570"/>
      <c r="W631" s="2570"/>
      <c r="X631" s="2570"/>
      <c r="Y631" s="2570"/>
      <c r="Z631" s="2570"/>
      <c r="AA631" s="2570"/>
      <c r="AB631" s="2570"/>
      <c r="AC631" s="2570"/>
      <c r="AD631" s="2570"/>
      <c r="AE631" s="2570"/>
      <c r="AF631" s="2570"/>
      <c r="AG631" s="2570"/>
      <c r="AH631" s="2570"/>
      <c r="AI631" s="245"/>
      <c r="AJ631" s="46"/>
      <c r="AK631" s="153"/>
      <c r="AL631" s="153"/>
      <c r="AM631" s="153"/>
    </row>
    <row r="632" spans="1:46" ht="13.75" customHeight="1">
      <c r="A632" s="263"/>
      <c r="B632" s="2570"/>
      <c r="C632" s="2570"/>
      <c r="D632" s="2570"/>
      <c r="E632" s="2570"/>
      <c r="F632" s="2570"/>
      <c r="G632" s="2570"/>
      <c r="H632" s="2570"/>
      <c r="I632" s="2570"/>
      <c r="J632" s="2570"/>
      <c r="K632" s="2570"/>
      <c r="L632" s="2570"/>
      <c r="M632" s="2570"/>
      <c r="N632" s="2570"/>
      <c r="O632" s="2570"/>
      <c r="P632" s="2570"/>
      <c r="Q632" s="2570"/>
      <c r="R632" s="2570"/>
      <c r="S632" s="2570"/>
      <c r="T632" s="2570"/>
      <c r="U632" s="2570"/>
      <c r="V632" s="2570"/>
      <c r="W632" s="2570"/>
      <c r="X632" s="2570"/>
      <c r="Y632" s="2570"/>
      <c r="Z632" s="2570"/>
      <c r="AA632" s="2570"/>
      <c r="AB632" s="2570"/>
      <c r="AC632" s="2570"/>
      <c r="AD632" s="2570"/>
      <c r="AE632" s="2570"/>
      <c r="AF632" s="2570"/>
      <c r="AG632" s="2570"/>
      <c r="AH632" s="2570"/>
      <c r="AI632" s="245"/>
      <c r="AJ632" s="46"/>
      <c r="AK632" s="153"/>
      <c r="AL632" s="153"/>
      <c r="AM632" s="153"/>
      <c r="AN632" s="124"/>
    </row>
    <row r="633" spans="1:46" ht="13.75" customHeight="1">
      <c r="A633" s="46"/>
      <c r="B633" s="2570"/>
      <c r="C633" s="2570"/>
      <c r="D633" s="2570"/>
      <c r="E633" s="2570"/>
      <c r="F633" s="2570"/>
      <c r="G633" s="2570"/>
      <c r="H633" s="2570"/>
      <c r="I633" s="2570"/>
      <c r="J633" s="2570"/>
      <c r="K633" s="2570"/>
      <c r="L633" s="2570"/>
      <c r="M633" s="2570"/>
      <c r="N633" s="2570"/>
      <c r="O633" s="2570"/>
      <c r="P633" s="2570"/>
      <c r="Q633" s="2570"/>
      <c r="R633" s="2570"/>
      <c r="S633" s="2570"/>
      <c r="T633" s="2570"/>
      <c r="U633" s="2570"/>
      <c r="V633" s="2570"/>
      <c r="W633" s="2570"/>
      <c r="X633" s="2570"/>
      <c r="Y633" s="2570"/>
      <c r="Z633" s="2570"/>
      <c r="AA633" s="2570"/>
      <c r="AB633" s="2570"/>
      <c r="AC633" s="2570"/>
      <c r="AD633" s="2570"/>
      <c r="AE633" s="2570"/>
      <c r="AF633" s="2570"/>
      <c r="AG633" s="2570"/>
      <c r="AH633" s="2570"/>
      <c r="AI633" s="245"/>
      <c r="AJ633" s="46"/>
      <c r="AK633" s="153"/>
      <c r="AL633" s="153"/>
      <c r="AM633" s="153"/>
      <c r="AN633" s="124"/>
    </row>
    <row r="634" spans="1:46" ht="13.75" customHeight="1">
      <c r="A634" s="46"/>
      <c r="B634" s="2570"/>
      <c r="C634" s="2570"/>
      <c r="D634" s="2570"/>
      <c r="E634" s="2570"/>
      <c r="F634" s="2570"/>
      <c r="G634" s="2570"/>
      <c r="H634" s="2570"/>
      <c r="I634" s="2570"/>
      <c r="J634" s="2570"/>
      <c r="K634" s="2570"/>
      <c r="L634" s="2570"/>
      <c r="M634" s="2570"/>
      <c r="N634" s="2570"/>
      <c r="O634" s="2570"/>
      <c r="P634" s="2570"/>
      <c r="Q634" s="2570"/>
      <c r="R634" s="2570"/>
      <c r="S634" s="2570"/>
      <c r="T634" s="2570"/>
      <c r="U634" s="2570"/>
      <c r="V634" s="2570"/>
      <c r="W634" s="2570"/>
      <c r="X634" s="2570"/>
      <c r="Y634" s="2570"/>
      <c r="Z634" s="2570"/>
      <c r="AA634" s="2570"/>
      <c r="AB634" s="2570"/>
      <c r="AC634" s="2570"/>
      <c r="AD634" s="2570"/>
      <c r="AE634" s="2570"/>
      <c r="AF634" s="2570"/>
      <c r="AG634" s="2570"/>
      <c r="AH634" s="2570"/>
      <c r="AI634" s="245"/>
      <c r="AJ634" s="46"/>
      <c r="AK634" s="153"/>
      <c r="AL634" s="153"/>
      <c r="AM634" s="153"/>
      <c r="AN634" s="124"/>
    </row>
    <row r="635" spans="1:46" ht="13.75" customHeight="1">
      <c r="A635" s="263"/>
      <c r="B635" s="2570"/>
      <c r="C635" s="2570"/>
      <c r="D635" s="2570"/>
      <c r="E635" s="2570"/>
      <c r="F635" s="2570"/>
      <c r="G635" s="2570"/>
      <c r="H635" s="2570"/>
      <c r="I635" s="2570"/>
      <c r="J635" s="2570"/>
      <c r="K635" s="2570"/>
      <c r="L635" s="2570"/>
      <c r="M635" s="2570"/>
      <c r="N635" s="2570"/>
      <c r="O635" s="2570"/>
      <c r="P635" s="2570"/>
      <c r="Q635" s="2570"/>
      <c r="R635" s="2570"/>
      <c r="S635" s="2570"/>
      <c r="T635" s="2570"/>
      <c r="U635" s="2570"/>
      <c r="V635" s="2570"/>
      <c r="W635" s="2570"/>
      <c r="X635" s="2570"/>
      <c r="Y635" s="2570"/>
      <c r="Z635" s="2570"/>
      <c r="AA635" s="2570"/>
      <c r="AB635" s="2570"/>
      <c r="AC635" s="2570"/>
      <c r="AD635" s="2570"/>
      <c r="AE635" s="2570"/>
      <c r="AF635" s="2570"/>
      <c r="AG635" s="2570"/>
      <c r="AH635" s="2570"/>
      <c r="AI635" s="245"/>
      <c r="AJ635" s="46"/>
      <c r="AK635" s="153"/>
      <c r="AL635" s="153"/>
      <c r="AM635" s="153"/>
      <c r="AN635" s="124"/>
    </row>
    <row r="636" spans="1:46" ht="13.75" customHeight="1">
      <c r="A636" s="263"/>
      <c r="B636" s="2570"/>
      <c r="C636" s="2570"/>
      <c r="D636" s="2570"/>
      <c r="E636" s="2570"/>
      <c r="F636" s="2570"/>
      <c r="G636" s="2570"/>
      <c r="H636" s="2570"/>
      <c r="I636" s="2570"/>
      <c r="J636" s="2570"/>
      <c r="K636" s="2570"/>
      <c r="L636" s="2570"/>
      <c r="M636" s="2570"/>
      <c r="N636" s="2570"/>
      <c r="O636" s="2570"/>
      <c r="P636" s="2570"/>
      <c r="Q636" s="2570"/>
      <c r="R636" s="2570"/>
      <c r="S636" s="2570"/>
      <c r="T636" s="2570"/>
      <c r="U636" s="2570"/>
      <c r="V636" s="2570"/>
      <c r="W636" s="2570"/>
      <c r="X636" s="2570"/>
      <c r="Y636" s="2570"/>
      <c r="Z636" s="2570"/>
      <c r="AA636" s="2570"/>
      <c r="AB636" s="2570"/>
      <c r="AC636" s="2570"/>
      <c r="AD636" s="2570"/>
      <c r="AE636" s="2570"/>
      <c r="AF636" s="2570"/>
      <c r="AG636" s="2570"/>
      <c r="AH636" s="2570"/>
      <c r="AI636" s="245"/>
      <c r="AJ636" s="46"/>
      <c r="AK636" s="153"/>
      <c r="AL636" s="153"/>
      <c r="AM636" s="153"/>
      <c r="AN636" s="124"/>
    </row>
    <row r="637" spans="1:46" ht="13.75" customHeight="1">
      <c r="A637" s="263"/>
      <c r="B637" s="2570"/>
      <c r="C637" s="2570"/>
      <c r="D637" s="2570"/>
      <c r="E637" s="2570"/>
      <c r="F637" s="2570"/>
      <c r="G637" s="2570"/>
      <c r="H637" s="2570"/>
      <c r="I637" s="2570"/>
      <c r="J637" s="2570"/>
      <c r="K637" s="2570"/>
      <c r="L637" s="2570"/>
      <c r="M637" s="2570"/>
      <c r="N637" s="2570"/>
      <c r="O637" s="2570"/>
      <c r="P637" s="2570"/>
      <c r="Q637" s="2570"/>
      <c r="R637" s="2570"/>
      <c r="S637" s="2570"/>
      <c r="T637" s="2570"/>
      <c r="U637" s="2570"/>
      <c r="V637" s="2570"/>
      <c r="W637" s="2570"/>
      <c r="X637" s="2570"/>
      <c r="Y637" s="2570"/>
      <c r="Z637" s="2570"/>
      <c r="AA637" s="2570"/>
      <c r="AB637" s="2570"/>
      <c r="AC637" s="2570"/>
      <c r="AD637" s="2570"/>
      <c r="AE637" s="2570"/>
      <c r="AF637" s="2570"/>
      <c r="AG637" s="2570"/>
      <c r="AH637" s="2570"/>
      <c r="AI637" s="245"/>
      <c r="AJ637" s="46"/>
      <c r="AK637" s="153"/>
      <c r="AL637" s="153"/>
      <c r="AM637" s="153"/>
      <c r="AN637" s="124"/>
    </row>
    <row r="638" spans="1:46" ht="13.75" customHeight="1">
      <c r="A638" s="263"/>
      <c r="B638" s="2570"/>
      <c r="C638" s="2570"/>
      <c r="D638" s="2570"/>
      <c r="E638" s="2570"/>
      <c r="F638" s="2570"/>
      <c r="G638" s="2570"/>
      <c r="H638" s="2570"/>
      <c r="I638" s="2570"/>
      <c r="J638" s="2570"/>
      <c r="K638" s="2570"/>
      <c r="L638" s="2570"/>
      <c r="M638" s="2570"/>
      <c r="N638" s="2570"/>
      <c r="O638" s="2570"/>
      <c r="P638" s="2570"/>
      <c r="Q638" s="2570"/>
      <c r="R638" s="2570"/>
      <c r="S638" s="2570"/>
      <c r="T638" s="2570"/>
      <c r="U638" s="2570"/>
      <c r="V638" s="2570"/>
      <c r="W638" s="2570"/>
      <c r="X638" s="2570"/>
      <c r="Y638" s="2570"/>
      <c r="Z638" s="2570"/>
      <c r="AA638" s="2570"/>
      <c r="AB638" s="2570"/>
      <c r="AC638" s="2570"/>
      <c r="AD638" s="2570"/>
      <c r="AE638" s="2570"/>
      <c r="AF638" s="2570"/>
      <c r="AG638" s="2570"/>
      <c r="AH638" s="2570"/>
      <c r="AI638" s="245"/>
      <c r="AJ638" s="46"/>
      <c r="AK638" s="153"/>
      <c r="AL638" s="153"/>
      <c r="AM638" s="153"/>
      <c r="AN638" s="124"/>
    </row>
    <row r="639" spans="1:46">
      <c r="A639" s="263"/>
      <c r="B639" s="2570"/>
      <c r="C639" s="2570"/>
      <c r="D639" s="2570"/>
      <c r="E639" s="2570"/>
      <c r="F639" s="2570"/>
      <c r="G639" s="2570"/>
      <c r="H639" s="2570"/>
      <c r="I639" s="2570"/>
      <c r="J639" s="2570"/>
      <c r="K639" s="2570"/>
      <c r="L639" s="2570"/>
      <c r="M639" s="2570"/>
      <c r="N639" s="2570"/>
      <c r="O639" s="2570"/>
      <c r="P639" s="2570"/>
      <c r="Q639" s="2570"/>
      <c r="R639" s="2570"/>
      <c r="S639" s="2570"/>
      <c r="T639" s="2570"/>
      <c r="U639" s="2570"/>
      <c r="V639" s="2570"/>
      <c r="W639" s="2570"/>
      <c r="X639" s="2570"/>
      <c r="Y639" s="2570"/>
      <c r="Z639" s="2570"/>
      <c r="AA639" s="2570"/>
      <c r="AB639" s="2570"/>
      <c r="AC639" s="2570"/>
      <c r="AD639" s="2570"/>
      <c r="AE639" s="2570"/>
      <c r="AF639" s="2570"/>
      <c r="AG639" s="2570"/>
      <c r="AH639" s="2570"/>
      <c r="AI639" s="245"/>
      <c r="AJ639" s="46"/>
      <c r="AK639" s="153"/>
      <c r="AL639" s="153"/>
      <c r="AM639" s="153"/>
      <c r="AN639" s="124"/>
    </row>
    <row r="640" spans="1:46">
      <c r="A640" s="263"/>
      <c r="B640" s="2570"/>
      <c r="C640" s="2570"/>
      <c r="D640" s="2570"/>
      <c r="E640" s="2570"/>
      <c r="F640" s="2570"/>
      <c r="G640" s="2570"/>
      <c r="H640" s="2570"/>
      <c r="I640" s="2570"/>
      <c r="J640" s="2570"/>
      <c r="K640" s="2570"/>
      <c r="L640" s="2570"/>
      <c r="M640" s="2570"/>
      <c r="N640" s="2570"/>
      <c r="O640" s="2570"/>
      <c r="P640" s="2570"/>
      <c r="Q640" s="2570"/>
      <c r="R640" s="2570"/>
      <c r="S640" s="2570"/>
      <c r="T640" s="2570"/>
      <c r="U640" s="2570"/>
      <c r="V640" s="2570"/>
      <c r="W640" s="2570"/>
      <c r="X640" s="2570"/>
      <c r="Y640" s="2570"/>
      <c r="Z640" s="2570"/>
      <c r="AA640" s="2570"/>
      <c r="AB640" s="2570"/>
      <c r="AC640" s="2570"/>
      <c r="AD640" s="2570"/>
      <c r="AE640" s="2570"/>
      <c r="AF640" s="2570"/>
      <c r="AG640" s="2570"/>
      <c r="AH640" s="2570"/>
      <c r="AI640" s="245"/>
      <c r="AJ640" s="46"/>
      <c r="AK640" s="153"/>
      <c r="AL640" s="153"/>
      <c r="AM640" s="153"/>
      <c r="AN640" s="124"/>
    </row>
    <row r="641" spans="1:60">
      <c r="A641" s="263"/>
      <c r="B641" s="2570"/>
      <c r="C641" s="2570"/>
      <c r="D641" s="2570"/>
      <c r="E641" s="2570"/>
      <c r="F641" s="2570"/>
      <c r="G641" s="2570"/>
      <c r="H641" s="2570"/>
      <c r="I641" s="2570"/>
      <c r="J641" s="2570"/>
      <c r="K641" s="2570"/>
      <c r="L641" s="2570"/>
      <c r="M641" s="2570"/>
      <c r="N641" s="2570"/>
      <c r="O641" s="2570"/>
      <c r="P641" s="2570"/>
      <c r="Q641" s="2570"/>
      <c r="R641" s="2570"/>
      <c r="S641" s="2570"/>
      <c r="T641" s="2570"/>
      <c r="U641" s="2570"/>
      <c r="V641" s="2570"/>
      <c r="W641" s="2570"/>
      <c r="X641" s="2570"/>
      <c r="Y641" s="2570"/>
      <c r="Z641" s="2570"/>
      <c r="AA641" s="2570"/>
      <c r="AB641" s="2570"/>
      <c r="AC641" s="2570"/>
      <c r="AD641" s="2570"/>
      <c r="AE641" s="2570"/>
      <c r="AF641" s="2570"/>
      <c r="AG641" s="2570"/>
      <c r="AH641" s="2570"/>
      <c r="AI641" s="266"/>
      <c r="AJ641" s="46"/>
      <c r="AK641" s="153"/>
      <c r="AL641" s="153"/>
      <c r="AM641" s="153"/>
      <c r="AN641" s="124"/>
    </row>
    <row r="642" spans="1:60" s="1037" customFormat="1" ht="12.5"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51"/>
      <c r="BD642" s="1039"/>
      <c r="BE642" s="1039"/>
      <c r="BF642" s="1039"/>
      <c r="BG642" s="1039"/>
      <c r="BH642" s="1039"/>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8" t="s">
        <v>198</v>
      </c>
      <c r="AK643" s="2365">
        <f>IF($C$626="yes",10,0)</f>
        <v>10</v>
      </c>
      <c r="AL643" s="2366"/>
      <c r="AM643" s="2367"/>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ht="13">
      <c r="C648" s="1699" t="s">
        <v>119</v>
      </c>
      <c r="D648" s="1699"/>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4"/>
      <c r="AR648" s="1"/>
      <c r="AS648" s="1"/>
      <c r="AT648" s="1"/>
      <c r="AU648" s="1"/>
      <c r="AV648" s="1035"/>
      <c r="AW648" s="1035"/>
      <c r="AX648" s="125"/>
      <c r="AY648" s="125"/>
      <c r="AZ648" s="125"/>
      <c r="BA648" s="125"/>
    </row>
    <row r="649" spans="1:60" ht="13">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5"/>
      <c r="AW650" s="1035"/>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699" t="s">
        <v>136</v>
      </c>
      <c r="D653" s="1699"/>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2"/>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8"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699" t="s">
        <v>136</v>
      </c>
      <c r="D657" s="1699"/>
      <c r="E657" s="293" t="s">
        <v>991</v>
      </c>
      <c r="F657" s="811"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699" t="s">
        <v>136</v>
      </c>
      <c r="D661" s="169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699" t="s">
        <v>136</v>
      </c>
      <c r="D663" s="1699"/>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2"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9" t="s">
        <v>136</v>
      </c>
      <c r="D668" s="1699"/>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8" t="s">
        <v>1131</v>
      </c>
      <c r="AK671" s="2365">
        <f>$AO$654</f>
        <v>2</v>
      </c>
      <c r="AL671" s="2366"/>
      <c r="AM671" s="2367"/>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4" t="s">
        <v>788</v>
      </c>
      <c r="B674" s="2554"/>
      <c r="C674" s="2554"/>
      <c r="D674" s="2554"/>
      <c r="E674" s="2554"/>
      <c r="F674" s="2554"/>
      <c r="G674" s="2554"/>
      <c r="H674" s="2554"/>
      <c r="I674" s="2554"/>
      <c r="J674" s="2554"/>
      <c r="K674" s="2554"/>
      <c r="L674" s="2554"/>
      <c r="M674" s="2554"/>
      <c r="N674" s="2554"/>
      <c r="O674" s="2554"/>
      <c r="P674" s="2554"/>
      <c r="Q674" s="2554"/>
      <c r="R674" s="2554"/>
      <c r="S674" s="2554"/>
      <c r="T674" s="2554"/>
      <c r="U674" s="2554"/>
      <c r="V674" s="2554"/>
      <c r="W674" s="2554"/>
      <c r="X674" s="2554"/>
      <c r="Y674" s="2554"/>
      <c r="Z674" s="2554"/>
      <c r="AA674" s="2554"/>
      <c r="AB674" s="2554"/>
      <c r="AC674" s="2554"/>
      <c r="AD674" s="2554"/>
      <c r="AE674" s="2554"/>
      <c r="AF674" s="2554"/>
      <c r="AG674" s="2554"/>
      <c r="AH674" s="2554"/>
      <c r="AI674" s="2554"/>
      <c r="AJ674" s="2554"/>
      <c r="AK674" s="2554"/>
      <c r="AL674" s="2554"/>
      <c r="AM674" s="2554"/>
    </row>
    <row r="675" spans="1:43">
      <c r="A675" s="2555"/>
      <c r="B675" s="2555"/>
      <c r="C675" s="2555"/>
      <c r="D675" s="2555"/>
      <c r="E675" s="2555"/>
      <c r="F675" s="2555"/>
      <c r="G675" s="2555"/>
      <c r="H675" s="2555"/>
      <c r="I675" s="2555"/>
      <c r="J675" s="2555"/>
      <c r="K675" s="2555"/>
      <c r="L675" s="2555"/>
      <c r="M675" s="2555"/>
      <c r="N675" s="2555"/>
      <c r="O675" s="2555"/>
      <c r="P675" s="2555"/>
      <c r="Q675" s="2555"/>
      <c r="R675" s="2555"/>
      <c r="S675" s="2555"/>
      <c r="T675" s="2555"/>
      <c r="U675" s="2555"/>
      <c r="V675" s="2555"/>
      <c r="W675" s="2555"/>
      <c r="X675" s="2555"/>
      <c r="Y675" s="2555"/>
      <c r="Z675" s="2555"/>
      <c r="AA675" s="2555"/>
      <c r="AB675" s="2555"/>
      <c r="AC675" s="2555"/>
      <c r="AD675" s="2555"/>
      <c r="AE675" s="2555"/>
      <c r="AF675" s="2555"/>
      <c r="AG675" s="2555"/>
      <c r="AH675" s="2555"/>
      <c r="AI675" s="2555"/>
      <c r="AJ675" s="2555"/>
      <c r="AK675" s="2555"/>
      <c r="AL675" s="2555"/>
      <c r="AM675" s="2555"/>
      <c r="AO675" s="751"/>
      <c r="AP675" s="751"/>
      <c r="AQ675" s="751"/>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
      <c r="A677" s="2442" t="s">
        <v>2223</v>
      </c>
      <c r="B677" s="2442"/>
      <c r="C677" s="2442"/>
      <c r="D677" s="2442"/>
      <c r="E677" s="2442"/>
      <c r="F677" s="2442"/>
      <c r="G677" s="2442"/>
      <c r="H677" s="2442"/>
      <c r="I677" s="2442"/>
      <c r="J677" s="2442"/>
      <c r="K677" s="2442"/>
      <c r="L677" s="2442"/>
      <c r="M677" s="2442"/>
      <c r="N677" s="2442"/>
      <c r="O677" s="2442"/>
      <c r="P677" s="2442"/>
      <c r="Q677" s="2442"/>
      <c r="R677" s="2442"/>
      <c r="S677" s="2442"/>
      <c r="T677" s="2442"/>
      <c r="U677" s="2442"/>
      <c r="V677" s="2442"/>
      <c r="W677" s="2442"/>
      <c r="X677" s="2442"/>
      <c r="Y677" s="2442"/>
      <c r="Z677" s="2442"/>
      <c r="AA677" s="2442"/>
      <c r="AB677" s="2442"/>
      <c r="AC677" s="2442"/>
      <c r="AD677" s="2442"/>
      <c r="AE677" s="2442"/>
      <c r="AF677" s="2442"/>
      <c r="AG677" s="2442"/>
      <c r="AH677" s="2442"/>
      <c r="AI677" s="2442"/>
      <c r="AJ677" s="2442"/>
      <c r="AK677" s="2442"/>
      <c r="AL677" s="2442"/>
      <c r="AM677" s="2442"/>
      <c r="AP677" s="755"/>
      <c r="AQ677" s="751"/>
    </row>
    <row r="678" spans="1:43" ht="13">
      <c r="A678" s="2442" t="s">
        <v>2224</v>
      </c>
      <c r="B678" s="2442"/>
      <c r="C678" s="2442"/>
      <c r="D678" s="2442"/>
      <c r="E678" s="2442"/>
      <c r="F678" s="2442"/>
      <c r="G678" s="2442"/>
      <c r="H678" s="2442"/>
      <c r="I678" s="2442"/>
      <c r="J678" s="2442"/>
      <c r="K678" s="2442"/>
      <c r="L678" s="2442"/>
      <c r="M678" s="2442"/>
      <c r="N678" s="2442"/>
      <c r="O678" s="2442"/>
      <c r="P678" s="2442"/>
      <c r="Q678" s="2442"/>
      <c r="R678" s="2442"/>
      <c r="S678" s="2442"/>
      <c r="T678" s="2442"/>
      <c r="U678" s="2442"/>
      <c r="V678" s="2442"/>
      <c r="W678" s="2442"/>
      <c r="X678" s="2442"/>
      <c r="Y678" s="2442"/>
      <c r="Z678" s="2442"/>
      <c r="AA678" s="2442"/>
      <c r="AB678" s="2442"/>
      <c r="AC678" s="2442"/>
      <c r="AD678" s="2442"/>
      <c r="AE678" s="2442"/>
      <c r="AF678" s="2442"/>
      <c r="AG678" s="2442"/>
      <c r="AH678" s="2442"/>
      <c r="AI678" s="2442"/>
      <c r="AJ678" s="2442"/>
      <c r="AK678" s="2442"/>
      <c r="AL678" s="2442"/>
      <c r="AM678" s="2442"/>
      <c r="AO678" s="756">
        <f>SUM(AO679:AO680)</f>
        <v>25</v>
      </c>
      <c r="AQ678" s="751"/>
    </row>
    <row r="679" spans="1:43" ht="13">
      <c r="A679" s="438"/>
      <c r="B679" s="342"/>
      <c r="C679" s="342"/>
      <c r="D679" s="342"/>
      <c r="E679" s="342"/>
      <c r="F679" s="342"/>
      <c r="G679" s="342"/>
      <c r="H679" s="342"/>
      <c r="I679" s="342"/>
      <c r="J679" s="342"/>
      <c r="K679" s="342"/>
      <c r="L679" s="342"/>
      <c r="M679" s="342"/>
      <c r="N679" s="342"/>
      <c r="O679" s="342"/>
      <c r="P679" s="342"/>
      <c r="Q679" s="342"/>
      <c r="R679" s="342"/>
      <c r="S679" s="1061"/>
      <c r="T679" s="2427" t="s">
        <v>261</v>
      </c>
      <c r="U679" s="2092"/>
      <c r="V679" s="2092"/>
      <c r="W679" s="2092"/>
      <c r="X679" s="2092"/>
      <c r="Y679" s="2093"/>
      <c r="Z679" s="2427" t="s">
        <v>260</v>
      </c>
      <c r="AA679" s="2092"/>
      <c r="AB679" s="2092"/>
      <c r="AC679" s="2092"/>
      <c r="AD679" s="2092"/>
      <c r="AE679" s="2093"/>
      <c r="AF679" s="2427" t="s">
        <v>262</v>
      </c>
      <c r="AG679" s="2092"/>
      <c r="AH679" s="2092"/>
      <c r="AI679" s="2092"/>
      <c r="AJ679" s="2092"/>
      <c r="AK679" s="2093"/>
      <c r="AL679" s="1309"/>
      <c r="AM679" s="474"/>
      <c r="AO679" s="751">
        <f>IF(T686&gt;15,15,T686)</f>
        <v>15</v>
      </c>
      <c r="AP679" s="751"/>
      <c r="AQ679" s="751"/>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28"/>
      <c r="U680" s="2094"/>
      <c r="V680" s="2094"/>
      <c r="W680" s="2094"/>
      <c r="X680" s="2094"/>
      <c r="Y680" s="2095"/>
      <c r="Z680" s="2428"/>
      <c r="AA680" s="2094"/>
      <c r="AB680" s="2094"/>
      <c r="AC680" s="2094"/>
      <c r="AD680" s="2094"/>
      <c r="AE680" s="2095"/>
      <c r="AF680" s="2428"/>
      <c r="AG680" s="2094"/>
      <c r="AH680" s="2094"/>
      <c r="AI680" s="2094"/>
      <c r="AJ680" s="2094"/>
      <c r="AK680" s="2095"/>
      <c r="AL680" s="1309"/>
      <c r="AM680" s="474"/>
      <c r="AO680" s="751">
        <f>IF(T687&gt;10,10,T687)</f>
        <v>10</v>
      </c>
      <c r="AP680" s="751"/>
      <c r="AQ680" s="751"/>
    </row>
    <row r="681" spans="1:43" ht="13">
      <c r="A681" s="960" t="s">
        <v>718</v>
      </c>
      <c r="B681" s="2423" t="s">
        <v>298</v>
      </c>
      <c r="C681" s="2423"/>
      <c r="D681" s="2423"/>
      <c r="E681" s="2423"/>
      <c r="F681" s="2423"/>
      <c r="G681" s="2423"/>
      <c r="H681" s="2423"/>
      <c r="I681" s="2423"/>
      <c r="J681" s="2423"/>
      <c r="K681" s="2423"/>
      <c r="L681" s="2423"/>
      <c r="M681" s="2423"/>
      <c r="N681" s="2423"/>
      <c r="O681" s="2423"/>
      <c r="P681" s="2423"/>
      <c r="Q681" s="2423"/>
      <c r="R681" s="2423"/>
      <c r="S681" s="2424"/>
      <c r="T681" s="2450">
        <f>SUM(T682:Y683)</f>
        <v>10</v>
      </c>
      <c r="U681" s="2450"/>
      <c r="V681" s="2450"/>
      <c r="W681" s="2450"/>
      <c r="X681" s="2450"/>
      <c r="Y681" s="2450"/>
      <c r="Z681" s="1870">
        <v>10</v>
      </c>
      <c r="AA681" s="1870"/>
      <c r="AB681" s="1870"/>
      <c r="AC681" s="1870"/>
      <c r="AD681" s="1870"/>
      <c r="AE681" s="1870"/>
      <c r="AF681" s="1870">
        <f>IF(T681&gt;Z681,Z681,T681)</f>
        <v>10</v>
      </c>
      <c r="AG681" s="1870"/>
      <c r="AH681" s="1870"/>
      <c r="AI681" s="1870"/>
      <c r="AJ681" s="1870"/>
      <c r="AK681" s="1870"/>
      <c r="AL681" s="1309"/>
      <c r="AM681" s="474"/>
    </row>
    <row r="682" spans="1:43" ht="13">
      <c r="A682" s="962"/>
      <c r="B682" s="963"/>
      <c r="C682" s="971"/>
      <c r="D682" s="961" t="s">
        <v>233</v>
      </c>
      <c r="E682" s="2425" t="s">
        <v>263</v>
      </c>
      <c r="F682" s="2425"/>
      <c r="G682" s="2425"/>
      <c r="H682" s="2425"/>
      <c r="I682" s="2425"/>
      <c r="J682" s="2425"/>
      <c r="K682" s="2425"/>
      <c r="L682" s="2425"/>
      <c r="M682" s="2425"/>
      <c r="N682" s="2425"/>
      <c r="O682" s="2425"/>
      <c r="P682" s="2425"/>
      <c r="Q682" s="2425"/>
      <c r="R682" s="2425"/>
      <c r="S682" s="2426"/>
      <c r="T682" s="2429">
        <f>AJ31</f>
        <v>7</v>
      </c>
      <c r="U682" s="2429"/>
      <c r="V682" s="2429"/>
      <c r="W682" s="2429"/>
      <c r="X682" s="2429"/>
      <c r="Y682" s="2429"/>
      <c r="Z682" s="2454">
        <v>7</v>
      </c>
      <c r="AA682" s="2454"/>
      <c r="AB682" s="2454"/>
      <c r="AC682" s="2454"/>
      <c r="AD682" s="2454"/>
      <c r="AE682" s="2454"/>
      <c r="AF682" s="2556"/>
      <c r="AG682" s="2556"/>
      <c r="AH682" s="2556"/>
      <c r="AI682" s="2556"/>
      <c r="AJ682" s="2556"/>
      <c r="AK682" s="2556"/>
      <c r="AL682" s="1309"/>
      <c r="AM682" s="474"/>
    </row>
    <row r="683" spans="1:43" ht="13">
      <c r="A683" s="965"/>
      <c r="B683" s="963"/>
      <c r="C683" s="964"/>
      <c r="D683" s="961" t="s">
        <v>477</v>
      </c>
      <c r="E683" s="2425" t="s">
        <v>264</v>
      </c>
      <c r="F683" s="2425"/>
      <c r="G683" s="2425"/>
      <c r="H683" s="2425"/>
      <c r="I683" s="2425"/>
      <c r="J683" s="2425"/>
      <c r="K683" s="2425"/>
      <c r="L683" s="2425"/>
      <c r="M683" s="2425"/>
      <c r="N683" s="2425"/>
      <c r="O683" s="2425"/>
      <c r="P683" s="2425"/>
      <c r="Q683" s="2425"/>
      <c r="R683" s="2425"/>
      <c r="S683" s="2426"/>
      <c r="T683" s="2429">
        <f>AJ47</f>
        <v>3</v>
      </c>
      <c r="U683" s="2429"/>
      <c r="V683" s="2429"/>
      <c r="W683" s="2429"/>
      <c r="X683" s="2429"/>
      <c r="Y683" s="2429"/>
      <c r="Z683" s="2454">
        <v>3</v>
      </c>
      <c r="AA683" s="2454"/>
      <c r="AB683" s="2454"/>
      <c r="AC683" s="2454"/>
      <c r="AD683" s="2454"/>
      <c r="AE683" s="2454"/>
      <c r="AF683" s="2556"/>
      <c r="AG683" s="2556"/>
      <c r="AH683" s="2556"/>
      <c r="AI683" s="2556"/>
      <c r="AJ683" s="2556"/>
      <c r="AK683" s="2556"/>
      <c r="AL683" s="1309"/>
      <c r="AM683" s="474"/>
      <c r="AO683" s="46">
        <f>IF(T690&gt;50,50,T690)</f>
        <v>50</v>
      </c>
    </row>
    <row r="684" spans="1:43" ht="13">
      <c r="A684" s="960" t="s">
        <v>8</v>
      </c>
      <c r="B684" s="2423" t="s">
        <v>299</v>
      </c>
      <c r="C684" s="2423"/>
      <c r="D684" s="2423"/>
      <c r="E684" s="2423"/>
      <c r="F684" s="2423"/>
      <c r="G684" s="2423"/>
      <c r="H684" s="2423"/>
      <c r="I684" s="2423"/>
      <c r="J684" s="2423"/>
      <c r="K684" s="2423"/>
      <c r="L684" s="2423"/>
      <c r="M684" s="2423"/>
      <c r="N684" s="2423"/>
      <c r="O684" s="2423"/>
      <c r="P684" s="2423"/>
      <c r="Q684" s="2423"/>
      <c r="R684" s="2423"/>
      <c r="S684" s="2424"/>
      <c r="T684" s="2450">
        <f>AK73</f>
        <v>10</v>
      </c>
      <c r="U684" s="2450"/>
      <c r="V684" s="2450"/>
      <c r="W684" s="2450"/>
      <c r="X684" s="2450"/>
      <c r="Y684" s="2450"/>
      <c r="Z684" s="1870">
        <v>10</v>
      </c>
      <c r="AA684" s="1870"/>
      <c r="AB684" s="1870"/>
      <c r="AC684" s="1870"/>
      <c r="AD684" s="1870"/>
      <c r="AE684" s="1870"/>
      <c r="AF684" s="1870">
        <f>IF(T684&gt;Z684,Z684,T684)</f>
        <v>10</v>
      </c>
      <c r="AG684" s="1870"/>
      <c r="AH684" s="1870"/>
      <c r="AI684" s="1870"/>
      <c r="AJ684" s="1870"/>
      <c r="AK684" s="1870"/>
      <c r="AL684" s="1309"/>
      <c r="AM684" s="474"/>
    </row>
    <row r="685" spans="1:43" ht="13">
      <c r="A685" s="960" t="s">
        <v>131</v>
      </c>
      <c r="B685" s="2423" t="s">
        <v>300</v>
      </c>
      <c r="C685" s="2423"/>
      <c r="D685" s="2423"/>
      <c r="E685" s="2423"/>
      <c r="F685" s="2423"/>
      <c r="G685" s="2423"/>
      <c r="H685" s="2423"/>
      <c r="I685" s="2423"/>
      <c r="J685" s="2423"/>
      <c r="K685" s="2423"/>
      <c r="L685" s="2423"/>
      <c r="M685" s="2423"/>
      <c r="N685" s="2423"/>
      <c r="O685" s="2423"/>
      <c r="P685" s="2423"/>
      <c r="Q685" s="2423"/>
      <c r="R685" s="2423"/>
      <c r="S685" s="2424"/>
      <c r="T685" s="2450">
        <f>AO678</f>
        <v>25</v>
      </c>
      <c r="U685" s="2450">
        <f>IF(AND(AND(A686&gt;15,15+A687),A687&gt;10,A686+10),A685,0)</f>
        <v>0</v>
      </c>
      <c r="V685" s="2450">
        <f>IF(AND(AND(B686&gt;15,15+B687),B687&gt;10,B686+10),#REF!,0)</f>
        <v>0</v>
      </c>
      <c r="W685" s="2450">
        <f>IF(AND(AND(C686&gt;15,15+C687),C687&gt;10,C686+10),B685,0)</f>
        <v>0</v>
      </c>
      <c r="X685" s="2450" t="e">
        <f>IF(AND(AND(D686&gt;15,15+D687),D687&gt;10,D686+10),D685,0)</f>
        <v>#VALUE!</v>
      </c>
      <c r="Y685" s="2450" t="e">
        <f>IF(AND(AND(E686&gt;15,15+E687),E687&gt;10,E686+10),E685,0)</f>
        <v>#VALUE!</v>
      </c>
      <c r="Z685" s="1870">
        <v>25</v>
      </c>
      <c r="AA685" s="1870"/>
      <c r="AB685" s="1870"/>
      <c r="AC685" s="1870"/>
      <c r="AD685" s="1870"/>
      <c r="AE685" s="1870"/>
      <c r="AF685" s="1870">
        <f>IF(T685&gt;Z685,Z685,T685)</f>
        <v>25</v>
      </c>
      <c r="AG685" s="1870"/>
      <c r="AH685" s="1870"/>
      <c r="AI685" s="1870"/>
      <c r="AJ685" s="1870"/>
      <c r="AK685" s="1870"/>
      <c r="AL685" s="1309"/>
      <c r="AM685" s="474"/>
    </row>
    <row r="686" spans="1:43" ht="13">
      <c r="A686" s="960"/>
      <c r="B686" s="963"/>
      <c r="C686" s="964"/>
      <c r="D686" s="961" t="s">
        <v>1640</v>
      </c>
      <c r="E686" s="2425" t="s">
        <v>324</v>
      </c>
      <c r="F686" s="2425"/>
      <c r="G686" s="2425"/>
      <c r="H686" s="2425"/>
      <c r="I686" s="2425"/>
      <c r="J686" s="2425"/>
      <c r="K686" s="2425"/>
      <c r="L686" s="2425"/>
      <c r="M686" s="2425"/>
      <c r="N686" s="2425"/>
      <c r="O686" s="2425"/>
      <c r="P686" s="2425"/>
      <c r="Q686" s="2425"/>
      <c r="R686" s="2425"/>
      <c r="S686" s="2426"/>
      <c r="T686" s="2429">
        <f>AK285</f>
        <v>18</v>
      </c>
      <c r="U686" s="2429"/>
      <c r="V686" s="2429"/>
      <c r="W686" s="2429"/>
      <c r="X686" s="2429"/>
      <c r="Y686" s="2429"/>
      <c r="Z686" s="2454">
        <v>15</v>
      </c>
      <c r="AA686" s="2454"/>
      <c r="AB686" s="2454"/>
      <c r="AC686" s="2454"/>
      <c r="AD686" s="2454"/>
      <c r="AE686" s="2454"/>
      <c r="AF686" s="2556"/>
      <c r="AG686" s="2556"/>
      <c r="AH686" s="2556"/>
      <c r="AI686" s="2556"/>
      <c r="AJ686" s="2556"/>
      <c r="AK686" s="2556"/>
      <c r="AL686" s="1309"/>
      <c r="AM686" s="474"/>
    </row>
    <row r="687" spans="1:43" ht="13">
      <c r="A687" s="966"/>
      <c r="B687" s="967"/>
      <c r="C687" s="968"/>
      <c r="D687" s="969" t="s">
        <v>1641</v>
      </c>
      <c r="E687" s="2425" t="s">
        <v>325</v>
      </c>
      <c r="F687" s="2425"/>
      <c r="G687" s="2425"/>
      <c r="H687" s="2425"/>
      <c r="I687" s="2425"/>
      <c r="J687" s="2425"/>
      <c r="K687" s="2425"/>
      <c r="L687" s="2425"/>
      <c r="M687" s="2425"/>
      <c r="N687" s="2425"/>
      <c r="O687" s="2425"/>
      <c r="P687" s="2425"/>
      <c r="Q687" s="2425"/>
      <c r="R687" s="2425"/>
      <c r="S687" s="2426"/>
      <c r="T687" s="2429">
        <f>AK476</f>
        <v>10</v>
      </c>
      <c r="U687" s="2429"/>
      <c r="V687" s="2429"/>
      <c r="W687" s="2429"/>
      <c r="X687" s="2429"/>
      <c r="Y687" s="2429"/>
      <c r="Z687" s="2454">
        <v>10</v>
      </c>
      <c r="AA687" s="2454"/>
      <c r="AB687" s="2454"/>
      <c r="AC687" s="2454"/>
      <c r="AD687" s="2454"/>
      <c r="AE687" s="2454"/>
      <c r="AF687" s="2556"/>
      <c r="AG687" s="2556"/>
      <c r="AH687" s="2556"/>
      <c r="AI687" s="2556"/>
      <c r="AJ687" s="2556"/>
      <c r="AK687" s="2556"/>
      <c r="AL687" s="1309"/>
      <c r="AM687" s="474"/>
    </row>
    <row r="688" spans="1:43" ht="13" hidden="1">
      <c r="A688" s="960" t="s">
        <v>134</v>
      </c>
      <c r="B688" s="2423" t="s">
        <v>599</v>
      </c>
      <c r="C688" s="2423"/>
      <c r="D688" s="2423"/>
      <c r="E688" s="2423"/>
      <c r="F688" s="2423"/>
      <c r="G688" s="2423"/>
      <c r="H688" s="2423"/>
      <c r="I688" s="2423"/>
      <c r="J688" s="2423"/>
      <c r="K688" s="2423"/>
      <c r="L688" s="2423"/>
      <c r="M688" s="2423"/>
      <c r="N688" s="2423"/>
      <c r="O688" s="2423"/>
      <c r="P688" s="2423"/>
      <c r="Q688" s="2423"/>
      <c r="R688" s="2423"/>
      <c r="S688" s="2424"/>
      <c r="T688" s="2450"/>
      <c r="U688" s="2450"/>
      <c r="V688" s="2450"/>
      <c r="W688" s="2450"/>
      <c r="X688" s="2450"/>
      <c r="Y688" s="2450"/>
      <c r="Z688" s="1870"/>
      <c r="AA688" s="1870"/>
      <c r="AB688" s="1870"/>
      <c r="AC688" s="1870"/>
      <c r="AD688" s="1870"/>
      <c r="AE688" s="1870"/>
      <c r="AF688" s="1870"/>
      <c r="AG688" s="1870"/>
      <c r="AH688" s="1870"/>
      <c r="AI688" s="1870"/>
      <c r="AJ688" s="1870"/>
      <c r="AK688" s="1870"/>
      <c r="AL688" s="1309"/>
      <c r="AM688" s="474"/>
    </row>
    <row r="689" spans="1:39" ht="13">
      <c r="A689" s="1392" t="s">
        <v>134</v>
      </c>
      <c r="B689" s="2423" t="s">
        <v>600</v>
      </c>
      <c r="C689" s="2423"/>
      <c r="D689" s="2423"/>
      <c r="E689" s="2423"/>
      <c r="F689" s="2423"/>
      <c r="G689" s="2423"/>
      <c r="H689" s="2423"/>
      <c r="I689" s="2423"/>
      <c r="J689" s="2423"/>
      <c r="K689" s="2423"/>
      <c r="L689" s="2423"/>
      <c r="M689" s="2423"/>
      <c r="N689" s="2423"/>
      <c r="O689" s="2423"/>
      <c r="P689" s="2423"/>
      <c r="Q689" s="2423"/>
      <c r="R689" s="2423"/>
      <c r="S689" s="2424"/>
      <c r="T689" s="2546">
        <f>IF(SUM(T690:Y691)&gt;52,52,SUM(T690:Y691))</f>
        <v>52</v>
      </c>
      <c r="U689" s="2547"/>
      <c r="V689" s="2547"/>
      <c r="W689" s="2547"/>
      <c r="X689" s="2547"/>
      <c r="Y689" s="2547"/>
      <c r="Z689" s="2547">
        <v>52</v>
      </c>
      <c r="AA689" s="2547"/>
      <c r="AB689" s="2547"/>
      <c r="AC689" s="2547"/>
      <c r="AD689" s="2547"/>
      <c r="AE689" s="2547"/>
      <c r="AF689" s="2547">
        <f>$AO$683+$T$691</f>
        <v>52</v>
      </c>
      <c r="AG689" s="2547"/>
      <c r="AH689" s="2547"/>
      <c r="AI689" s="2547"/>
      <c r="AJ689" s="2547"/>
      <c r="AK689" s="2547"/>
      <c r="AL689" s="1309"/>
      <c r="AM689" s="474"/>
    </row>
    <row r="690" spans="1:39" ht="13">
      <c r="A690" s="970"/>
      <c r="B690" s="972"/>
      <c r="C690" s="973"/>
      <c r="D690" s="974" t="s">
        <v>1642</v>
      </c>
      <c r="E690" s="2425" t="s">
        <v>200</v>
      </c>
      <c r="F690" s="2425"/>
      <c r="G690" s="2425"/>
      <c r="H690" s="2425"/>
      <c r="I690" s="2425"/>
      <c r="J690" s="2425"/>
      <c r="K690" s="2425"/>
      <c r="L690" s="2425"/>
      <c r="M690" s="2425"/>
      <c r="N690" s="2425"/>
      <c r="O690" s="2425"/>
      <c r="P690" s="2425"/>
      <c r="Q690" s="2425"/>
      <c r="R690" s="2425"/>
      <c r="S690" s="2426"/>
      <c r="T690" s="2451">
        <f>AC592</f>
        <v>56.3</v>
      </c>
      <c r="U690" s="2452"/>
      <c r="V690" s="2452"/>
      <c r="W690" s="2452"/>
      <c r="X690" s="2452"/>
      <c r="Y690" s="2453"/>
      <c r="Z690" s="2451">
        <v>50</v>
      </c>
      <c r="AA690" s="2452"/>
      <c r="AB690" s="2452"/>
      <c r="AC690" s="2452"/>
      <c r="AD690" s="2452"/>
      <c r="AE690" s="2453"/>
      <c r="AF690" s="2551"/>
      <c r="AG690" s="2552"/>
      <c r="AH690" s="2552"/>
      <c r="AI690" s="2552"/>
      <c r="AJ690" s="2552"/>
      <c r="AK690" s="2553"/>
      <c r="AL690" s="1309"/>
      <c r="AM690" s="46"/>
    </row>
    <row r="691" spans="1:39" ht="13">
      <c r="A691" s="975"/>
      <c r="B691" s="963"/>
      <c r="C691" s="964"/>
      <c r="D691" s="961" t="s">
        <v>1643</v>
      </c>
      <c r="E691" s="2425" t="s">
        <v>297</v>
      </c>
      <c r="F691" s="2425"/>
      <c r="G691" s="2425"/>
      <c r="H691" s="2425"/>
      <c r="I691" s="2425"/>
      <c r="J691" s="2425"/>
      <c r="K691" s="2425"/>
      <c r="L691" s="2425"/>
      <c r="M691" s="2425"/>
      <c r="N691" s="2425"/>
      <c r="O691" s="2425"/>
      <c r="P691" s="2425"/>
      <c r="Q691" s="2425"/>
      <c r="R691" s="2425"/>
      <c r="S691" s="2426"/>
      <c r="T691" s="2388">
        <f>IF(AJ616&gt;0,2,0)</f>
        <v>2</v>
      </c>
      <c r="U691" s="2389"/>
      <c r="V691" s="2389"/>
      <c r="W691" s="2389"/>
      <c r="X691" s="2389"/>
      <c r="Y691" s="2390"/>
      <c r="Z691" s="2365">
        <v>2</v>
      </c>
      <c r="AA691" s="2366"/>
      <c r="AB691" s="2366"/>
      <c r="AC691" s="2366"/>
      <c r="AD691" s="2366"/>
      <c r="AE691" s="2367"/>
      <c r="AF691" s="2567"/>
      <c r="AG691" s="2568"/>
      <c r="AH691" s="2568"/>
      <c r="AI691" s="2568"/>
      <c r="AJ691" s="2568"/>
      <c r="AK691" s="2569"/>
      <c r="AL691" s="1309"/>
      <c r="AM691" s="46"/>
    </row>
    <row r="692" spans="1:39" ht="13">
      <c r="A692" s="970" t="s">
        <v>135</v>
      </c>
      <c r="B692" s="2423" t="s">
        <v>601</v>
      </c>
      <c r="C692" s="2423"/>
      <c r="D692" s="2423"/>
      <c r="E692" s="2423"/>
      <c r="F692" s="2423"/>
      <c r="G692" s="2423"/>
      <c r="H692" s="2423"/>
      <c r="I692" s="2423"/>
      <c r="J692" s="2423"/>
      <c r="K692" s="2423"/>
      <c r="L692" s="2423"/>
      <c r="M692" s="2423"/>
      <c r="N692" s="2423"/>
      <c r="O692" s="2423"/>
      <c r="P692" s="2423"/>
      <c r="Q692" s="2423"/>
      <c r="R692" s="2423"/>
      <c r="S692" s="2424"/>
      <c r="T692" s="2450">
        <f>AK643</f>
        <v>10</v>
      </c>
      <c r="U692" s="2450"/>
      <c r="V692" s="2450"/>
      <c r="W692" s="2450"/>
      <c r="X692" s="2450"/>
      <c r="Y692" s="2450"/>
      <c r="Z692" s="1870">
        <v>10</v>
      </c>
      <c r="AA692" s="1870"/>
      <c r="AB692" s="1870"/>
      <c r="AC692" s="1870"/>
      <c r="AD692" s="1870"/>
      <c r="AE692" s="1870"/>
      <c r="AF692" s="2099">
        <f>IF(T692&gt;Z692,Z692,T692)</f>
        <v>10</v>
      </c>
      <c r="AG692" s="2019"/>
      <c r="AH692" s="2019"/>
      <c r="AI692" s="2019"/>
      <c r="AJ692" s="2019"/>
      <c r="AK692" s="2020"/>
      <c r="AL692" s="1309"/>
      <c r="AM692" s="205"/>
    </row>
    <row r="693" spans="1:39" ht="13">
      <c r="A693" s="970" t="s">
        <v>137</v>
      </c>
      <c r="B693" s="2423" t="s">
        <v>1088</v>
      </c>
      <c r="C693" s="2423"/>
      <c r="D693" s="2423"/>
      <c r="E693" s="2423"/>
      <c r="F693" s="2423"/>
      <c r="G693" s="2423"/>
      <c r="H693" s="2423"/>
      <c r="I693" s="2423"/>
      <c r="J693" s="2423"/>
      <c r="K693" s="2423"/>
      <c r="L693" s="2423"/>
      <c r="M693" s="2423"/>
      <c r="N693" s="2423"/>
      <c r="O693" s="2423"/>
      <c r="P693" s="2423"/>
      <c r="Q693" s="2423"/>
      <c r="R693" s="2423"/>
      <c r="S693" s="2424"/>
      <c r="T693" s="2548">
        <f>IF(AK671&gt;2,2,AK671)</f>
        <v>2</v>
      </c>
      <c r="U693" s="2549"/>
      <c r="V693" s="2549"/>
      <c r="W693" s="2549"/>
      <c r="X693" s="2549"/>
      <c r="Y693" s="2550"/>
      <c r="Z693" s="2099">
        <v>2</v>
      </c>
      <c r="AA693" s="2019"/>
      <c r="AB693" s="2019"/>
      <c r="AC693" s="2019"/>
      <c r="AD693" s="2019"/>
      <c r="AE693" s="2020"/>
      <c r="AF693" s="2099">
        <f>IF(T693&gt;Z693,Z693,T693)</f>
        <v>2</v>
      </c>
      <c r="AG693" s="2565"/>
      <c r="AH693" s="2565"/>
      <c r="AI693" s="2565"/>
      <c r="AJ693" s="2565"/>
      <c r="AK693" s="2566"/>
      <c r="AL693" s="358"/>
      <c r="AM693" s="205"/>
    </row>
    <row r="694" spans="1:39" ht="13">
      <c r="A694" s="2422" t="s">
        <v>327</v>
      </c>
      <c r="B694" s="2423"/>
      <c r="C694" s="2423"/>
      <c r="D694" s="2423"/>
      <c r="E694" s="2423"/>
      <c r="F694" s="2423"/>
      <c r="G694" s="2423"/>
      <c r="H694" s="2423"/>
      <c r="I694" s="2423"/>
      <c r="J694" s="2423"/>
      <c r="K694" s="2423"/>
      <c r="L694" s="2423"/>
      <c r="M694" s="2423"/>
      <c r="N694" s="2423"/>
      <c r="O694" s="2423"/>
      <c r="P694" s="2423"/>
      <c r="Q694" s="2423"/>
      <c r="R694" s="2423"/>
      <c r="S694" s="2424"/>
      <c r="T694" s="1897"/>
      <c r="U694" s="1897"/>
      <c r="V694" s="1897"/>
      <c r="W694" s="1897"/>
      <c r="X694" s="1897"/>
      <c r="Y694" s="1897"/>
      <c r="Z694" s="2454" t="s">
        <v>326</v>
      </c>
      <c r="AA694" s="2454"/>
      <c r="AB694" s="2454"/>
      <c r="AC694" s="2454"/>
      <c r="AD694" s="2454"/>
      <c r="AE694" s="2454"/>
      <c r="AF694" s="2099">
        <f>IF(T694&gt;0,T694,0)</f>
        <v>0</v>
      </c>
      <c r="AG694" s="2019"/>
      <c r="AH694" s="2019"/>
      <c r="AI694" s="2019"/>
      <c r="AJ694" s="2019"/>
      <c r="AK694" s="2020"/>
      <c r="AL694" s="1300"/>
      <c r="AM694" s="205"/>
    </row>
    <row r="695" spans="1:39" ht="15.5">
      <c r="A695" s="2436" t="s">
        <v>787</v>
      </c>
      <c r="B695" s="2437"/>
      <c r="C695" s="2437"/>
      <c r="D695" s="2437"/>
      <c r="E695" s="2437"/>
      <c r="F695" s="2437"/>
      <c r="G695" s="2437"/>
      <c r="H695" s="2437"/>
      <c r="I695" s="2437"/>
      <c r="J695" s="2437"/>
      <c r="K695" s="2437"/>
      <c r="L695" s="2437"/>
      <c r="M695" s="2437"/>
      <c r="N695" s="2437"/>
      <c r="O695" s="2437"/>
      <c r="P695" s="2437"/>
      <c r="Q695" s="2437"/>
      <c r="R695" s="2437"/>
      <c r="S695" s="2437"/>
      <c r="T695" s="2437"/>
      <c r="U695" s="2437"/>
      <c r="V695" s="2437"/>
      <c r="W695" s="2437"/>
      <c r="X695" s="2437"/>
      <c r="Y695" s="2437"/>
      <c r="Z695" s="2437"/>
      <c r="AA695" s="2437"/>
      <c r="AB695" s="2437"/>
      <c r="AC695" s="2437"/>
      <c r="AD695" s="2437"/>
      <c r="AE695" s="2438"/>
      <c r="AF695" s="2557">
        <f>SUM(AF681:AK693)-AF694</f>
        <v>109</v>
      </c>
      <c r="AG695" s="2558"/>
      <c r="AH695" s="2558"/>
      <c r="AI695" s="2558"/>
      <c r="AJ695" s="2558"/>
      <c r="AK695" s="2559"/>
      <c r="AL695" s="1310"/>
      <c r="AM695" s="46"/>
    </row>
    <row r="696" spans="1:39" ht="15.5">
      <c r="A696" s="2439"/>
      <c r="B696" s="2440"/>
      <c r="C696" s="2440"/>
      <c r="D696" s="2440"/>
      <c r="E696" s="2440"/>
      <c r="F696" s="2440"/>
      <c r="G696" s="2440"/>
      <c r="H696" s="2440"/>
      <c r="I696" s="2440"/>
      <c r="J696" s="2440"/>
      <c r="K696" s="2440"/>
      <c r="L696" s="2440"/>
      <c r="M696" s="2440"/>
      <c r="N696" s="2440"/>
      <c r="O696" s="2440"/>
      <c r="P696" s="2440"/>
      <c r="Q696" s="2440"/>
      <c r="R696" s="2440"/>
      <c r="S696" s="2440"/>
      <c r="T696" s="2440"/>
      <c r="U696" s="2440"/>
      <c r="V696" s="2440"/>
      <c r="W696" s="2440"/>
      <c r="X696" s="2440"/>
      <c r="Y696" s="2440"/>
      <c r="Z696" s="2440"/>
      <c r="AA696" s="2440"/>
      <c r="AB696" s="2440"/>
      <c r="AC696" s="2440"/>
      <c r="AD696" s="2440"/>
      <c r="AE696" s="2441"/>
      <c r="AF696" s="2560"/>
      <c r="AG696" s="2561"/>
      <c r="AH696" s="2561"/>
      <c r="AI696" s="2561"/>
      <c r="AJ696" s="2561"/>
      <c r="AK696" s="2562"/>
      <c r="AL696" s="1310"/>
      <c r="AM696" s="46"/>
    </row>
    <row r="697" spans="1:39">
      <c r="A697" s="1631" t="s">
        <v>7</v>
      </c>
      <c r="B697" s="1631"/>
      <c r="C697" s="1631"/>
      <c r="D697" s="1631"/>
      <c r="E697" s="1631"/>
      <c r="F697" s="1631"/>
      <c r="G697" s="1631"/>
      <c r="H697" s="1631"/>
      <c r="I697" s="1631"/>
      <c r="J697" s="1631"/>
      <c r="K697" s="1631"/>
      <c r="L697" s="1631"/>
      <c r="M697" s="1631"/>
      <c r="N697" s="1631"/>
      <c r="O697" s="1631"/>
      <c r="P697" s="1631"/>
      <c r="Q697" s="1631"/>
      <c r="R697" s="1631"/>
      <c r="S697" s="1631"/>
      <c r="T697" s="1631"/>
      <c r="U697" s="1631"/>
      <c r="V697" s="1631"/>
      <c r="W697" s="1631"/>
      <c r="X697" s="1631"/>
      <c r="Y697" s="1631"/>
      <c r="Z697" s="1631"/>
      <c r="AA697" s="1631"/>
      <c r="AB697" s="1631"/>
      <c r="AC697" s="1631"/>
      <c r="AD697" s="1631"/>
      <c r="AE697" s="1631"/>
      <c r="AF697" s="1631"/>
      <c r="AG697" s="1631"/>
      <c r="AH697" s="1631"/>
      <c r="AI697" s="1631"/>
      <c r="AJ697" s="1631"/>
      <c r="AK697" s="1631"/>
      <c r="AL697" s="1631"/>
      <c r="AM697" s="2615"/>
    </row>
    <row r="698" spans="1:39" ht="12.5" customHeight="1">
      <c r="A698" s="1631"/>
      <c r="B698" s="1631"/>
      <c r="C698" s="1631"/>
      <c r="D698" s="1631"/>
      <c r="E698" s="1631"/>
      <c r="F698" s="1631"/>
      <c r="G698" s="1631"/>
      <c r="H698" s="1631"/>
      <c r="I698" s="1631"/>
      <c r="J698" s="1631"/>
      <c r="K698" s="1631"/>
      <c r="L698" s="1631"/>
      <c r="M698" s="1631"/>
      <c r="N698" s="1631"/>
      <c r="O698" s="1631"/>
      <c r="P698" s="1631"/>
      <c r="Q698" s="1631"/>
      <c r="R698" s="1631"/>
      <c r="S698" s="1631"/>
      <c r="T698" s="1631"/>
      <c r="U698" s="1631"/>
      <c r="V698" s="1631"/>
      <c r="W698" s="1631"/>
      <c r="X698" s="1631"/>
      <c r="Y698" s="1631"/>
      <c r="Z698" s="1631"/>
      <c r="AA698" s="1631"/>
      <c r="AB698" s="1631"/>
      <c r="AC698" s="1631"/>
      <c r="AD698" s="1631"/>
      <c r="AE698" s="1631"/>
      <c r="AF698" s="1631"/>
      <c r="AG698" s="1631"/>
      <c r="AH698" s="1631"/>
      <c r="AI698" s="1631"/>
      <c r="AJ698" s="1631"/>
      <c r="AK698" s="1631"/>
      <c r="AL698" s="1631"/>
      <c r="AM698" s="2615"/>
    </row>
    <row r="699" spans="1:39" ht="56.25" customHeight="1">
      <c r="A699" s="1631"/>
      <c r="B699" s="1631"/>
      <c r="C699" s="1631"/>
      <c r="D699" s="1631"/>
      <c r="E699" s="1631"/>
      <c r="F699" s="1631"/>
      <c r="G699" s="1631"/>
      <c r="H699" s="1631"/>
      <c r="I699" s="1631"/>
      <c r="J699" s="1631"/>
      <c r="K699" s="1631"/>
      <c r="L699" s="1631"/>
      <c r="M699" s="1631"/>
      <c r="N699" s="1631"/>
      <c r="O699" s="1631"/>
      <c r="P699" s="1631"/>
      <c r="Q699" s="1631"/>
      <c r="R699" s="1631"/>
      <c r="S699" s="1631"/>
      <c r="T699" s="1631"/>
      <c r="U699" s="1631"/>
      <c r="V699" s="1631"/>
      <c r="W699" s="1631"/>
      <c r="X699" s="1631"/>
      <c r="Y699" s="1631"/>
      <c r="Z699" s="1631"/>
      <c r="AA699" s="1631"/>
      <c r="AB699" s="1631"/>
      <c r="AC699" s="1631"/>
      <c r="AD699" s="1631"/>
      <c r="AE699" s="1631"/>
      <c r="AF699" s="1631"/>
      <c r="AG699" s="1631"/>
      <c r="AH699" s="1631"/>
      <c r="AI699" s="1631"/>
      <c r="AJ699" s="1631"/>
      <c r="AK699" s="1631"/>
      <c r="AL699" s="1631"/>
      <c r="AM699" s="2615"/>
    </row>
    <row r="700" spans="1:39" ht="12.5" hidden="1" customHeight="1">
      <c r="A700" s="1631"/>
      <c r="B700" s="1631"/>
      <c r="C700" s="1631"/>
      <c r="D700" s="1631"/>
      <c r="E700" s="1631"/>
      <c r="F700" s="1631"/>
      <c r="G700" s="1631"/>
      <c r="H700" s="1631"/>
      <c r="I700" s="1631"/>
      <c r="J700" s="1631"/>
      <c r="K700" s="1631"/>
      <c r="L700" s="1631"/>
      <c r="M700" s="1631"/>
      <c r="N700" s="1631"/>
      <c r="O700" s="1631"/>
      <c r="P700" s="1631"/>
      <c r="Q700" s="1631"/>
      <c r="R700" s="1631"/>
      <c r="S700" s="1631"/>
      <c r="T700" s="1631"/>
      <c r="U700" s="1631"/>
      <c r="V700" s="1631"/>
      <c r="W700" s="1631"/>
      <c r="X700" s="1631"/>
      <c r="Y700" s="1631"/>
      <c r="Z700" s="1631"/>
      <c r="AA700" s="1631"/>
      <c r="AB700" s="1631"/>
      <c r="AC700" s="1631"/>
      <c r="AD700" s="1631"/>
      <c r="AE700" s="1631"/>
      <c r="AF700" s="1631"/>
      <c r="AG700" s="1631"/>
      <c r="AH700" s="1631"/>
      <c r="AI700" s="1631"/>
      <c r="AJ700" s="1631"/>
      <c r="AK700" s="1631"/>
      <c r="AL700" s="1631"/>
      <c r="AM700" s="2615"/>
    </row>
    <row r="701" spans="1:39" ht="12.5" hidden="1" customHeight="1">
      <c r="A701" s="1631"/>
      <c r="B701" s="1631"/>
      <c r="C701" s="1631"/>
      <c r="D701" s="1631"/>
      <c r="E701" s="1631"/>
      <c r="F701" s="1631"/>
      <c r="G701" s="1631"/>
      <c r="H701" s="1631"/>
      <c r="I701" s="1631"/>
      <c r="J701" s="1631"/>
      <c r="K701" s="1631"/>
      <c r="L701" s="1631"/>
      <c r="M701" s="1631"/>
      <c r="N701" s="1631"/>
      <c r="O701" s="1631"/>
      <c r="P701" s="1631"/>
      <c r="Q701" s="1631"/>
      <c r="R701" s="1631"/>
      <c r="S701" s="1631"/>
      <c r="T701" s="1631"/>
      <c r="U701" s="1631"/>
      <c r="V701" s="1631"/>
      <c r="W701" s="1631"/>
      <c r="X701" s="1631"/>
      <c r="Y701" s="1631"/>
      <c r="Z701" s="1631"/>
      <c r="AA701" s="1631"/>
      <c r="AB701" s="1631"/>
      <c r="AC701" s="1631"/>
      <c r="AD701" s="1631"/>
      <c r="AE701" s="1631"/>
      <c r="AF701" s="1631"/>
      <c r="AG701" s="1631"/>
      <c r="AH701" s="1631"/>
      <c r="AI701" s="1631"/>
      <c r="AJ701" s="1631"/>
      <c r="AK701" s="1631"/>
      <c r="AL701" s="1631"/>
      <c r="AM701" s="2615"/>
    </row>
    <row r="702" spans="1:39" ht="12.5" hidden="1" customHeight="1">
      <c r="A702" s="1631"/>
      <c r="B702" s="1631"/>
      <c r="C702" s="1631"/>
      <c r="D702" s="1631"/>
      <c r="E702" s="1631"/>
      <c r="F702" s="1631"/>
      <c r="G702" s="1631"/>
      <c r="H702" s="1631"/>
      <c r="I702" s="1631"/>
      <c r="J702" s="1631"/>
      <c r="K702" s="1631"/>
      <c r="L702" s="1631"/>
      <c r="M702" s="1631"/>
      <c r="N702" s="1631"/>
      <c r="O702" s="1631"/>
      <c r="P702" s="1631"/>
      <c r="Q702" s="1631"/>
      <c r="R702" s="1631"/>
      <c r="S702" s="1631"/>
      <c r="T702" s="1631"/>
      <c r="U702" s="1631"/>
      <c r="V702" s="1631"/>
      <c r="W702" s="1631"/>
      <c r="X702" s="1631"/>
      <c r="Y702" s="1631"/>
      <c r="Z702" s="1631"/>
      <c r="AA702" s="1631"/>
      <c r="AB702" s="1631"/>
      <c r="AC702" s="1631"/>
      <c r="AD702" s="1631"/>
      <c r="AE702" s="1631"/>
      <c r="AF702" s="1631"/>
      <c r="AG702" s="1631"/>
      <c r="AH702" s="1631"/>
      <c r="AI702" s="1631"/>
      <c r="AJ702" s="1631"/>
      <c r="AK702" s="1631"/>
      <c r="AL702" s="1631"/>
      <c r="AM702" s="261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70" zoomScaleNormal="70" zoomScaleSheetLayoutView="80" workbookViewId="0">
      <selection sqref="A1:K2"/>
    </sheetView>
  </sheetViews>
  <sheetFormatPr defaultColWidth="9" defaultRowHeight="14" zeroHeight="1"/>
  <cols>
    <col min="1" max="2" width="2.453125" style="449" customWidth="1"/>
    <col min="3" max="3" width="3.81640625" style="449" customWidth="1"/>
    <col min="4" max="4" width="15.453125" style="449" customWidth="1"/>
    <col min="5" max="5" width="32.453125" style="449" customWidth="1"/>
    <col min="6" max="8" width="15.453125" style="449" customWidth="1"/>
    <col min="9" max="9" width="40.453125" style="449" customWidth="1"/>
    <col min="10" max="10" width="30.453125" style="449" customWidth="1"/>
    <col min="11" max="13" width="2.453125" style="449" customWidth="1"/>
    <col min="14" max="14" width="29.6328125" style="449" customWidth="1"/>
    <col min="15" max="24" width="2.453125" style="449" customWidth="1"/>
    <col min="25" max="33" width="9" style="449" customWidth="1"/>
    <col min="34" max="16384" width="9" style="449"/>
  </cols>
  <sheetData>
    <row r="1" spans="1:33">
      <c r="A1" s="2624" t="s">
        <v>129</v>
      </c>
      <c r="B1" s="2624"/>
      <c r="C1" s="2624"/>
      <c r="D1" s="2624"/>
      <c r="E1" s="2624"/>
      <c r="F1" s="2624"/>
      <c r="G1" s="2624"/>
      <c r="H1" s="2624"/>
      <c r="I1" s="2624"/>
      <c r="J1" s="2624"/>
      <c r="K1" s="2624"/>
      <c r="L1" s="448"/>
      <c r="M1" s="448"/>
      <c r="N1" s="448"/>
      <c r="O1" s="448"/>
      <c r="P1" s="448"/>
      <c r="Q1" s="448"/>
      <c r="R1" s="448"/>
      <c r="S1" s="448"/>
      <c r="T1" s="448"/>
      <c r="U1" s="448"/>
      <c r="V1" s="448"/>
      <c r="W1" s="448"/>
      <c r="X1" s="448"/>
      <c r="Y1" s="448"/>
      <c r="Z1" s="448"/>
      <c r="AA1" s="448"/>
      <c r="AB1" s="448"/>
      <c r="AC1" s="448"/>
      <c r="AD1" s="448"/>
      <c r="AE1" s="448"/>
      <c r="AF1" s="448"/>
      <c r="AG1" s="448"/>
    </row>
    <row r="2" spans="1:33">
      <c r="A2" s="2624"/>
      <c r="B2" s="2624"/>
      <c r="C2" s="2624"/>
      <c r="D2" s="2624"/>
      <c r="E2" s="2624"/>
      <c r="F2" s="2624"/>
      <c r="G2" s="2624"/>
      <c r="H2" s="2624"/>
      <c r="I2" s="2624"/>
      <c r="J2" s="2624"/>
      <c r="K2" s="262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6" t="s">
        <v>653</v>
      </c>
      <c r="D4" s="2636"/>
      <c r="E4" s="2636"/>
      <c r="F4" s="2636"/>
      <c r="G4" s="2636"/>
      <c r="H4" s="2636"/>
      <c r="I4" s="2636"/>
      <c r="J4" s="2636"/>
    </row>
    <row r="5" spans="1:33">
      <c r="C5" s="2636"/>
      <c r="D5" s="2636"/>
      <c r="E5" s="2636"/>
      <c r="F5" s="2636"/>
      <c r="G5" s="2636"/>
      <c r="H5" s="2636"/>
      <c r="I5" s="2636"/>
      <c r="J5" s="2636"/>
    </row>
    <row r="6" spans="1:33">
      <c r="C6" s="462"/>
      <c r="D6" s="462"/>
      <c r="E6" s="462"/>
      <c r="F6" s="462"/>
      <c r="G6" s="462"/>
      <c r="H6" s="462"/>
      <c r="I6" s="462"/>
      <c r="J6" s="462"/>
    </row>
    <row r="7" spans="1:33">
      <c r="C7" s="463" t="s">
        <v>813</v>
      </c>
      <c r="D7" s="462"/>
      <c r="E7" s="2631" t="str">
        <f>Application!H15</f>
        <v>Westview Village II LP</v>
      </c>
      <c r="F7" s="2631"/>
      <c r="G7" s="2631"/>
      <c r="H7" s="462"/>
      <c r="I7" s="463" t="s">
        <v>1946</v>
      </c>
      <c r="J7" s="1094">
        <f>Application!AG433+Application!AG431</f>
        <v>49</v>
      </c>
    </row>
    <row r="8" spans="1:33">
      <c r="C8" s="463" t="s">
        <v>814</v>
      </c>
      <c r="D8" s="462"/>
      <c r="E8" s="2631" t="str">
        <f>Application!H17</f>
        <v>Westview Village II</v>
      </c>
      <c r="F8" s="2631"/>
      <c r="G8" s="2631"/>
      <c r="H8" s="462"/>
      <c r="I8" s="463" t="s">
        <v>1947</v>
      </c>
      <c r="J8" s="1097">
        <f>Application!$CQ$650</f>
        <v>54</v>
      </c>
    </row>
    <row r="9" spans="1:33" ht="14.25" customHeight="1">
      <c r="C9" s="463" t="s">
        <v>815</v>
      </c>
      <c r="D9" s="462"/>
      <c r="E9" s="2637" t="str">
        <f>Application!D214</f>
        <v>Seniors</v>
      </c>
      <c r="F9" s="2637"/>
      <c r="G9" s="2637"/>
      <c r="H9" s="462"/>
      <c r="I9" s="463" t="s">
        <v>1948</v>
      </c>
      <c r="J9" s="732"/>
      <c r="N9" s="1093"/>
    </row>
    <row r="10" spans="1:33" ht="27" customHeight="1">
      <c r="C10" s="2636" t="s">
        <v>1945</v>
      </c>
      <c r="D10" s="2636"/>
      <c r="E10" s="2638" t="str">
        <f>Application!$E$217</f>
        <v>N/A</v>
      </c>
      <c r="F10" s="2638"/>
      <c r="G10" s="2638"/>
      <c r="H10" s="1091"/>
      <c r="I10" s="1096" t="s">
        <v>1949</v>
      </c>
      <c r="J10" s="1095">
        <f>IF(J9&gt;0,J8-J9,J8)</f>
        <v>54</v>
      </c>
      <c r="N10" s="1093"/>
    </row>
    <row r="11" spans="1:33">
      <c r="C11" s="451"/>
      <c r="N11" s="1093"/>
    </row>
    <row r="12" spans="1:33" ht="15" customHeight="1">
      <c r="C12" s="2625" t="s">
        <v>959</v>
      </c>
      <c r="D12" s="2626"/>
      <c r="E12" s="2627"/>
      <c r="F12" s="2632" t="s">
        <v>1218</v>
      </c>
      <c r="G12" s="2632" t="s">
        <v>960</v>
      </c>
      <c r="H12" s="2634" t="s">
        <v>2066</v>
      </c>
      <c r="I12" s="2632" t="s">
        <v>1219</v>
      </c>
      <c r="J12" s="2632" t="s">
        <v>2065</v>
      </c>
      <c r="N12" s="1093"/>
    </row>
    <row r="13" spans="1:33" ht="68.25" customHeight="1">
      <c r="C13" s="2628"/>
      <c r="D13" s="2629"/>
      <c r="E13" s="2630"/>
      <c r="F13" s="2633"/>
      <c r="G13" s="2633"/>
      <c r="H13" s="2635"/>
      <c r="I13" s="2633"/>
      <c r="J13" s="2633"/>
    </row>
    <row r="14" spans="1:33" ht="15" customHeight="1">
      <c r="C14" s="1109" t="s">
        <v>2207</v>
      </c>
      <c r="D14" s="1110"/>
      <c r="E14" s="1110"/>
      <c r="F14" s="1107"/>
      <c r="G14" s="1107"/>
      <c r="H14" s="1108"/>
      <c r="I14" s="1108"/>
      <c r="J14" s="1108"/>
    </row>
    <row r="15" spans="1:33">
      <c r="C15" s="452" t="s">
        <v>961</v>
      </c>
      <c r="D15" s="449" t="s">
        <v>971</v>
      </c>
      <c r="F15" s="459">
        <f>56/600</f>
        <v>9.3333333333333338E-2</v>
      </c>
      <c r="G15" s="460">
        <v>10000</v>
      </c>
      <c r="H15" s="642" t="s">
        <v>2523</v>
      </c>
      <c r="I15" s="642" t="s">
        <v>2444</v>
      </c>
      <c r="J15" s="642" t="s">
        <v>2524</v>
      </c>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v>60</v>
      </c>
      <c r="G18" s="639">
        <v>10000</v>
      </c>
      <c r="H18" s="642" t="s">
        <v>2523</v>
      </c>
      <c r="I18" s="642" t="s">
        <v>2444</v>
      </c>
      <c r="J18" s="642" t="s">
        <v>2524</v>
      </c>
    </row>
    <row r="19" spans="3:10">
      <c r="C19" s="452" t="s">
        <v>965</v>
      </c>
      <c r="D19" s="450" t="s">
        <v>386</v>
      </c>
      <c r="E19" s="450"/>
      <c r="F19" s="459"/>
      <c r="G19" s="639"/>
      <c r="H19" s="642"/>
      <c r="I19" s="642"/>
      <c r="J19" s="642"/>
    </row>
    <row r="20" spans="3:10">
      <c r="C20" s="452" t="s">
        <v>966</v>
      </c>
      <c r="D20" s="450" t="s">
        <v>387</v>
      </c>
      <c r="E20" s="1121"/>
      <c r="F20" s="1120"/>
      <c r="G20" s="639"/>
      <c r="H20" s="642"/>
      <c r="I20" s="642"/>
      <c r="J20" s="642"/>
    </row>
    <row r="21" spans="3:10">
      <c r="C21" s="1098"/>
      <c r="D21" s="1099"/>
      <c r="E21" s="1100"/>
      <c r="F21" s="1120"/>
      <c r="G21" s="639"/>
      <c r="H21" s="642"/>
      <c r="I21" s="642"/>
      <c r="J21" s="642"/>
    </row>
    <row r="22" spans="3:10">
      <c r="C22" s="1111" t="s">
        <v>1889</v>
      </c>
      <c r="D22" s="1112"/>
      <c r="E22" s="1112"/>
      <c r="F22" s="1113"/>
      <c r="G22" s="1114"/>
      <c r="H22" s="1115"/>
      <c r="I22" s="1115"/>
      <c r="J22" s="1115"/>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2"/>
      <c r="D29" s="451"/>
      <c r="E29" s="451"/>
      <c r="F29" s="459"/>
      <c r="G29" s="639"/>
      <c r="H29" s="642"/>
      <c r="I29" s="642"/>
      <c r="J29" s="642"/>
    </row>
    <row r="30" spans="3:10">
      <c r="C30" s="1116" t="s">
        <v>970</v>
      </c>
      <c r="D30" s="1112"/>
      <c r="E30" s="1112"/>
      <c r="F30" s="1117"/>
      <c r="G30" s="1118"/>
      <c r="H30" s="1119"/>
      <c r="I30" s="1119"/>
      <c r="J30" s="1119"/>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20000</v>
      </c>
      <c r="H35" s="641"/>
      <c r="I35" s="641"/>
      <c r="J35" s="641"/>
    </row>
    <row r="36" spans="3:10"/>
    <row r="37" spans="3:10" ht="16.5">
      <c r="C37" s="447" t="s">
        <v>1964</v>
      </c>
    </row>
    <row r="38" spans="3:10" s="461" customFormat="1" ht="17.25" customHeight="1">
      <c r="C38" s="476" t="s">
        <v>2067</v>
      </c>
    </row>
    <row r="39" spans="3:10" s="461" customFormat="1" ht="14.5">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Sandy Sanchez</cp:lastModifiedBy>
  <cp:lastPrinted>2021-06-30T21:29:32Z</cp:lastPrinted>
  <dcterms:created xsi:type="dcterms:W3CDTF">2007-12-27T18:26:28Z</dcterms:created>
  <dcterms:modified xsi:type="dcterms:W3CDTF">2021-07-01T18:03:49Z</dcterms:modified>
</cp:coreProperties>
</file>