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N:\_Development Projects\Active Projects\Heritage House-Valle Verde\07) Funding Sources\TCAC DR 9% Application July 2021\HH-VVV TCAC DR 9% Application July 2021 FINAL\"/>
    </mc:Choice>
  </mc:AlternateContent>
  <xr:revisionPtr revIDLastSave="0" documentId="13_ncr:1_{539CD9F9-86CC-4320-A5DA-67053162E290}" xr6:coauthVersionLast="36" xr6:coauthVersionMax="47" xr10:uidLastSave="{00000000-0000-0000-0000-000000000000}"/>
  <bookViews>
    <workbookView xWindow="0" yWindow="0" windowWidth="23040" windowHeight="8484"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 name="Sheet1" sheetId="29" r:id="rId19"/>
  </sheets>
  <externalReferences>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calcOnSave="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N15" i="28" l="1"/>
  <c r="R641" i="3"/>
  <c r="O641" i="3"/>
  <c r="W568" i="3"/>
  <c r="AO645" i="3"/>
  <c r="AM571" i="3"/>
  <c r="C75" i="4"/>
  <c r="W824" i="3" l="1"/>
  <c r="W567" i="3"/>
  <c r="AA911" i="3"/>
  <c r="I911" i="3"/>
  <c r="AA910" i="3"/>
  <c r="AA909" i="3"/>
  <c r="E40" i="9"/>
  <c r="AF634" i="3"/>
  <c r="C9" i="9" l="1"/>
  <c r="C30" i="4"/>
  <c r="AI10" i="9"/>
  <c r="AK10" i="9" s="1"/>
  <c r="AM10" i="9" s="1"/>
  <c r="AO10" i="9" s="1"/>
  <c r="AQ10" i="9" s="1"/>
  <c r="AS10" i="9" s="1"/>
  <c r="AU10" i="9" s="1"/>
  <c r="AW10" i="9" s="1"/>
  <c r="AY10" i="9" s="1"/>
  <c r="BA10" i="9" s="1"/>
  <c r="BC10" i="9" s="1"/>
  <c r="BE10" i="9" s="1"/>
  <c r="BG10" i="9" s="1"/>
  <c r="BI10" i="9" s="1"/>
  <c r="BK10" i="9" s="1"/>
  <c r="BM10" i="9" s="1"/>
  <c r="BO10" i="9" s="1"/>
  <c r="BQ10" i="9" s="1"/>
  <c r="BS10" i="9" s="1"/>
  <c r="BU10" i="9" s="1"/>
  <c r="BW10" i="9" s="1"/>
  <c r="BY10" i="9" s="1"/>
  <c r="CA10" i="9" s="1"/>
  <c r="CC10" i="9" s="1"/>
  <c r="CE10" i="9" s="1"/>
  <c r="CG10" i="9" s="1"/>
  <c r="CI10" i="9" s="1"/>
  <c r="CK10" i="9" s="1"/>
  <c r="CM10" i="9" s="1"/>
  <c r="CO10" i="9" s="1"/>
  <c r="CQ10" i="9" s="1"/>
  <c r="CS10" i="9" s="1"/>
  <c r="CU10" i="9" s="1"/>
  <c r="CW10" i="9" s="1"/>
  <c r="CY10" i="9" s="1"/>
  <c r="DA10" i="9" s="1"/>
  <c r="DC10" i="9" s="1"/>
  <c r="DE10" i="9" s="1"/>
  <c r="DG10" i="9" s="1"/>
  <c r="DI10" i="9" s="1"/>
  <c r="DK10" i="9" s="1"/>
  <c r="DM10" i="9" s="1"/>
  <c r="DO10" i="9" s="1"/>
  <c r="DQ10" i="9" s="1"/>
  <c r="DS10" i="9" s="1"/>
  <c r="DU10" i="9" s="1"/>
  <c r="DW10" i="9" s="1"/>
  <c r="DY10" i="9" s="1"/>
  <c r="EA10" i="9" s="1"/>
  <c r="EC10" i="9" s="1"/>
  <c r="EE10" i="9" s="1"/>
  <c r="EG10" i="9" s="1"/>
  <c r="EI10" i="9" s="1"/>
  <c r="EK10" i="9" s="1"/>
  <c r="EM10" i="9" s="1"/>
  <c r="EO10" i="9" s="1"/>
  <c r="EQ10" i="9" s="1"/>
  <c r="ES10" i="9" s="1"/>
  <c r="EU10" i="9" s="1"/>
  <c r="EW10" i="9" s="1"/>
  <c r="EY10" i="9" s="1"/>
  <c r="FA10" i="9" s="1"/>
  <c r="FC10" i="9" s="1"/>
  <c r="FE10" i="9" s="1"/>
  <c r="FG10" i="9" s="1"/>
  <c r="FI10" i="9" s="1"/>
  <c r="FK10" i="9" s="1"/>
  <c r="FM10" i="9" s="1"/>
  <c r="FO10" i="9" s="1"/>
  <c r="FQ10" i="9" s="1"/>
  <c r="FS10" i="9" s="1"/>
  <c r="FU10" i="9" s="1"/>
  <c r="FW10" i="9" s="1"/>
  <c r="FY10" i="9" s="1"/>
  <c r="GA10" i="9" s="1"/>
  <c r="GC10" i="9" s="1"/>
  <c r="GE10" i="9" s="1"/>
  <c r="GG10" i="9" s="1"/>
  <c r="GI10" i="9" s="1"/>
  <c r="GK10" i="9" s="1"/>
  <c r="GM10" i="9" s="1"/>
  <c r="GO10" i="9" s="1"/>
  <c r="GQ10" i="9" s="1"/>
  <c r="GS10" i="9" s="1"/>
  <c r="GU10" i="9" s="1"/>
  <c r="GW10" i="9" s="1"/>
  <c r="GY10" i="9" s="1"/>
  <c r="HA10" i="9" s="1"/>
  <c r="HC10" i="9" s="1"/>
  <c r="HE10" i="9" s="1"/>
  <c r="HG10" i="9" s="1"/>
  <c r="HI10" i="9" s="1"/>
  <c r="HK10" i="9" s="1"/>
  <c r="HM10" i="9" s="1"/>
  <c r="HO10" i="9" s="1"/>
  <c r="HQ10" i="9" s="1"/>
  <c r="HS10" i="9" s="1"/>
  <c r="HU10" i="9" s="1"/>
  <c r="HW10" i="9" s="1"/>
  <c r="HY10" i="9" s="1"/>
  <c r="IA10" i="9" s="1"/>
  <c r="IC10" i="9" s="1"/>
  <c r="IE10" i="9" s="1"/>
  <c r="IG10" i="9" s="1"/>
  <c r="II10" i="9" s="1"/>
  <c r="IK10" i="9" s="1"/>
  <c r="IM10" i="9" s="1"/>
  <c r="IO10" i="9" s="1"/>
  <c r="IQ10" i="9" s="1"/>
  <c r="IS10" i="9" s="1"/>
  <c r="IU10" i="9" s="1"/>
  <c r="IW10" i="9" s="1"/>
  <c r="IY10" i="9" s="1"/>
  <c r="JA10" i="9" s="1"/>
  <c r="JC10" i="9" s="1"/>
  <c r="JE10" i="9" s="1"/>
  <c r="JG10" i="9" s="1"/>
  <c r="JI10" i="9" s="1"/>
  <c r="JK10" i="9" s="1"/>
  <c r="JM10" i="9" s="1"/>
  <c r="JO10" i="9" s="1"/>
  <c r="JQ10" i="9" s="1"/>
  <c r="JS10" i="9" s="1"/>
  <c r="JU10" i="9" s="1"/>
  <c r="JW10" i="9" s="1"/>
  <c r="JY10" i="9" s="1"/>
  <c r="KA10" i="9" s="1"/>
  <c r="KC10" i="9" s="1"/>
  <c r="KE10" i="9" s="1"/>
  <c r="KG10" i="9" s="1"/>
  <c r="KI10" i="9" s="1"/>
  <c r="KK10" i="9" s="1"/>
  <c r="KM10" i="9" s="1"/>
  <c r="KO10" i="9" s="1"/>
  <c r="KQ10" i="9" s="1"/>
  <c r="KS10" i="9" s="1"/>
  <c r="KU10" i="9" s="1"/>
  <c r="KW10" i="9" s="1"/>
  <c r="KY10" i="9" s="1"/>
  <c r="LA10" i="9" s="1"/>
  <c r="LC10" i="9" s="1"/>
  <c r="LE10" i="9" s="1"/>
  <c r="LG10" i="9" s="1"/>
  <c r="LI10" i="9" s="1"/>
  <c r="LK10" i="9" s="1"/>
  <c r="LM10" i="9" s="1"/>
  <c r="LO10" i="9" s="1"/>
  <c r="LQ10" i="9" s="1"/>
  <c r="LS10" i="9" s="1"/>
  <c r="LU10" i="9" s="1"/>
  <c r="LW10" i="9" s="1"/>
  <c r="LY10" i="9" s="1"/>
  <c r="MA10" i="9" s="1"/>
  <c r="MC10" i="9" s="1"/>
  <c r="ME10" i="9" s="1"/>
  <c r="MG10" i="9" s="1"/>
  <c r="MI10" i="9" s="1"/>
  <c r="MK10" i="9" s="1"/>
  <c r="MM10" i="9" s="1"/>
  <c r="MO10" i="9" s="1"/>
  <c r="MQ10" i="9" s="1"/>
  <c r="MS10" i="9" s="1"/>
  <c r="MU10" i="9" s="1"/>
  <c r="MW10" i="9" s="1"/>
  <c r="MY10" i="9" s="1"/>
  <c r="NA10" i="9" s="1"/>
  <c r="NC10" i="9" s="1"/>
  <c r="NE10" i="9" s="1"/>
  <c r="NG10" i="9" s="1"/>
  <c r="NI10" i="9" s="1"/>
  <c r="NK10" i="9" s="1"/>
  <c r="NM10" i="9" s="1"/>
  <c r="NO10" i="9" s="1"/>
  <c r="NQ10" i="9" s="1"/>
  <c r="NS10" i="9" s="1"/>
  <c r="NU10" i="9" s="1"/>
  <c r="NW10" i="9" s="1"/>
  <c r="NY10" i="9" s="1"/>
  <c r="OA10" i="9" s="1"/>
  <c r="OC10" i="9" s="1"/>
  <c r="OE10" i="9" s="1"/>
  <c r="OG10" i="9" s="1"/>
  <c r="OI10" i="9" s="1"/>
  <c r="OK10" i="9" s="1"/>
  <c r="OM10" i="9" s="1"/>
  <c r="OO10" i="9" s="1"/>
  <c r="OQ10" i="9" s="1"/>
  <c r="OS10" i="9" s="1"/>
  <c r="OU10" i="9" s="1"/>
  <c r="OW10" i="9" s="1"/>
  <c r="OY10" i="9" s="1"/>
  <c r="PA10" i="9" s="1"/>
  <c r="PC10" i="9" s="1"/>
  <c r="PE10" i="9" s="1"/>
  <c r="PG10" i="9" s="1"/>
  <c r="PI10" i="9" s="1"/>
  <c r="PK10" i="9" s="1"/>
  <c r="PM10" i="9" s="1"/>
  <c r="PO10" i="9" s="1"/>
  <c r="PQ10" i="9" s="1"/>
  <c r="PS10" i="9" s="1"/>
  <c r="PU10" i="9" s="1"/>
  <c r="PW10" i="9" s="1"/>
  <c r="PY10" i="9" s="1"/>
  <c r="QA10" i="9" s="1"/>
  <c r="QC10" i="9" s="1"/>
  <c r="QE10" i="9" s="1"/>
  <c r="QG10" i="9" s="1"/>
  <c r="QI10" i="9" s="1"/>
  <c r="QK10" i="9" s="1"/>
  <c r="QM10" i="9" s="1"/>
  <c r="QO10" i="9" s="1"/>
  <c r="QQ10" i="9" s="1"/>
  <c r="QS10" i="9" s="1"/>
  <c r="QU10" i="9" s="1"/>
  <c r="QW10" i="9" s="1"/>
  <c r="QY10" i="9" s="1"/>
  <c r="RA10" i="9" s="1"/>
  <c r="RC10" i="9" s="1"/>
  <c r="RE10" i="9" s="1"/>
  <c r="RG10" i="9" s="1"/>
  <c r="RI10" i="9" s="1"/>
  <c r="RK10" i="9" s="1"/>
  <c r="RM10" i="9" s="1"/>
  <c r="RO10" i="9" s="1"/>
  <c r="RQ10" i="9" s="1"/>
  <c r="RS10" i="9" s="1"/>
  <c r="RU10" i="9" s="1"/>
  <c r="RW10" i="9" s="1"/>
  <c r="RY10" i="9" s="1"/>
  <c r="SA10" i="9" s="1"/>
  <c r="SC10" i="9" s="1"/>
  <c r="SE10" i="9" s="1"/>
  <c r="SG10" i="9" s="1"/>
  <c r="SI10" i="9" s="1"/>
  <c r="SK10" i="9" s="1"/>
  <c r="SM10" i="9" s="1"/>
  <c r="SO10" i="9" s="1"/>
  <c r="SQ10" i="9" s="1"/>
  <c r="SS10" i="9" s="1"/>
  <c r="SU10" i="9" s="1"/>
  <c r="SW10" i="9" s="1"/>
  <c r="SY10" i="9" s="1"/>
  <c r="TA10" i="9" s="1"/>
  <c r="TC10" i="9" s="1"/>
  <c r="TE10" i="9" s="1"/>
  <c r="TG10" i="9" s="1"/>
  <c r="TI10" i="9" s="1"/>
  <c r="TK10" i="9" s="1"/>
  <c r="TM10" i="9" s="1"/>
  <c r="TO10" i="9" s="1"/>
  <c r="TQ10" i="9" s="1"/>
  <c r="TS10" i="9" s="1"/>
  <c r="TU10" i="9" s="1"/>
  <c r="TW10" i="9" s="1"/>
  <c r="TY10" i="9" s="1"/>
  <c r="UA10" i="9" s="1"/>
  <c r="UC10" i="9" s="1"/>
  <c r="UE10" i="9" s="1"/>
  <c r="UG10" i="9" s="1"/>
  <c r="UI10" i="9" s="1"/>
  <c r="UK10" i="9" s="1"/>
  <c r="UM10" i="9" s="1"/>
  <c r="UO10" i="9" s="1"/>
  <c r="UQ10" i="9" s="1"/>
  <c r="US10" i="9" s="1"/>
  <c r="UU10" i="9" s="1"/>
  <c r="UW10" i="9" s="1"/>
  <c r="UY10" i="9" s="1"/>
  <c r="VA10" i="9" s="1"/>
  <c r="VC10" i="9" s="1"/>
  <c r="VE10" i="9" s="1"/>
  <c r="VG10" i="9" s="1"/>
  <c r="VI10" i="9" s="1"/>
  <c r="VK10" i="9" s="1"/>
  <c r="VM10" i="9" s="1"/>
  <c r="VO10" i="9" s="1"/>
  <c r="VQ10" i="9" s="1"/>
  <c r="VS10" i="9" s="1"/>
  <c r="VU10" i="9" s="1"/>
  <c r="VW10" i="9" s="1"/>
  <c r="VY10" i="9" s="1"/>
  <c r="WA10" i="9" s="1"/>
  <c r="WC10" i="9" s="1"/>
  <c r="WE10" i="9" s="1"/>
  <c r="WG10" i="9" s="1"/>
  <c r="WI10" i="9" s="1"/>
  <c r="WK10" i="9" s="1"/>
  <c r="WM10" i="9" s="1"/>
  <c r="WO10" i="9" s="1"/>
  <c r="WQ10" i="9" s="1"/>
  <c r="WS10" i="9" s="1"/>
  <c r="WU10" i="9" s="1"/>
  <c r="WW10" i="9" s="1"/>
  <c r="WY10" i="9" s="1"/>
  <c r="XA10" i="9" s="1"/>
  <c r="XC10" i="9" s="1"/>
  <c r="XE10" i="9" s="1"/>
  <c r="XG10" i="9" s="1"/>
  <c r="XI10" i="9" s="1"/>
  <c r="XK10" i="9" s="1"/>
  <c r="XM10" i="9" s="1"/>
  <c r="XO10" i="9" s="1"/>
  <c r="XQ10" i="9" s="1"/>
  <c r="XS10" i="9" s="1"/>
  <c r="XU10" i="9" s="1"/>
  <c r="XW10" i="9" s="1"/>
  <c r="XY10" i="9" s="1"/>
  <c r="YA10" i="9" s="1"/>
  <c r="YC10" i="9" s="1"/>
  <c r="YE10" i="9" s="1"/>
  <c r="YG10" i="9" s="1"/>
  <c r="YI10" i="9" s="1"/>
  <c r="YK10" i="9" s="1"/>
  <c r="YM10" i="9" s="1"/>
  <c r="YO10" i="9" s="1"/>
  <c r="YQ10" i="9" s="1"/>
  <c r="YS10" i="9" s="1"/>
  <c r="YU10" i="9" s="1"/>
  <c r="YW10" i="9" s="1"/>
  <c r="YY10" i="9" s="1"/>
  <c r="ZA10" i="9" s="1"/>
  <c r="ZC10" i="9" s="1"/>
  <c r="ZE10" i="9" s="1"/>
  <c r="ZG10" i="9" s="1"/>
  <c r="ZI10" i="9" s="1"/>
  <c r="ZK10" i="9" s="1"/>
  <c r="ZM10" i="9" s="1"/>
  <c r="ZO10" i="9" s="1"/>
  <c r="ZQ10" i="9" s="1"/>
  <c r="ZS10" i="9" s="1"/>
  <c r="ZU10" i="9" s="1"/>
  <c r="ZW10" i="9" s="1"/>
  <c r="ZY10" i="9" s="1"/>
  <c r="AAA10" i="9" s="1"/>
  <c r="AAC10" i="9" s="1"/>
  <c r="AAE10" i="9" s="1"/>
  <c r="AAG10" i="9" s="1"/>
  <c r="AAI10" i="9" s="1"/>
  <c r="AAK10" i="9" s="1"/>
  <c r="AAM10" i="9" s="1"/>
  <c r="AAO10" i="9" s="1"/>
  <c r="AAQ10" i="9" s="1"/>
  <c r="AAS10" i="9" s="1"/>
  <c r="AAU10" i="9" s="1"/>
  <c r="AAW10" i="9" s="1"/>
  <c r="AAY10" i="9" s="1"/>
  <c r="ABA10" i="9" s="1"/>
  <c r="ABC10" i="9" s="1"/>
  <c r="ABE10" i="9" s="1"/>
  <c r="ABG10" i="9" s="1"/>
  <c r="ABI10" i="9" s="1"/>
  <c r="ABK10" i="9" s="1"/>
  <c r="ABM10" i="9" s="1"/>
  <c r="ABO10" i="9" s="1"/>
  <c r="ABQ10" i="9" s="1"/>
  <c r="ABS10" i="9" s="1"/>
  <c r="ABU10" i="9" s="1"/>
  <c r="ABW10" i="9" s="1"/>
  <c r="ABY10" i="9" s="1"/>
  <c r="ACA10" i="9" s="1"/>
  <c r="ACC10" i="9" s="1"/>
  <c r="ACE10" i="9" s="1"/>
  <c r="ACG10" i="9" s="1"/>
  <c r="ACI10" i="9" s="1"/>
  <c r="ACK10" i="9" s="1"/>
  <c r="ACM10" i="9" s="1"/>
  <c r="ACO10" i="9" s="1"/>
  <c r="ACQ10" i="9" s="1"/>
  <c r="ACS10" i="9" s="1"/>
  <c r="ACU10" i="9" s="1"/>
  <c r="ACW10" i="9" s="1"/>
  <c r="ACY10" i="9" s="1"/>
  <c r="ADA10" i="9" s="1"/>
  <c r="ADC10" i="9" s="1"/>
  <c r="ADE10" i="9" s="1"/>
  <c r="ADG10" i="9" s="1"/>
  <c r="ADI10" i="9" s="1"/>
  <c r="ADK10" i="9" s="1"/>
  <c r="ADM10" i="9" s="1"/>
  <c r="ADO10" i="9" s="1"/>
  <c r="ADQ10" i="9" s="1"/>
  <c r="ADS10" i="9" s="1"/>
  <c r="ADU10" i="9" s="1"/>
  <c r="ADW10" i="9" s="1"/>
  <c r="ADY10" i="9" s="1"/>
  <c r="AEA10" i="9" s="1"/>
  <c r="AEC10" i="9" s="1"/>
  <c r="AEE10" i="9" s="1"/>
  <c r="AEG10" i="9" s="1"/>
  <c r="AEI10" i="9" s="1"/>
  <c r="AEK10" i="9" s="1"/>
  <c r="AEM10" i="9" s="1"/>
  <c r="AEO10" i="9" s="1"/>
  <c r="AEQ10" i="9" s="1"/>
  <c r="AES10" i="9" s="1"/>
  <c r="AEU10" i="9" s="1"/>
  <c r="AEW10" i="9" s="1"/>
  <c r="AEY10" i="9" s="1"/>
  <c r="AFA10" i="9" s="1"/>
  <c r="AFC10" i="9" s="1"/>
  <c r="AFE10" i="9" s="1"/>
  <c r="AFG10" i="9" s="1"/>
  <c r="AFI10" i="9" s="1"/>
  <c r="AFK10" i="9" s="1"/>
  <c r="AFM10" i="9" s="1"/>
  <c r="AFO10" i="9" s="1"/>
  <c r="AFQ10" i="9" s="1"/>
  <c r="AFS10" i="9" s="1"/>
  <c r="AFU10" i="9" s="1"/>
  <c r="AFW10" i="9" s="1"/>
  <c r="AFY10" i="9" s="1"/>
  <c r="AGA10" i="9" s="1"/>
  <c r="AGC10" i="9" s="1"/>
  <c r="AGE10" i="9" s="1"/>
  <c r="AGG10" i="9" s="1"/>
  <c r="AGI10" i="9" s="1"/>
  <c r="AGK10" i="9" s="1"/>
  <c r="AGM10" i="9" s="1"/>
  <c r="AGO10" i="9" s="1"/>
  <c r="AGQ10" i="9" s="1"/>
  <c r="AGS10" i="9" s="1"/>
  <c r="AGU10" i="9" s="1"/>
  <c r="AGW10" i="9" s="1"/>
  <c r="AGY10" i="9" s="1"/>
  <c r="AHA10" i="9" s="1"/>
  <c r="AHC10" i="9" s="1"/>
  <c r="AHE10" i="9" s="1"/>
  <c r="AHG10" i="9" s="1"/>
  <c r="AHI10" i="9" s="1"/>
  <c r="AHK10" i="9" s="1"/>
  <c r="AHM10" i="9" s="1"/>
  <c r="AHO10" i="9" s="1"/>
  <c r="AHQ10" i="9" s="1"/>
  <c r="AHS10" i="9" s="1"/>
  <c r="AHU10" i="9" s="1"/>
  <c r="AHW10" i="9" s="1"/>
  <c r="AHY10" i="9" s="1"/>
  <c r="AIA10" i="9" s="1"/>
  <c r="AIC10" i="9" s="1"/>
  <c r="AIE10" i="9" s="1"/>
  <c r="AIG10" i="9" s="1"/>
  <c r="AII10" i="9" s="1"/>
  <c r="AIK10" i="9" s="1"/>
  <c r="AIM10" i="9" s="1"/>
  <c r="AIO10" i="9" s="1"/>
  <c r="AIQ10" i="9" s="1"/>
  <c r="AIS10" i="9" s="1"/>
  <c r="AIU10" i="9" s="1"/>
  <c r="AIW10" i="9" s="1"/>
  <c r="AIY10" i="9" s="1"/>
  <c r="AJA10" i="9" s="1"/>
  <c r="AJC10" i="9" s="1"/>
  <c r="AJE10" i="9" s="1"/>
  <c r="AJG10" i="9" s="1"/>
  <c r="AJI10" i="9" s="1"/>
  <c r="AJK10" i="9" s="1"/>
  <c r="AJM10" i="9" s="1"/>
  <c r="AJO10" i="9" s="1"/>
  <c r="AJQ10" i="9" s="1"/>
  <c r="AJS10" i="9" s="1"/>
  <c r="AJU10" i="9" s="1"/>
  <c r="AJW10" i="9" s="1"/>
  <c r="AJY10" i="9" s="1"/>
  <c r="AKA10" i="9" s="1"/>
  <c r="AKC10" i="9" s="1"/>
  <c r="AKE10" i="9" s="1"/>
  <c r="AKG10" i="9" s="1"/>
  <c r="AKI10" i="9" s="1"/>
  <c r="AKK10" i="9" s="1"/>
  <c r="AKM10" i="9" s="1"/>
  <c r="AKO10" i="9" s="1"/>
  <c r="AKQ10" i="9" s="1"/>
  <c r="AKS10" i="9" s="1"/>
  <c r="AKU10" i="9" s="1"/>
  <c r="AKW10" i="9" s="1"/>
  <c r="AKY10" i="9" s="1"/>
  <c r="ALA10" i="9" s="1"/>
  <c r="ALC10" i="9" s="1"/>
  <c r="ALE10" i="9" s="1"/>
  <c r="ALG10" i="9" s="1"/>
  <c r="ALI10" i="9" s="1"/>
  <c r="ALK10" i="9" s="1"/>
  <c r="ALM10" i="9" s="1"/>
  <c r="ALO10" i="9" s="1"/>
  <c r="ALQ10" i="9" s="1"/>
  <c r="ALS10" i="9" s="1"/>
  <c r="ALU10" i="9" s="1"/>
  <c r="ALW10" i="9" s="1"/>
  <c r="ALY10" i="9" s="1"/>
  <c r="AMA10" i="9" s="1"/>
  <c r="AMC10" i="9" s="1"/>
  <c r="AME10" i="9" s="1"/>
  <c r="AMG10" i="9" s="1"/>
  <c r="AMI10" i="9" s="1"/>
  <c r="AMK10" i="9" s="1"/>
  <c r="AMM10" i="9" s="1"/>
  <c r="AMO10" i="9" s="1"/>
  <c r="AMQ10" i="9" s="1"/>
  <c r="AMS10" i="9" s="1"/>
  <c r="AMU10" i="9" s="1"/>
  <c r="AMW10" i="9" s="1"/>
  <c r="AMY10" i="9" s="1"/>
  <c r="ANA10" i="9" s="1"/>
  <c r="ANC10" i="9" s="1"/>
  <c r="ANE10" i="9" s="1"/>
  <c r="ANG10" i="9" s="1"/>
  <c r="ANI10" i="9" s="1"/>
  <c r="ANK10" i="9" s="1"/>
  <c r="ANM10" i="9" s="1"/>
  <c r="ANO10" i="9" s="1"/>
  <c r="ANQ10" i="9" s="1"/>
  <c r="ANS10" i="9" s="1"/>
  <c r="ANU10" i="9" s="1"/>
  <c r="ANW10" i="9" s="1"/>
  <c r="ANY10" i="9" s="1"/>
  <c r="AOA10" i="9" s="1"/>
  <c r="AOC10" i="9" s="1"/>
  <c r="AOE10" i="9" s="1"/>
  <c r="AOG10" i="9" s="1"/>
  <c r="AOI10" i="9" s="1"/>
  <c r="AOK10" i="9" s="1"/>
  <c r="AOM10" i="9" s="1"/>
  <c r="AOO10" i="9" s="1"/>
  <c r="AOQ10" i="9" s="1"/>
  <c r="AOS10" i="9" s="1"/>
  <c r="AOU10" i="9" s="1"/>
  <c r="AOW10" i="9" s="1"/>
  <c r="AOY10" i="9" s="1"/>
  <c r="APA10" i="9" s="1"/>
  <c r="APC10" i="9" s="1"/>
  <c r="APE10" i="9" s="1"/>
  <c r="APG10" i="9" s="1"/>
  <c r="API10" i="9" s="1"/>
  <c r="APK10" i="9" s="1"/>
  <c r="APM10" i="9" s="1"/>
  <c r="APO10" i="9" s="1"/>
  <c r="APQ10" i="9" s="1"/>
  <c r="APS10" i="9" s="1"/>
  <c r="APU10" i="9" s="1"/>
  <c r="APW10" i="9" s="1"/>
  <c r="APY10" i="9" s="1"/>
  <c r="AQA10" i="9" s="1"/>
  <c r="AQC10" i="9" s="1"/>
  <c r="AQE10" i="9" s="1"/>
  <c r="AQG10" i="9" s="1"/>
  <c r="AQI10" i="9" s="1"/>
  <c r="AQK10" i="9" s="1"/>
  <c r="AQM10" i="9" s="1"/>
  <c r="AQO10" i="9" s="1"/>
  <c r="AQQ10" i="9" s="1"/>
  <c r="AQS10" i="9" s="1"/>
  <c r="AQU10" i="9" s="1"/>
  <c r="AQW10" i="9" s="1"/>
  <c r="AQY10" i="9" s="1"/>
  <c r="ARA10" i="9" s="1"/>
  <c r="ARC10" i="9" s="1"/>
  <c r="ARE10" i="9" s="1"/>
  <c r="ARG10" i="9" s="1"/>
  <c r="ARI10" i="9" s="1"/>
  <c r="ARK10" i="9" s="1"/>
  <c r="ARM10" i="9" s="1"/>
  <c r="ARO10" i="9" s="1"/>
  <c r="ARQ10" i="9" s="1"/>
  <c r="ARS10" i="9" s="1"/>
  <c r="ARU10" i="9" s="1"/>
  <c r="ARW10" i="9" s="1"/>
  <c r="ARY10" i="9" s="1"/>
  <c r="ASA10" i="9" s="1"/>
  <c r="ASC10" i="9" s="1"/>
  <c r="ASE10" i="9" s="1"/>
  <c r="ASG10" i="9" s="1"/>
  <c r="ASI10" i="9" s="1"/>
  <c r="ASK10" i="9" s="1"/>
  <c r="ASM10" i="9" s="1"/>
  <c r="ASO10" i="9" s="1"/>
  <c r="ASQ10" i="9" s="1"/>
  <c r="ASS10" i="9" s="1"/>
  <c r="ASU10" i="9" s="1"/>
  <c r="ASW10" i="9" s="1"/>
  <c r="ASY10" i="9" s="1"/>
  <c r="ATA10" i="9" s="1"/>
  <c r="ATC10" i="9" s="1"/>
  <c r="ATE10" i="9" s="1"/>
  <c r="ATG10" i="9" s="1"/>
  <c r="ATI10" i="9" s="1"/>
  <c r="ATK10" i="9" s="1"/>
  <c r="ATM10" i="9" s="1"/>
  <c r="ATO10" i="9" s="1"/>
  <c r="ATQ10" i="9" s="1"/>
  <c r="ATS10" i="9" s="1"/>
  <c r="ATU10" i="9" s="1"/>
  <c r="ATW10" i="9" s="1"/>
  <c r="ATY10" i="9" s="1"/>
  <c r="AUA10" i="9" s="1"/>
  <c r="AUC10" i="9" s="1"/>
  <c r="AUE10" i="9" s="1"/>
  <c r="AUG10" i="9" s="1"/>
  <c r="AUI10" i="9" s="1"/>
  <c r="AUK10" i="9" s="1"/>
  <c r="AUM10" i="9" s="1"/>
  <c r="AUO10" i="9" s="1"/>
  <c r="AUQ10" i="9" s="1"/>
  <c r="AUS10" i="9" s="1"/>
  <c r="AUU10" i="9" s="1"/>
  <c r="AUW10" i="9" s="1"/>
  <c r="AUY10" i="9" s="1"/>
  <c r="AVA10" i="9" s="1"/>
  <c r="AVC10" i="9" s="1"/>
  <c r="AVE10" i="9" s="1"/>
  <c r="AVG10" i="9" s="1"/>
  <c r="AVI10" i="9" s="1"/>
  <c r="AVK10" i="9" s="1"/>
  <c r="AVM10" i="9" s="1"/>
  <c r="AVO10" i="9" s="1"/>
  <c r="AVQ10" i="9" s="1"/>
  <c r="AVS10" i="9" s="1"/>
  <c r="AVU10" i="9" s="1"/>
  <c r="AVW10" i="9" s="1"/>
  <c r="AVY10" i="9" s="1"/>
  <c r="AWA10" i="9" s="1"/>
  <c r="AWC10" i="9" s="1"/>
  <c r="AWE10" i="9" s="1"/>
  <c r="AWG10" i="9" s="1"/>
  <c r="AWI10" i="9" s="1"/>
  <c r="AWK10" i="9" s="1"/>
  <c r="AWM10" i="9" s="1"/>
  <c r="AWO10" i="9" s="1"/>
  <c r="AWQ10" i="9" s="1"/>
  <c r="AWS10" i="9" s="1"/>
  <c r="AWU10" i="9" s="1"/>
  <c r="AWW10" i="9" s="1"/>
  <c r="AWY10" i="9" s="1"/>
  <c r="AXA10" i="9" s="1"/>
  <c r="AXC10" i="9" s="1"/>
  <c r="AXE10" i="9" s="1"/>
  <c r="AXG10" i="9" s="1"/>
  <c r="AXI10" i="9" s="1"/>
  <c r="AXK10" i="9" s="1"/>
  <c r="AXM10" i="9" s="1"/>
  <c r="AXO10" i="9" s="1"/>
  <c r="AXQ10" i="9" s="1"/>
  <c r="AXS10" i="9" s="1"/>
  <c r="AXU10" i="9" s="1"/>
  <c r="AXW10" i="9" s="1"/>
  <c r="AXY10" i="9" s="1"/>
  <c r="AYA10" i="9" s="1"/>
  <c r="AYC10" i="9" s="1"/>
  <c r="AYE10" i="9" s="1"/>
  <c r="AYG10" i="9" s="1"/>
  <c r="AYI10" i="9" s="1"/>
  <c r="AYK10" i="9" s="1"/>
  <c r="AYM10" i="9" s="1"/>
  <c r="AYO10" i="9" s="1"/>
  <c r="AYQ10" i="9" s="1"/>
  <c r="AYS10" i="9" s="1"/>
  <c r="AYU10" i="9" s="1"/>
  <c r="AYW10" i="9" s="1"/>
  <c r="AYY10" i="9" s="1"/>
  <c r="AZA10" i="9" s="1"/>
  <c r="AZC10" i="9" s="1"/>
  <c r="AZE10" i="9" s="1"/>
  <c r="AZG10" i="9" s="1"/>
  <c r="AZI10" i="9" s="1"/>
  <c r="AZK10" i="9" s="1"/>
  <c r="AZM10" i="9" s="1"/>
  <c r="AZO10" i="9" s="1"/>
  <c r="AZQ10" i="9" s="1"/>
  <c r="AZS10" i="9" s="1"/>
  <c r="AZU10" i="9" s="1"/>
  <c r="AZW10" i="9" s="1"/>
  <c r="AZY10" i="9" s="1"/>
  <c r="BAA10" i="9" s="1"/>
  <c r="BAC10" i="9" s="1"/>
  <c r="BAE10" i="9" s="1"/>
  <c r="BAG10" i="9" s="1"/>
  <c r="BAI10" i="9" s="1"/>
  <c r="BAK10" i="9" s="1"/>
  <c r="BAM10" i="9" s="1"/>
  <c r="BAO10" i="9" s="1"/>
  <c r="BAQ10" i="9" s="1"/>
  <c r="BAS10" i="9" s="1"/>
  <c r="BAU10" i="9" s="1"/>
  <c r="BAW10" i="9" s="1"/>
  <c r="BAY10" i="9" s="1"/>
  <c r="BBA10" i="9" s="1"/>
  <c r="BBC10" i="9" s="1"/>
  <c r="BBE10" i="9" s="1"/>
  <c r="BBG10" i="9" s="1"/>
  <c r="BBI10" i="9" s="1"/>
  <c r="BBK10" i="9" s="1"/>
  <c r="BBM10" i="9" s="1"/>
  <c r="BBO10" i="9" s="1"/>
  <c r="BBQ10" i="9" s="1"/>
  <c r="BBS10" i="9" s="1"/>
  <c r="BBU10" i="9" s="1"/>
  <c r="BBW10" i="9" s="1"/>
  <c r="BBY10" i="9" s="1"/>
  <c r="BCA10" i="9" s="1"/>
  <c r="BCC10" i="9" s="1"/>
  <c r="BCE10" i="9" s="1"/>
  <c r="BCG10" i="9" s="1"/>
  <c r="BCI10" i="9" s="1"/>
  <c r="BCK10" i="9" s="1"/>
  <c r="BCM10" i="9" s="1"/>
  <c r="BCO10" i="9" s="1"/>
  <c r="BCQ10" i="9" s="1"/>
  <c r="BCS10" i="9" s="1"/>
  <c r="BCU10" i="9" s="1"/>
  <c r="BCW10" i="9" s="1"/>
  <c r="BCY10" i="9" s="1"/>
  <c r="BDA10" i="9" s="1"/>
  <c r="BDC10" i="9" s="1"/>
  <c r="BDE10" i="9" s="1"/>
  <c r="BDG10" i="9" s="1"/>
  <c r="BDI10" i="9" s="1"/>
  <c r="BDK10" i="9" s="1"/>
  <c r="BDM10" i="9" s="1"/>
  <c r="BDO10" i="9" s="1"/>
  <c r="BDQ10" i="9" s="1"/>
  <c r="BDS10" i="9" s="1"/>
  <c r="BDU10" i="9" s="1"/>
  <c r="BDW10" i="9" s="1"/>
  <c r="BDY10" i="9" s="1"/>
  <c r="BEA10" i="9" s="1"/>
  <c r="BEC10" i="9" s="1"/>
  <c r="BEE10" i="9" s="1"/>
  <c r="BEG10" i="9" s="1"/>
  <c r="BEI10" i="9" s="1"/>
  <c r="BEK10" i="9" s="1"/>
  <c r="BEM10" i="9" s="1"/>
  <c r="BEO10" i="9" s="1"/>
  <c r="BEQ10" i="9" s="1"/>
  <c r="BES10" i="9" s="1"/>
  <c r="BEU10" i="9" s="1"/>
  <c r="BEW10" i="9" s="1"/>
  <c r="BEY10" i="9" s="1"/>
  <c r="BFA10" i="9" s="1"/>
  <c r="BFC10" i="9" s="1"/>
  <c r="BFE10" i="9" s="1"/>
  <c r="BFG10" i="9" s="1"/>
  <c r="BFI10" i="9" s="1"/>
  <c r="BFK10" i="9" s="1"/>
  <c r="BFM10" i="9" s="1"/>
  <c r="BFO10" i="9" s="1"/>
  <c r="BFQ10" i="9" s="1"/>
  <c r="BFS10" i="9" s="1"/>
  <c r="BFU10" i="9" s="1"/>
  <c r="BFW10" i="9" s="1"/>
  <c r="BFY10" i="9" s="1"/>
  <c r="BGA10" i="9" s="1"/>
  <c r="BGC10" i="9" s="1"/>
  <c r="BGE10" i="9" s="1"/>
  <c r="BGG10" i="9" s="1"/>
  <c r="BGI10" i="9" s="1"/>
  <c r="BGK10" i="9" s="1"/>
  <c r="BGM10" i="9" s="1"/>
  <c r="BGO10" i="9" s="1"/>
  <c r="BGQ10" i="9" s="1"/>
  <c r="BGS10" i="9" s="1"/>
  <c r="BGU10" i="9" s="1"/>
  <c r="BGW10" i="9" s="1"/>
  <c r="BGY10" i="9" s="1"/>
  <c r="BHA10" i="9" s="1"/>
  <c r="BHC10" i="9" s="1"/>
  <c r="BHE10" i="9" s="1"/>
  <c r="BHG10" i="9" s="1"/>
  <c r="BHI10" i="9" s="1"/>
  <c r="BHK10" i="9" s="1"/>
  <c r="BHM10" i="9" s="1"/>
  <c r="BHO10" i="9" s="1"/>
  <c r="BHQ10" i="9" s="1"/>
  <c r="BHS10" i="9" s="1"/>
  <c r="BHU10" i="9" s="1"/>
  <c r="BHW10" i="9" s="1"/>
  <c r="BHY10" i="9" s="1"/>
  <c r="BIA10" i="9" s="1"/>
  <c r="BIC10" i="9" s="1"/>
  <c r="BIE10" i="9" s="1"/>
  <c r="BIG10" i="9" s="1"/>
  <c r="BII10" i="9" s="1"/>
  <c r="BIK10" i="9" s="1"/>
  <c r="BIM10" i="9" s="1"/>
  <c r="BIO10" i="9" s="1"/>
  <c r="BIQ10" i="9" s="1"/>
  <c r="BIS10" i="9" s="1"/>
  <c r="BIU10" i="9" s="1"/>
  <c r="BIW10" i="9" s="1"/>
  <c r="BIY10" i="9" s="1"/>
  <c r="BJA10" i="9" s="1"/>
  <c r="BJC10" i="9" s="1"/>
  <c r="BJE10" i="9" s="1"/>
  <c r="BJG10" i="9" s="1"/>
  <c r="BJI10" i="9" s="1"/>
  <c r="BJK10" i="9" s="1"/>
  <c r="BJM10" i="9" s="1"/>
  <c r="BJO10" i="9" s="1"/>
  <c r="BJQ10" i="9" s="1"/>
  <c r="BJS10" i="9" s="1"/>
  <c r="BJU10" i="9" s="1"/>
  <c r="BJW10" i="9" s="1"/>
  <c r="BJY10" i="9" s="1"/>
  <c r="BKA10" i="9" s="1"/>
  <c r="BKC10" i="9" s="1"/>
  <c r="BKE10" i="9" s="1"/>
  <c r="BKG10" i="9" s="1"/>
  <c r="BKI10" i="9" s="1"/>
  <c r="BKK10" i="9" s="1"/>
  <c r="BKM10" i="9" s="1"/>
  <c r="BKO10" i="9" s="1"/>
  <c r="BKQ10" i="9" s="1"/>
  <c r="BKS10" i="9" s="1"/>
  <c r="BKU10" i="9" s="1"/>
  <c r="BKW10" i="9" s="1"/>
  <c r="BKY10" i="9" s="1"/>
  <c r="BLA10" i="9" s="1"/>
  <c r="BLC10" i="9" s="1"/>
  <c r="BLE10" i="9" s="1"/>
  <c r="BLG10" i="9" s="1"/>
  <c r="BLI10" i="9" s="1"/>
  <c r="BLK10" i="9" s="1"/>
  <c r="BLM10" i="9" s="1"/>
  <c r="BLO10" i="9" s="1"/>
  <c r="BLQ10" i="9" s="1"/>
  <c r="BLS10" i="9" s="1"/>
  <c r="BLU10" i="9" s="1"/>
  <c r="BLW10" i="9" s="1"/>
  <c r="BLY10" i="9" s="1"/>
  <c r="BMA10" i="9" s="1"/>
  <c r="BMC10" i="9" s="1"/>
  <c r="BME10" i="9" s="1"/>
  <c r="BMG10" i="9" s="1"/>
  <c r="BMI10" i="9" s="1"/>
  <c r="BMK10" i="9" s="1"/>
  <c r="BMM10" i="9" s="1"/>
  <c r="BMO10" i="9" s="1"/>
  <c r="BMQ10" i="9" s="1"/>
  <c r="BMS10" i="9" s="1"/>
  <c r="BMU10" i="9" s="1"/>
  <c r="BMW10" i="9" s="1"/>
  <c r="BMY10" i="9" s="1"/>
  <c r="BNA10" i="9" s="1"/>
  <c r="BNC10" i="9" s="1"/>
  <c r="BNE10" i="9" s="1"/>
  <c r="BNG10" i="9" s="1"/>
  <c r="BNI10" i="9" s="1"/>
  <c r="BNK10" i="9" s="1"/>
  <c r="BNM10" i="9" s="1"/>
  <c r="BNO10" i="9" s="1"/>
  <c r="BNQ10" i="9" s="1"/>
  <c r="BNS10" i="9" s="1"/>
  <c r="BNU10" i="9" s="1"/>
  <c r="BNW10" i="9" s="1"/>
  <c r="BNY10" i="9" s="1"/>
  <c r="BOA10" i="9" s="1"/>
  <c r="BOC10" i="9" s="1"/>
  <c r="BOE10" i="9" s="1"/>
  <c r="BOG10" i="9" s="1"/>
  <c r="BOI10" i="9" s="1"/>
  <c r="BOK10" i="9" s="1"/>
  <c r="BOM10" i="9" s="1"/>
  <c r="BOO10" i="9" s="1"/>
  <c r="BOQ10" i="9" s="1"/>
  <c r="BOS10" i="9" s="1"/>
  <c r="BOU10" i="9" s="1"/>
  <c r="BOW10" i="9" s="1"/>
  <c r="BOY10" i="9" s="1"/>
  <c r="BPA10" i="9" s="1"/>
  <c r="BPC10" i="9" s="1"/>
  <c r="BPE10" i="9" s="1"/>
  <c r="BPG10" i="9" s="1"/>
  <c r="BPI10" i="9" s="1"/>
  <c r="BPK10" i="9" s="1"/>
  <c r="BPM10" i="9" s="1"/>
  <c r="BPO10" i="9" s="1"/>
  <c r="BPQ10" i="9" s="1"/>
  <c r="BPS10" i="9" s="1"/>
  <c r="BPU10" i="9" s="1"/>
  <c r="BPW10" i="9" s="1"/>
  <c r="BPY10" i="9" s="1"/>
  <c r="BQA10" i="9" s="1"/>
  <c r="BQC10" i="9" s="1"/>
  <c r="BQE10" i="9" s="1"/>
  <c r="BQG10" i="9" s="1"/>
  <c r="BQI10" i="9" s="1"/>
  <c r="BQK10" i="9" s="1"/>
  <c r="BQM10" i="9" s="1"/>
  <c r="BQO10" i="9" s="1"/>
  <c r="BQQ10" i="9" s="1"/>
  <c r="BQS10" i="9" s="1"/>
  <c r="BQU10" i="9" s="1"/>
  <c r="BQW10" i="9" s="1"/>
  <c r="BQY10" i="9" s="1"/>
  <c r="BRA10" i="9" s="1"/>
  <c r="BRC10" i="9" s="1"/>
  <c r="BRE10" i="9" s="1"/>
  <c r="BRG10" i="9" s="1"/>
  <c r="BRI10" i="9" s="1"/>
  <c r="BRK10" i="9" s="1"/>
  <c r="BRM10" i="9" s="1"/>
  <c r="BRO10" i="9" s="1"/>
  <c r="BRQ10" i="9" s="1"/>
  <c r="BRS10" i="9" s="1"/>
  <c r="BRU10" i="9" s="1"/>
  <c r="BRW10" i="9" s="1"/>
  <c r="BRY10" i="9" s="1"/>
  <c r="BSA10" i="9" s="1"/>
  <c r="BSC10" i="9" s="1"/>
  <c r="BSE10" i="9" s="1"/>
  <c r="BSG10" i="9" s="1"/>
  <c r="BSI10" i="9" s="1"/>
  <c r="BSK10" i="9" s="1"/>
  <c r="BSM10" i="9" s="1"/>
  <c r="BSO10" i="9" s="1"/>
  <c r="BSQ10" i="9" s="1"/>
  <c r="BSS10" i="9" s="1"/>
  <c r="BSU10" i="9" s="1"/>
  <c r="BSW10" i="9" s="1"/>
  <c r="BSY10" i="9" s="1"/>
  <c r="BTA10" i="9" s="1"/>
  <c r="BTC10" i="9" s="1"/>
  <c r="BTE10" i="9" s="1"/>
  <c r="BTG10" i="9" s="1"/>
  <c r="BTI10" i="9" s="1"/>
  <c r="BTK10" i="9" s="1"/>
  <c r="BTM10" i="9" s="1"/>
  <c r="BTO10" i="9" s="1"/>
  <c r="BTQ10" i="9" s="1"/>
  <c r="BTS10" i="9" s="1"/>
  <c r="BTU10" i="9" s="1"/>
  <c r="BTW10" i="9" s="1"/>
  <c r="BTY10" i="9" s="1"/>
  <c r="BUA10" i="9" s="1"/>
  <c r="BUC10" i="9" s="1"/>
  <c r="BUE10" i="9" s="1"/>
  <c r="BUG10" i="9" s="1"/>
  <c r="BUI10" i="9" s="1"/>
  <c r="BUK10" i="9" s="1"/>
  <c r="BUM10" i="9" s="1"/>
  <c r="BUO10" i="9" s="1"/>
  <c r="BUQ10" i="9" s="1"/>
  <c r="BUS10" i="9" s="1"/>
  <c r="BUU10" i="9" s="1"/>
  <c r="BUW10" i="9" s="1"/>
  <c r="BUY10" i="9" s="1"/>
  <c r="BVA10" i="9" s="1"/>
  <c r="BVC10" i="9" s="1"/>
  <c r="BVE10" i="9" s="1"/>
  <c r="BVG10" i="9" s="1"/>
  <c r="BVI10" i="9" s="1"/>
  <c r="BVK10" i="9" s="1"/>
  <c r="BVM10" i="9" s="1"/>
  <c r="BVO10" i="9" s="1"/>
  <c r="BVQ10" i="9" s="1"/>
  <c r="BVS10" i="9" s="1"/>
  <c r="BVU10" i="9" s="1"/>
  <c r="BVW10" i="9" s="1"/>
  <c r="BVY10" i="9" s="1"/>
  <c r="BWA10" i="9" s="1"/>
  <c r="BWC10" i="9" s="1"/>
  <c r="BWE10" i="9" s="1"/>
  <c r="BWG10" i="9" s="1"/>
  <c r="BWI10" i="9" s="1"/>
  <c r="BWK10" i="9" s="1"/>
  <c r="BWM10" i="9" s="1"/>
  <c r="BWO10" i="9" s="1"/>
  <c r="BWQ10" i="9" s="1"/>
  <c r="BWS10" i="9" s="1"/>
  <c r="BWU10" i="9" s="1"/>
  <c r="BWW10" i="9" s="1"/>
  <c r="BWY10" i="9" s="1"/>
  <c r="BXA10" i="9" s="1"/>
  <c r="BXC10" i="9" s="1"/>
  <c r="BXE10" i="9" s="1"/>
  <c r="BXG10" i="9" s="1"/>
  <c r="BXI10" i="9" s="1"/>
  <c r="BXK10" i="9" s="1"/>
  <c r="BXM10" i="9" s="1"/>
  <c r="BXO10" i="9" s="1"/>
  <c r="BXQ10" i="9" s="1"/>
  <c r="BXS10" i="9" s="1"/>
  <c r="BXU10" i="9" s="1"/>
  <c r="BXW10" i="9" s="1"/>
  <c r="BXY10" i="9" s="1"/>
  <c r="BYA10" i="9" s="1"/>
  <c r="BYC10" i="9" s="1"/>
  <c r="BYE10" i="9" s="1"/>
  <c r="BYG10" i="9" s="1"/>
  <c r="BYI10" i="9" s="1"/>
  <c r="BYK10" i="9" s="1"/>
  <c r="BYM10" i="9" s="1"/>
  <c r="BYO10" i="9" s="1"/>
  <c r="BYQ10" i="9" s="1"/>
  <c r="BYS10" i="9" s="1"/>
  <c r="BYU10" i="9" s="1"/>
  <c r="BYW10" i="9" s="1"/>
  <c r="BYY10" i="9" s="1"/>
  <c r="BZA10" i="9" s="1"/>
  <c r="BZC10" i="9" s="1"/>
  <c r="BZE10" i="9" s="1"/>
  <c r="BZG10" i="9" s="1"/>
  <c r="BZI10" i="9" s="1"/>
  <c r="BZK10" i="9" s="1"/>
  <c r="BZM10" i="9" s="1"/>
  <c r="BZO10" i="9" s="1"/>
  <c r="BZQ10" i="9" s="1"/>
  <c r="BZS10" i="9" s="1"/>
  <c r="BZU10" i="9" s="1"/>
  <c r="BZW10" i="9" s="1"/>
  <c r="BZY10" i="9" s="1"/>
  <c r="CAA10" i="9" s="1"/>
  <c r="CAC10" i="9" s="1"/>
  <c r="CAE10" i="9" s="1"/>
  <c r="CAG10" i="9" s="1"/>
  <c r="CAI10" i="9" s="1"/>
  <c r="CAK10" i="9" s="1"/>
  <c r="CAM10" i="9" s="1"/>
  <c r="CAO10" i="9" s="1"/>
  <c r="CAQ10" i="9" s="1"/>
  <c r="CAS10" i="9" s="1"/>
  <c r="CAU10" i="9" s="1"/>
  <c r="CAW10" i="9" s="1"/>
  <c r="CAY10" i="9" s="1"/>
  <c r="CBA10" i="9" s="1"/>
  <c r="CBC10" i="9" s="1"/>
  <c r="CBE10" i="9" s="1"/>
  <c r="CBG10" i="9" s="1"/>
  <c r="CBI10" i="9" s="1"/>
  <c r="CBK10" i="9" s="1"/>
  <c r="CBM10" i="9" s="1"/>
  <c r="CBO10" i="9" s="1"/>
  <c r="CBQ10" i="9" s="1"/>
  <c r="CBS10" i="9" s="1"/>
  <c r="CBU10" i="9" s="1"/>
  <c r="CBW10" i="9" s="1"/>
  <c r="CBY10" i="9" s="1"/>
  <c r="CCA10" i="9" s="1"/>
  <c r="CCC10" i="9" s="1"/>
  <c r="CCE10" i="9" s="1"/>
  <c r="CCG10" i="9" s="1"/>
  <c r="CCI10" i="9" s="1"/>
  <c r="CCK10" i="9" s="1"/>
  <c r="CCM10" i="9" s="1"/>
  <c r="CCO10" i="9" s="1"/>
  <c r="CCQ10" i="9" s="1"/>
  <c r="CCS10" i="9" s="1"/>
  <c r="CCU10" i="9" s="1"/>
  <c r="CCW10" i="9" s="1"/>
  <c r="CCY10" i="9" s="1"/>
  <c r="CDA10" i="9" s="1"/>
  <c r="CDC10" i="9" s="1"/>
  <c r="CDE10" i="9" s="1"/>
  <c r="CDG10" i="9" s="1"/>
  <c r="CDI10" i="9" s="1"/>
  <c r="CDK10" i="9" s="1"/>
  <c r="CDM10" i="9" s="1"/>
  <c r="CDO10" i="9" s="1"/>
  <c r="CDQ10" i="9" s="1"/>
  <c r="CDS10" i="9" s="1"/>
  <c r="CDU10" i="9" s="1"/>
  <c r="CDW10" i="9" s="1"/>
  <c r="CDY10" i="9" s="1"/>
  <c r="CEA10" i="9" s="1"/>
  <c r="CEC10" i="9" s="1"/>
  <c r="CEE10" i="9" s="1"/>
  <c r="CEG10" i="9" s="1"/>
  <c r="CEI10" i="9" s="1"/>
  <c r="CEK10" i="9" s="1"/>
  <c r="CEM10" i="9" s="1"/>
  <c r="CEO10" i="9" s="1"/>
  <c r="CEQ10" i="9" s="1"/>
  <c r="CES10" i="9" s="1"/>
  <c r="CEU10" i="9" s="1"/>
  <c r="CEW10" i="9" s="1"/>
  <c r="CEY10" i="9" s="1"/>
  <c r="CFA10" i="9" s="1"/>
  <c r="CFC10" i="9" s="1"/>
  <c r="CFE10" i="9" s="1"/>
  <c r="CFG10" i="9" s="1"/>
  <c r="CFI10" i="9" s="1"/>
  <c r="CFK10" i="9" s="1"/>
  <c r="CFM10" i="9" s="1"/>
  <c r="CFO10" i="9" s="1"/>
  <c r="CFQ10" i="9" s="1"/>
  <c r="CFS10" i="9" s="1"/>
  <c r="CFU10" i="9" s="1"/>
  <c r="CFW10" i="9" s="1"/>
  <c r="CFY10" i="9" s="1"/>
  <c r="CGA10" i="9" s="1"/>
  <c r="CGC10" i="9" s="1"/>
  <c r="CGE10" i="9" s="1"/>
  <c r="CGG10" i="9" s="1"/>
  <c r="CGI10" i="9" s="1"/>
  <c r="CGK10" i="9" s="1"/>
  <c r="CGM10" i="9" s="1"/>
  <c r="CGO10" i="9" s="1"/>
  <c r="CGQ10" i="9" s="1"/>
  <c r="CGS10" i="9" s="1"/>
  <c r="CGU10" i="9" s="1"/>
  <c r="CGW10" i="9" s="1"/>
  <c r="CGY10" i="9" s="1"/>
  <c r="CHA10" i="9" s="1"/>
  <c r="CHC10" i="9" s="1"/>
  <c r="CHE10" i="9" s="1"/>
  <c r="CHG10" i="9" s="1"/>
  <c r="CHI10" i="9" s="1"/>
  <c r="CHK10" i="9" s="1"/>
  <c r="CHM10" i="9" s="1"/>
  <c r="CHO10" i="9" s="1"/>
  <c r="CHQ10" i="9" s="1"/>
  <c r="CHS10" i="9" s="1"/>
  <c r="CHU10" i="9" s="1"/>
  <c r="CHW10" i="9" s="1"/>
  <c r="CHY10" i="9" s="1"/>
  <c r="CIA10" i="9" s="1"/>
  <c r="CIC10" i="9" s="1"/>
  <c r="CIE10" i="9" s="1"/>
  <c r="CIG10" i="9" s="1"/>
  <c r="CII10" i="9" s="1"/>
  <c r="CIK10" i="9" s="1"/>
  <c r="CIM10" i="9" s="1"/>
  <c r="CIO10" i="9" s="1"/>
  <c r="CIQ10" i="9" s="1"/>
  <c r="CIS10" i="9" s="1"/>
  <c r="CIU10" i="9" s="1"/>
  <c r="CIW10" i="9" s="1"/>
  <c r="CIY10" i="9" s="1"/>
  <c r="CJA10" i="9" s="1"/>
  <c r="CJC10" i="9" s="1"/>
  <c r="CJE10" i="9" s="1"/>
  <c r="CJG10" i="9" s="1"/>
  <c r="CJI10" i="9" s="1"/>
  <c r="CJK10" i="9" s="1"/>
  <c r="CJM10" i="9" s="1"/>
  <c r="CJO10" i="9" s="1"/>
  <c r="CJQ10" i="9" s="1"/>
  <c r="CJS10" i="9" s="1"/>
  <c r="CJU10" i="9" s="1"/>
  <c r="CJW10" i="9" s="1"/>
  <c r="CJY10" i="9" s="1"/>
  <c r="CKA10" i="9" s="1"/>
  <c r="CKC10" i="9" s="1"/>
  <c r="CKE10" i="9" s="1"/>
  <c r="CKG10" i="9" s="1"/>
  <c r="CKI10" i="9" s="1"/>
  <c r="CKK10" i="9" s="1"/>
  <c r="CKM10" i="9" s="1"/>
  <c r="CKO10" i="9" s="1"/>
  <c r="CKQ10" i="9" s="1"/>
  <c r="CKS10" i="9" s="1"/>
  <c r="CKU10" i="9" s="1"/>
  <c r="CKW10" i="9" s="1"/>
  <c r="CKY10" i="9" s="1"/>
  <c r="CLA10" i="9" s="1"/>
  <c r="CLC10" i="9" s="1"/>
  <c r="CLE10" i="9" s="1"/>
  <c r="CLG10" i="9" s="1"/>
  <c r="CLI10" i="9" s="1"/>
  <c r="CLK10" i="9" s="1"/>
  <c r="CLM10" i="9" s="1"/>
  <c r="CLO10" i="9" s="1"/>
  <c r="CLQ10" i="9" s="1"/>
  <c r="CLS10" i="9" s="1"/>
  <c r="CLU10" i="9" s="1"/>
  <c r="CLW10" i="9" s="1"/>
  <c r="CLY10" i="9" s="1"/>
  <c r="CMA10" i="9" s="1"/>
  <c r="CMC10" i="9" s="1"/>
  <c r="CME10" i="9" s="1"/>
  <c r="CMG10" i="9" s="1"/>
  <c r="CMI10" i="9" s="1"/>
  <c r="CMK10" i="9" s="1"/>
  <c r="CMM10" i="9" s="1"/>
  <c r="CMO10" i="9" s="1"/>
  <c r="CMQ10" i="9" s="1"/>
  <c r="CMS10" i="9" s="1"/>
  <c r="CMU10" i="9" s="1"/>
  <c r="CMW10" i="9" s="1"/>
  <c r="CMY10" i="9" s="1"/>
  <c r="CNA10" i="9" s="1"/>
  <c r="CNC10" i="9" s="1"/>
  <c r="CNE10" i="9" s="1"/>
  <c r="CNG10" i="9" s="1"/>
  <c r="CNI10" i="9" s="1"/>
  <c r="CNK10" i="9" s="1"/>
  <c r="CNM10" i="9" s="1"/>
  <c r="CNO10" i="9" s="1"/>
  <c r="CNQ10" i="9" s="1"/>
  <c r="CNS10" i="9" s="1"/>
  <c r="CNU10" i="9" s="1"/>
  <c r="CNW10" i="9" s="1"/>
  <c r="CNY10" i="9" s="1"/>
  <c r="COA10" i="9" s="1"/>
  <c r="COC10" i="9" s="1"/>
  <c r="COE10" i="9" s="1"/>
  <c r="COG10" i="9" s="1"/>
  <c r="COI10" i="9" s="1"/>
  <c r="COK10" i="9" s="1"/>
  <c r="COM10" i="9" s="1"/>
  <c r="COO10" i="9" s="1"/>
  <c r="COQ10" i="9" s="1"/>
  <c r="COS10" i="9" s="1"/>
  <c r="COU10" i="9" s="1"/>
  <c r="COW10" i="9" s="1"/>
  <c r="COY10" i="9" s="1"/>
  <c r="CPA10" i="9" s="1"/>
  <c r="CPC10" i="9" s="1"/>
  <c r="CPE10" i="9" s="1"/>
  <c r="CPG10" i="9" s="1"/>
  <c r="CPI10" i="9" s="1"/>
  <c r="CPK10" i="9" s="1"/>
  <c r="CPM10" i="9" s="1"/>
  <c r="CPO10" i="9" s="1"/>
  <c r="CPQ10" i="9" s="1"/>
  <c r="CPS10" i="9" s="1"/>
  <c r="CPU10" i="9" s="1"/>
  <c r="CPW10" i="9" s="1"/>
  <c r="CPY10" i="9" s="1"/>
  <c r="CQA10" i="9" s="1"/>
  <c r="CQC10" i="9" s="1"/>
  <c r="CQE10" i="9" s="1"/>
  <c r="CQG10" i="9" s="1"/>
  <c r="CQI10" i="9" s="1"/>
  <c r="CQK10" i="9" s="1"/>
  <c r="CQM10" i="9" s="1"/>
  <c r="CQO10" i="9" s="1"/>
  <c r="CQQ10" i="9" s="1"/>
  <c r="CQS10" i="9" s="1"/>
  <c r="CQU10" i="9" s="1"/>
  <c r="CQW10" i="9" s="1"/>
  <c r="CQY10" i="9" s="1"/>
  <c r="CRA10" i="9" s="1"/>
  <c r="CRC10" i="9" s="1"/>
  <c r="CRE10" i="9" s="1"/>
  <c r="CRG10" i="9" s="1"/>
  <c r="CRI10" i="9" s="1"/>
  <c r="CRK10" i="9" s="1"/>
  <c r="CRM10" i="9" s="1"/>
  <c r="CRO10" i="9" s="1"/>
  <c r="CRQ10" i="9" s="1"/>
  <c r="CRS10" i="9" s="1"/>
  <c r="CRU10" i="9" s="1"/>
  <c r="CRW10" i="9" s="1"/>
  <c r="CRY10" i="9" s="1"/>
  <c r="CSA10" i="9" s="1"/>
  <c r="CSC10" i="9" s="1"/>
  <c r="CSE10" i="9" s="1"/>
  <c r="CSG10" i="9" s="1"/>
  <c r="CSI10" i="9" s="1"/>
  <c r="CSK10" i="9" s="1"/>
  <c r="CSM10" i="9" s="1"/>
  <c r="CSO10" i="9" s="1"/>
  <c r="CSQ10" i="9" s="1"/>
  <c r="CSS10" i="9" s="1"/>
  <c r="CSU10" i="9" s="1"/>
  <c r="CSW10" i="9" s="1"/>
  <c r="CSY10" i="9" s="1"/>
  <c r="CTA10" i="9" s="1"/>
  <c r="CTC10" i="9" s="1"/>
  <c r="CTE10" i="9" s="1"/>
  <c r="CTG10" i="9" s="1"/>
  <c r="CTI10" i="9" s="1"/>
  <c r="CTK10" i="9" s="1"/>
  <c r="CTM10" i="9" s="1"/>
  <c r="CTO10" i="9" s="1"/>
  <c r="CTQ10" i="9" s="1"/>
  <c r="CTS10" i="9" s="1"/>
  <c r="CTU10" i="9" s="1"/>
  <c r="CTW10" i="9" s="1"/>
  <c r="CTY10" i="9" s="1"/>
  <c r="CUA10" i="9" s="1"/>
  <c r="CUC10" i="9" s="1"/>
  <c r="CUE10" i="9" s="1"/>
  <c r="CUG10" i="9" s="1"/>
  <c r="CUI10" i="9" s="1"/>
  <c r="CUK10" i="9" s="1"/>
  <c r="CUM10" i="9" s="1"/>
  <c r="CUO10" i="9" s="1"/>
  <c r="CUQ10" i="9" s="1"/>
  <c r="CUS10" i="9" s="1"/>
  <c r="CUU10" i="9" s="1"/>
  <c r="CUW10" i="9" s="1"/>
  <c r="CUY10" i="9" s="1"/>
  <c r="CVA10" i="9" s="1"/>
  <c r="CVC10" i="9" s="1"/>
  <c r="CVE10" i="9" s="1"/>
  <c r="CVG10" i="9" s="1"/>
  <c r="CVI10" i="9" s="1"/>
  <c r="CVK10" i="9" s="1"/>
  <c r="CVM10" i="9" s="1"/>
  <c r="CVO10" i="9" s="1"/>
  <c r="CVQ10" i="9" s="1"/>
  <c r="CVS10" i="9" s="1"/>
  <c r="CVU10" i="9" s="1"/>
  <c r="CVW10" i="9" s="1"/>
  <c r="CVY10" i="9" s="1"/>
  <c r="CWA10" i="9" s="1"/>
  <c r="CWC10" i="9" s="1"/>
  <c r="CWE10" i="9" s="1"/>
  <c r="CWG10" i="9" s="1"/>
  <c r="CWI10" i="9" s="1"/>
  <c r="CWK10" i="9" s="1"/>
  <c r="CWM10" i="9" s="1"/>
  <c r="CWO10" i="9" s="1"/>
  <c r="CWQ10" i="9" s="1"/>
  <c r="CWS10" i="9" s="1"/>
  <c r="CWU10" i="9" s="1"/>
  <c r="CWW10" i="9" s="1"/>
  <c r="CWY10" i="9" s="1"/>
  <c r="CXA10" i="9" s="1"/>
  <c r="CXC10" i="9" s="1"/>
  <c r="CXE10" i="9" s="1"/>
  <c r="CXG10" i="9" s="1"/>
  <c r="CXI10" i="9" s="1"/>
  <c r="CXK10" i="9" s="1"/>
  <c r="CXM10" i="9" s="1"/>
  <c r="CXO10" i="9" s="1"/>
  <c r="CXQ10" i="9" s="1"/>
  <c r="CXS10" i="9" s="1"/>
  <c r="CXU10" i="9" s="1"/>
  <c r="CXW10" i="9" s="1"/>
  <c r="CXY10" i="9" s="1"/>
  <c r="CYA10" i="9" s="1"/>
  <c r="CYC10" i="9" s="1"/>
  <c r="CYE10" i="9" s="1"/>
  <c r="CYG10" i="9" s="1"/>
  <c r="CYI10" i="9" s="1"/>
  <c r="CYK10" i="9" s="1"/>
  <c r="CYM10" i="9" s="1"/>
  <c r="CYO10" i="9" s="1"/>
  <c r="CYQ10" i="9" s="1"/>
  <c r="CYS10" i="9" s="1"/>
  <c r="CYU10" i="9" s="1"/>
  <c r="CYW10" i="9" s="1"/>
  <c r="CYY10" i="9" s="1"/>
  <c r="CZA10" i="9" s="1"/>
  <c r="CZC10" i="9" s="1"/>
  <c r="CZE10" i="9" s="1"/>
  <c r="CZG10" i="9" s="1"/>
  <c r="CZI10" i="9" s="1"/>
  <c r="CZK10" i="9" s="1"/>
  <c r="CZM10" i="9" s="1"/>
  <c r="CZO10" i="9" s="1"/>
  <c r="CZQ10" i="9" s="1"/>
  <c r="CZS10" i="9" s="1"/>
  <c r="CZU10" i="9" s="1"/>
  <c r="CZW10" i="9" s="1"/>
  <c r="CZY10" i="9" s="1"/>
  <c r="DAA10" i="9" s="1"/>
  <c r="DAC10" i="9" s="1"/>
  <c r="DAE10" i="9" s="1"/>
  <c r="DAG10" i="9" s="1"/>
  <c r="DAI10" i="9" s="1"/>
  <c r="DAK10" i="9" s="1"/>
  <c r="DAM10" i="9" s="1"/>
  <c r="DAO10" i="9" s="1"/>
  <c r="DAQ10" i="9" s="1"/>
  <c r="DAS10" i="9" s="1"/>
  <c r="DAU10" i="9" s="1"/>
  <c r="DAW10" i="9" s="1"/>
  <c r="DAY10" i="9" s="1"/>
  <c r="DBA10" i="9" s="1"/>
  <c r="DBC10" i="9" s="1"/>
  <c r="DBE10" i="9" s="1"/>
  <c r="DBG10" i="9" s="1"/>
  <c r="DBI10" i="9" s="1"/>
  <c r="DBK10" i="9" s="1"/>
  <c r="DBM10" i="9" s="1"/>
  <c r="DBO10" i="9" s="1"/>
  <c r="DBQ10" i="9" s="1"/>
  <c r="DBS10" i="9" s="1"/>
  <c r="DBU10" i="9" s="1"/>
  <c r="DBW10" i="9" s="1"/>
  <c r="DBY10" i="9" s="1"/>
  <c r="DCA10" i="9" s="1"/>
  <c r="DCC10" i="9" s="1"/>
  <c r="DCE10" i="9" s="1"/>
  <c r="DCG10" i="9" s="1"/>
  <c r="DCI10" i="9" s="1"/>
  <c r="DCK10" i="9" s="1"/>
  <c r="DCM10" i="9" s="1"/>
  <c r="DCO10" i="9" s="1"/>
  <c r="DCQ10" i="9" s="1"/>
  <c r="DCS10" i="9" s="1"/>
  <c r="DCU10" i="9" s="1"/>
  <c r="DCW10" i="9" s="1"/>
  <c r="DCY10" i="9" s="1"/>
  <c r="DDA10" i="9" s="1"/>
  <c r="DDC10" i="9" s="1"/>
  <c r="DDE10" i="9" s="1"/>
  <c r="DDG10" i="9" s="1"/>
  <c r="DDI10" i="9" s="1"/>
  <c r="DDK10" i="9" s="1"/>
  <c r="DDM10" i="9" s="1"/>
  <c r="DDO10" i="9" s="1"/>
  <c r="DDQ10" i="9" s="1"/>
  <c r="DDS10" i="9" s="1"/>
  <c r="DDU10" i="9" s="1"/>
  <c r="DDW10" i="9" s="1"/>
  <c r="DDY10" i="9" s="1"/>
  <c r="DEA10" i="9" s="1"/>
  <c r="DEC10" i="9" s="1"/>
  <c r="DEE10" i="9" s="1"/>
  <c r="DEG10" i="9" s="1"/>
  <c r="DEI10" i="9" s="1"/>
  <c r="DEK10" i="9" s="1"/>
  <c r="DEM10" i="9" s="1"/>
  <c r="DEO10" i="9" s="1"/>
  <c r="DEQ10" i="9" s="1"/>
  <c r="DES10" i="9" s="1"/>
  <c r="DEU10" i="9" s="1"/>
  <c r="DEW10" i="9" s="1"/>
  <c r="DEY10" i="9" s="1"/>
  <c r="DFA10" i="9" s="1"/>
  <c r="DFC10" i="9" s="1"/>
  <c r="DFE10" i="9" s="1"/>
  <c r="DFG10" i="9" s="1"/>
  <c r="DFI10" i="9" s="1"/>
  <c r="DFK10" i="9" s="1"/>
  <c r="DFM10" i="9" s="1"/>
  <c r="DFO10" i="9" s="1"/>
  <c r="DFQ10" i="9" s="1"/>
  <c r="DFS10" i="9" s="1"/>
  <c r="DFU10" i="9" s="1"/>
  <c r="DFW10" i="9" s="1"/>
  <c r="DFY10" i="9" s="1"/>
  <c r="DGA10" i="9" s="1"/>
  <c r="DGC10" i="9" s="1"/>
  <c r="DGE10" i="9" s="1"/>
  <c r="DGG10" i="9" s="1"/>
  <c r="DGI10" i="9" s="1"/>
  <c r="DGK10" i="9" s="1"/>
  <c r="DGM10" i="9" s="1"/>
  <c r="DGO10" i="9" s="1"/>
  <c r="DGQ10" i="9" s="1"/>
  <c r="DGS10" i="9" s="1"/>
  <c r="DGU10" i="9" s="1"/>
  <c r="DGW10" i="9" s="1"/>
  <c r="DGY10" i="9" s="1"/>
  <c r="DHA10" i="9" s="1"/>
  <c r="DHC10" i="9" s="1"/>
  <c r="DHE10" i="9" s="1"/>
  <c r="DHG10" i="9" s="1"/>
  <c r="DHI10" i="9" s="1"/>
  <c r="DHK10" i="9" s="1"/>
  <c r="DHM10" i="9" s="1"/>
  <c r="DHO10" i="9" s="1"/>
  <c r="DHQ10" i="9" s="1"/>
  <c r="DHS10" i="9" s="1"/>
  <c r="DHU10" i="9" s="1"/>
  <c r="DHW10" i="9" s="1"/>
  <c r="DHY10" i="9" s="1"/>
  <c r="DIA10" i="9" s="1"/>
  <c r="DIC10" i="9" s="1"/>
  <c r="DIE10" i="9" s="1"/>
  <c r="DIG10" i="9" s="1"/>
  <c r="DII10" i="9" s="1"/>
  <c r="DIK10" i="9" s="1"/>
  <c r="DIM10" i="9" s="1"/>
  <c r="DIO10" i="9" s="1"/>
  <c r="DIQ10" i="9" s="1"/>
  <c r="DIS10" i="9" s="1"/>
  <c r="DIU10" i="9" s="1"/>
  <c r="DIW10" i="9" s="1"/>
  <c r="DIY10" i="9" s="1"/>
  <c r="DJA10" i="9" s="1"/>
  <c r="DJC10" i="9" s="1"/>
  <c r="DJE10" i="9" s="1"/>
  <c r="DJG10" i="9" s="1"/>
  <c r="DJI10" i="9" s="1"/>
  <c r="DJK10" i="9" s="1"/>
  <c r="DJM10" i="9" s="1"/>
  <c r="DJO10" i="9" s="1"/>
  <c r="DJQ10" i="9" s="1"/>
  <c r="DJS10" i="9" s="1"/>
  <c r="DJU10" i="9" s="1"/>
  <c r="DJW10" i="9" s="1"/>
  <c r="DJY10" i="9" s="1"/>
  <c r="DKA10" i="9" s="1"/>
  <c r="DKC10" i="9" s="1"/>
  <c r="DKE10" i="9" s="1"/>
  <c r="DKG10" i="9" s="1"/>
  <c r="DKI10" i="9" s="1"/>
  <c r="DKK10" i="9" s="1"/>
  <c r="DKM10" i="9" s="1"/>
  <c r="DKO10" i="9" s="1"/>
  <c r="DKQ10" i="9" s="1"/>
  <c r="DKS10" i="9" s="1"/>
  <c r="DKU10" i="9" s="1"/>
  <c r="DKW10" i="9" s="1"/>
  <c r="DKY10" i="9" s="1"/>
  <c r="DLA10" i="9" s="1"/>
  <c r="DLC10" i="9" s="1"/>
  <c r="DLE10" i="9" s="1"/>
  <c r="DLG10" i="9" s="1"/>
  <c r="DLI10" i="9" s="1"/>
  <c r="DLK10" i="9" s="1"/>
  <c r="DLM10" i="9" s="1"/>
  <c r="DLO10" i="9" s="1"/>
  <c r="DLQ10" i="9" s="1"/>
  <c r="DLS10" i="9" s="1"/>
  <c r="DLU10" i="9" s="1"/>
  <c r="DLW10" i="9" s="1"/>
  <c r="DLY10" i="9" s="1"/>
  <c r="DMA10" i="9" s="1"/>
  <c r="DMC10" i="9" s="1"/>
  <c r="DME10" i="9" s="1"/>
  <c r="DMG10" i="9" s="1"/>
  <c r="DMI10" i="9" s="1"/>
  <c r="DMK10" i="9" s="1"/>
  <c r="DMM10" i="9" s="1"/>
  <c r="DMO10" i="9" s="1"/>
  <c r="DMQ10" i="9" s="1"/>
  <c r="DMS10" i="9" s="1"/>
  <c r="DMU10" i="9" s="1"/>
  <c r="DMW10" i="9" s="1"/>
  <c r="DMY10" i="9" s="1"/>
  <c r="DNA10" i="9" s="1"/>
  <c r="DNC10" i="9" s="1"/>
  <c r="DNE10" i="9" s="1"/>
  <c r="DNG10" i="9" s="1"/>
  <c r="DNI10" i="9" s="1"/>
  <c r="DNK10" i="9" s="1"/>
  <c r="DNM10" i="9" s="1"/>
  <c r="DNO10" i="9" s="1"/>
  <c r="DNQ10" i="9" s="1"/>
  <c r="DNS10" i="9" s="1"/>
  <c r="DNU10" i="9" s="1"/>
  <c r="DNW10" i="9" s="1"/>
  <c r="DNY10" i="9" s="1"/>
  <c r="DOA10" i="9" s="1"/>
  <c r="DOC10" i="9" s="1"/>
  <c r="DOE10" i="9" s="1"/>
  <c r="DOG10" i="9" s="1"/>
  <c r="DOI10" i="9" s="1"/>
  <c r="DOK10" i="9" s="1"/>
  <c r="DOM10" i="9" s="1"/>
  <c r="DOO10" i="9" s="1"/>
  <c r="DOQ10" i="9" s="1"/>
  <c r="DOS10" i="9" s="1"/>
  <c r="DOU10" i="9" s="1"/>
  <c r="DOW10" i="9" s="1"/>
  <c r="DOY10" i="9" s="1"/>
  <c r="DPA10" i="9" s="1"/>
  <c r="DPC10" i="9" s="1"/>
  <c r="DPE10" i="9" s="1"/>
  <c r="DPG10" i="9" s="1"/>
  <c r="DPI10" i="9" s="1"/>
  <c r="DPK10" i="9" s="1"/>
  <c r="DPM10" i="9" s="1"/>
  <c r="DPO10" i="9" s="1"/>
  <c r="DPQ10" i="9" s="1"/>
  <c r="DPS10" i="9" s="1"/>
  <c r="DPU10" i="9" s="1"/>
  <c r="DPW10" i="9" s="1"/>
  <c r="DPY10" i="9" s="1"/>
  <c r="DQA10" i="9" s="1"/>
  <c r="DQC10" i="9" s="1"/>
  <c r="DQE10" i="9" s="1"/>
  <c r="DQG10" i="9" s="1"/>
  <c r="DQI10" i="9" s="1"/>
  <c r="DQK10" i="9" s="1"/>
  <c r="DQM10" i="9" s="1"/>
  <c r="DQO10" i="9" s="1"/>
  <c r="DQQ10" i="9" s="1"/>
  <c r="DQS10" i="9" s="1"/>
  <c r="DQU10" i="9" s="1"/>
  <c r="DQW10" i="9" s="1"/>
  <c r="DQY10" i="9" s="1"/>
  <c r="DRA10" i="9" s="1"/>
  <c r="DRC10" i="9" s="1"/>
  <c r="DRE10" i="9" s="1"/>
  <c r="DRG10" i="9" s="1"/>
  <c r="DRI10" i="9" s="1"/>
  <c r="DRK10" i="9" s="1"/>
  <c r="DRM10" i="9" s="1"/>
  <c r="DRO10" i="9" s="1"/>
  <c r="DRQ10" i="9" s="1"/>
  <c r="DRS10" i="9" s="1"/>
  <c r="DRU10" i="9" s="1"/>
  <c r="DRW10" i="9" s="1"/>
  <c r="DRY10" i="9" s="1"/>
  <c r="DSA10" i="9" s="1"/>
  <c r="DSC10" i="9" s="1"/>
  <c r="DSE10" i="9" s="1"/>
  <c r="DSG10" i="9" s="1"/>
  <c r="DSI10" i="9" s="1"/>
  <c r="DSK10" i="9" s="1"/>
  <c r="DSM10" i="9" s="1"/>
  <c r="DSO10" i="9" s="1"/>
  <c r="DSQ10" i="9" s="1"/>
  <c r="DSS10" i="9" s="1"/>
  <c r="DSU10" i="9" s="1"/>
  <c r="DSW10" i="9" s="1"/>
  <c r="DSY10" i="9" s="1"/>
  <c r="DTA10" i="9" s="1"/>
  <c r="DTC10" i="9" s="1"/>
  <c r="DTE10" i="9" s="1"/>
  <c r="DTG10" i="9" s="1"/>
  <c r="DTI10" i="9" s="1"/>
  <c r="DTK10" i="9" s="1"/>
  <c r="DTM10" i="9" s="1"/>
  <c r="DTO10" i="9" s="1"/>
  <c r="DTQ10" i="9" s="1"/>
  <c r="DTS10" i="9" s="1"/>
  <c r="DTU10" i="9" s="1"/>
  <c r="DTW10" i="9" s="1"/>
  <c r="DTY10" i="9" s="1"/>
  <c r="DUA10" i="9" s="1"/>
  <c r="DUC10" i="9" s="1"/>
  <c r="DUE10" i="9" s="1"/>
  <c r="DUG10" i="9" s="1"/>
  <c r="DUI10" i="9" s="1"/>
  <c r="DUK10" i="9" s="1"/>
  <c r="DUM10" i="9" s="1"/>
  <c r="DUO10" i="9" s="1"/>
  <c r="DUQ10" i="9" s="1"/>
  <c r="DUS10" i="9" s="1"/>
  <c r="DUU10" i="9" s="1"/>
  <c r="DUW10" i="9" s="1"/>
  <c r="DUY10" i="9" s="1"/>
  <c r="DVA10" i="9" s="1"/>
  <c r="DVC10" i="9" s="1"/>
  <c r="DVE10" i="9" s="1"/>
  <c r="DVG10" i="9" s="1"/>
  <c r="DVI10" i="9" s="1"/>
  <c r="DVK10" i="9" s="1"/>
  <c r="DVM10" i="9" s="1"/>
  <c r="DVO10" i="9" s="1"/>
  <c r="DVQ10" i="9" s="1"/>
  <c r="DVS10" i="9" s="1"/>
  <c r="DVU10" i="9" s="1"/>
  <c r="DVW10" i="9" s="1"/>
  <c r="DVY10" i="9" s="1"/>
  <c r="DWA10" i="9" s="1"/>
  <c r="DWC10" i="9" s="1"/>
  <c r="DWE10" i="9" s="1"/>
  <c r="DWG10" i="9" s="1"/>
  <c r="DWI10" i="9" s="1"/>
  <c r="DWK10" i="9" s="1"/>
  <c r="DWM10" i="9" s="1"/>
  <c r="DWO10" i="9" s="1"/>
  <c r="DWQ10" i="9" s="1"/>
  <c r="DWS10" i="9" s="1"/>
  <c r="DWU10" i="9" s="1"/>
  <c r="DWW10" i="9" s="1"/>
  <c r="DWY10" i="9" s="1"/>
  <c r="DXA10" i="9" s="1"/>
  <c r="DXC10" i="9" s="1"/>
  <c r="DXE10" i="9" s="1"/>
  <c r="DXG10" i="9" s="1"/>
  <c r="DXI10" i="9" s="1"/>
  <c r="DXK10" i="9" s="1"/>
  <c r="DXM10" i="9" s="1"/>
  <c r="DXO10" i="9" s="1"/>
  <c r="DXQ10" i="9" s="1"/>
  <c r="DXS10" i="9" s="1"/>
  <c r="DXU10" i="9" s="1"/>
  <c r="DXW10" i="9" s="1"/>
  <c r="DXY10" i="9" s="1"/>
  <c r="DYA10" i="9" s="1"/>
  <c r="DYC10" i="9" s="1"/>
  <c r="DYE10" i="9" s="1"/>
  <c r="DYG10" i="9" s="1"/>
  <c r="DYI10" i="9" s="1"/>
  <c r="DYK10" i="9" s="1"/>
  <c r="DYM10" i="9" s="1"/>
  <c r="DYO10" i="9" s="1"/>
  <c r="DYQ10" i="9" s="1"/>
  <c r="DYS10" i="9" s="1"/>
  <c r="DYU10" i="9" s="1"/>
  <c r="DYW10" i="9" s="1"/>
  <c r="DYY10" i="9" s="1"/>
  <c r="DZA10" i="9" s="1"/>
  <c r="DZC10" i="9" s="1"/>
  <c r="DZE10" i="9" s="1"/>
  <c r="DZG10" i="9" s="1"/>
  <c r="DZI10" i="9" s="1"/>
  <c r="DZK10" i="9" s="1"/>
  <c r="DZM10" i="9" s="1"/>
  <c r="DZO10" i="9" s="1"/>
  <c r="DZQ10" i="9" s="1"/>
  <c r="DZS10" i="9" s="1"/>
  <c r="DZU10" i="9" s="1"/>
  <c r="DZW10" i="9" s="1"/>
  <c r="DZY10" i="9" s="1"/>
  <c r="EAA10" i="9" s="1"/>
  <c r="EAC10" i="9" s="1"/>
  <c r="EAE10" i="9" s="1"/>
  <c r="EAG10" i="9" s="1"/>
  <c r="EAI10" i="9" s="1"/>
  <c r="EAK10" i="9" s="1"/>
  <c r="EAM10" i="9" s="1"/>
  <c r="EAO10" i="9" s="1"/>
  <c r="EAQ10" i="9" s="1"/>
  <c r="EAS10" i="9" s="1"/>
  <c r="EAU10" i="9" s="1"/>
  <c r="EAW10" i="9" s="1"/>
  <c r="EAY10" i="9" s="1"/>
  <c r="EBA10" i="9" s="1"/>
  <c r="EBC10" i="9" s="1"/>
  <c r="EBE10" i="9" s="1"/>
  <c r="EBG10" i="9" s="1"/>
  <c r="EBI10" i="9" s="1"/>
  <c r="EBK10" i="9" s="1"/>
  <c r="EBM10" i="9" s="1"/>
  <c r="EBO10" i="9" s="1"/>
  <c r="EBQ10" i="9" s="1"/>
  <c r="EBS10" i="9" s="1"/>
  <c r="EBU10" i="9" s="1"/>
  <c r="EBW10" i="9" s="1"/>
  <c r="EBY10" i="9" s="1"/>
  <c r="ECA10" i="9" s="1"/>
  <c r="ECC10" i="9" s="1"/>
  <c r="ECE10" i="9" s="1"/>
  <c r="ECG10" i="9" s="1"/>
  <c r="ECI10" i="9" s="1"/>
  <c r="ECK10" i="9" s="1"/>
  <c r="ECM10" i="9" s="1"/>
  <c r="ECO10" i="9" s="1"/>
  <c r="ECQ10" i="9" s="1"/>
  <c r="ECS10" i="9" s="1"/>
  <c r="ECU10" i="9" s="1"/>
  <c r="ECW10" i="9" s="1"/>
  <c r="ECY10" i="9" s="1"/>
  <c r="EDA10" i="9" s="1"/>
  <c r="EDC10" i="9" s="1"/>
  <c r="EDE10" i="9" s="1"/>
  <c r="EDG10" i="9" s="1"/>
  <c r="EDI10" i="9" s="1"/>
  <c r="EDK10" i="9" s="1"/>
  <c r="EDM10" i="9" s="1"/>
  <c r="EDO10" i="9" s="1"/>
  <c r="EDQ10" i="9" s="1"/>
  <c r="EDS10" i="9" s="1"/>
  <c r="EDU10" i="9" s="1"/>
  <c r="EDW10" i="9" s="1"/>
  <c r="EDY10" i="9" s="1"/>
  <c r="EEA10" i="9" s="1"/>
  <c r="EEC10" i="9" s="1"/>
  <c r="EEE10" i="9" s="1"/>
  <c r="EEG10" i="9" s="1"/>
  <c r="EEI10" i="9" s="1"/>
  <c r="EEK10" i="9" s="1"/>
  <c r="EEM10" i="9" s="1"/>
  <c r="EEO10" i="9" s="1"/>
  <c r="EEQ10" i="9" s="1"/>
  <c r="EES10" i="9" s="1"/>
  <c r="EEU10" i="9" s="1"/>
  <c r="EEW10" i="9" s="1"/>
  <c r="EEY10" i="9" s="1"/>
  <c r="EFA10" i="9" s="1"/>
  <c r="EFC10" i="9" s="1"/>
  <c r="EFE10" i="9" s="1"/>
  <c r="EFG10" i="9" s="1"/>
  <c r="EFI10" i="9" s="1"/>
  <c r="EFK10" i="9" s="1"/>
  <c r="EFM10" i="9" s="1"/>
  <c r="EFO10" i="9" s="1"/>
  <c r="EFQ10" i="9" s="1"/>
  <c r="EFS10" i="9" s="1"/>
  <c r="EFU10" i="9" s="1"/>
  <c r="EFW10" i="9" s="1"/>
  <c r="EFY10" i="9" s="1"/>
  <c r="EGA10" i="9" s="1"/>
  <c r="EGC10" i="9" s="1"/>
  <c r="EGE10" i="9" s="1"/>
  <c r="EGG10" i="9" s="1"/>
  <c r="EGI10" i="9" s="1"/>
  <c r="EGK10" i="9" s="1"/>
  <c r="EGM10" i="9" s="1"/>
  <c r="EGO10" i="9" s="1"/>
  <c r="EGQ10" i="9" s="1"/>
  <c r="EGS10" i="9" s="1"/>
  <c r="EGU10" i="9" s="1"/>
  <c r="EGW10" i="9" s="1"/>
  <c r="EGY10" i="9" s="1"/>
  <c r="EHA10" i="9" s="1"/>
  <c r="EHC10" i="9" s="1"/>
  <c r="EHE10" i="9" s="1"/>
  <c r="EHG10" i="9" s="1"/>
  <c r="EHI10" i="9" s="1"/>
  <c r="EHK10" i="9" s="1"/>
  <c r="EHM10" i="9" s="1"/>
  <c r="EHO10" i="9" s="1"/>
  <c r="EHQ10" i="9" s="1"/>
  <c r="EHS10" i="9" s="1"/>
  <c r="EHU10" i="9" s="1"/>
  <c r="EHW10" i="9" s="1"/>
  <c r="EHY10" i="9" s="1"/>
  <c r="EIA10" i="9" s="1"/>
  <c r="EIC10" i="9" s="1"/>
  <c r="EIE10" i="9" s="1"/>
  <c r="EIG10" i="9" s="1"/>
  <c r="EII10" i="9" s="1"/>
  <c r="EIK10" i="9" s="1"/>
  <c r="EIM10" i="9" s="1"/>
  <c r="EIO10" i="9" s="1"/>
  <c r="EIQ10" i="9" s="1"/>
  <c r="EIS10" i="9" s="1"/>
  <c r="EIU10" i="9" s="1"/>
  <c r="EIW10" i="9" s="1"/>
  <c r="EIY10" i="9" s="1"/>
  <c r="EJA10" i="9" s="1"/>
  <c r="EJC10" i="9" s="1"/>
  <c r="EJE10" i="9" s="1"/>
  <c r="EJG10" i="9" s="1"/>
  <c r="EJI10" i="9" s="1"/>
  <c r="EJK10" i="9" s="1"/>
  <c r="EJM10" i="9" s="1"/>
  <c r="EJO10" i="9" s="1"/>
  <c r="EJQ10" i="9" s="1"/>
  <c r="EJS10" i="9" s="1"/>
  <c r="EJU10" i="9" s="1"/>
  <c r="EJW10" i="9" s="1"/>
  <c r="EJY10" i="9" s="1"/>
  <c r="EKA10" i="9" s="1"/>
  <c r="EKC10" i="9" s="1"/>
  <c r="EKE10" i="9" s="1"/>
  <c r="EKG10" i="9" s="1"/>
  <c r="EKI10" i="9" s="1"/>
  <c r="EKK10" i="9" s="1"/>
  <c r="EKM10" i="9" s="1"/>
  <c r="EKO10" i="9" s="1"/>
  <c r="EKQ10" i="9" s="1"/>
  <c r="EKS10" i="9" s="1"/>
  <c r="EKU10" i="9" s="1"/>
  <c r="EKW10" i="9" s="1"/>
  <c r="EKY10" i="9" s="1"/>
  <c r="ELA10" i="9" s="1"/>
  <c r="ELC10" i="9" s="1"/>
  <c r="ELE10" i="9" s="1"/>
  <c r="ELG10" i="9" s="1"/>
  <c r="ELI10" i="9" s="1"/>
  <c r="ELK10" i="9" s="1"/>
  <c r="ELM10" i="9" s="1"/>
  <c r="ELO10" i="9" s="1"/>
  <c r="ELQ10" i="9" s="1"/>
  <c r="ELS10" i="9" s="1"/>
  <c r="ELU10" i="9" s="1"/>
  <c r="ELW10" i="9" s="1"/>
  <c r="ELY10" i="9" s="1"/>
  <c r="EMA10" i="9" s="1"/>
  <c r="EMC10" i="9" s="1"/>
  <c r="EME10" i="9" s="1"/>
  <c r="EMG10" i="9" s="1"/>
  <c r="EMI10" i="9" s="1"/>
  <c r="EMK10" i="9" s="1"/>
  <c r="EMM10" i="9" s="1"/>
  <c r="EMO10" i="9" s="1"/>
  <c r="EMQ10" i="9" s="1"/>
  <c r="EMS10" i="9" s="1"/>
  <c r="EMU10" i="9" s="1"/>
  <c r="EMW10" i="9" s="1"/>
  <c r="EMY10" i="9" s="1"/>
  <c r="ENA10" i="9" s="1"/>
  <c r="ENC10" i="9" s="1"/>
  <c r="ENE10" i="9" s="1"/>
  <c r="ENG10" i="9" s="1"/>
  <c r="ENI10" i="9" s="1"/>
  <c r="ENK10" i="9" s="1"/>
  <c r="ENM10" i="9" s="1"/>
  <c r="ENO10" i="9" s="1"/>
  <c r="ENQ10" i="9" s="1"/>
  <c r="ENS10" i="9" s="1"/>
  <c r="ENU10" i="9" s="1"/>
  <c r="ENW10" i="9" s="1"/>
  <c r="ENY10" i="9" s="1"/>
  <c r="EOA10" i="9" s="1"/>
  <c r="EOC10" i="9" s="1"/>
  <c r="EOE10" i="9" s="1"/>
  <c r="EOG10" i="9" s="1"/>
  <c r="EOI10" i="9" s="1"/>
  <c r="EOK10" i="9" s="1"/>
  <c r="EOM10" i="9" s="1"/>
  <c r="EOO10" i="9" s="1"/>
  <c r="EOQ10" i="9" s="1"/>
  <c r="EOS10" i="9" s="1"/>
  <c r="EOU10" i="9" s="1"/>
  <c r="EOW10" i="9" s="1"/>
  <c r="EOY10" i="9" s="1"/>
  <c r="EPA10" i="9" s="1"/>
  <c r="EPC10" i="9" s="1"/>
  <c r="EPE10" i="9" s="1"/>
  <c r="EPG10" i="9" s="1"/>
  <c r="EPI10" i="9" s="1"/>
  <c r="EPK10" i="9" s="1"/>
  <c r="EPM10" i="9" s="1"/>
  <c r="EPO10" i="9" s="1"/>
  <c r="EPQ10" i="9" s="1"/>
  <c r="EPS10" i="9" s="1"/>
  <c r="EPU10" i="9" s="1"/>
  <c r="EPW10" i="9" s="1"/>
  <c r="EPY10" i="9" s="1"/>
  <c r="EQA10" i="9" s="1"/>
  <c r="EQC10" i="9" s="1"/>
  <c r="EQE10" i="9" s="1"/>
  <c r="EQG10" i="9" s="1"/>
  <c r="EQI10" i="9" s="1"/>
  <c r="EQK10" i="9" s="1"/>
  <c r="EQM10" i="9" s="1"/>
  <c r="EQO10" i="9" s="1"/>
  <c r="EQQ10" i="9" s="1"/>
  <c r="EQS10" i="9" s="1"/>
  <c r="EQU10" i="9" s="1"/>
  <c r="EQW10" i="9" s="1"/>
  <c r="EQY10" i="9" s="1"/>
  <c r="ERA10" i="9" s="1"/>
  <c r="ERC10" i="9" s="1"/>
  <c r="ERE10" i="9" s="1"/>
  <c r="ERG10" i="9" s="1"/>
  <c r="ERI10" i="9" s="1"/>
  <c r="ERK10" i="9" s="1"/>
  <c r="ERM10" i="9" s="1"/>
  <c r="ERO10" i="9" s="1"/>
  <c r="ERQ10" i="9" s="1"/>
  <c r="ERS10" i="9" s="1"/>
  <c r="ERU10" i="9" s="1"/>
  <c r="ERW10" i="9" s="1"/>
  <c r="ERY10" i="9" s="1"/>
  <c r="ESA10" i="9" s="1"/>
  <c r="ESC10" i="9" s="1"/>
  <c r="ESE10" i="9" s="1"/>
  <c r="ESG10" i="9" s="1"/>
  <c r="ESI10" i="9" s="1"/>
  <c r="ESK10" i="9" s="1"/>
  <c r="ESM10" i="9" s="1"/>
  <c r="ESO10" i="9" s="1"/>
  <c r="ESQ10" i="9" s="1"/>
  <c r="ESS10" i="9" s="1"/>
  <c r="ESU10" i="9" s="1"/>
  <c r="ESW10" i="9" s="1"/>
  <c r="ESY10" i="9" s="1"/>
  <c r="ETA10" i="9" s="1"/>
  <c r="ETC10" i="9" s="1"/>
  <c r="ETE10" i="9" s="1"/>
  <c r="ETG10" i="9" s="1"/>
  <c r="ETI10" i="9" s="1"/>
  <c r="ETK10" i="9" s="1"/>
  <c r="ETM10" i="9" s="1"/>
  <c r="ETO10" i="9" s="1"/>
  <c r="ETQ10" i="9" s="1"/>
  <c r="ETS10" i="9" s="1"/>
  <c r="ETU10" i="9" s="1"/>
  <c r="ETW10" i="9" s="1"/>
  <c r="ETY10" i="9" s="1"/>
  <c r="EUA10" i="9" s="1"/>
  <c r="EUC10" i="9" s="1"/>
  <c r="EUE10" i="9" s="1"/>
  <c r="EUG10" i="9" s="1"/>
  <c r="EUI10" i="9" s="1"/>
  <c r="EUK10" i="9" s="1"/>
  <c r="EUM10" i="9" s="1"/>
  <c r="EUO10" i="9" s="1"/>
  <c r="EUQ10" i="9" s="1"/>
  <c r="EUS10" i="9" s="1"/>
  <c r="EUU10" i="9" s="1"/>
  <c r="EUW10" i="9" s="1"/>
  <c r="EUY10" i="9" s="1"/>
  <c r="EVA10" i="9" s="1"/>
  <c r="EVC10" i="9" s="1"/>
  <c r="EVE10" i="9" s="1"/>
  <c r="EVG10" i="9" s="1"/>
  <c r="EVI10" i="9" s="1"/>
  <c r="EVK10" i="9" s="1"/>
  <c r="EVM10" i="9" s="1"/>
  <c r="EVO10" i="9" s="1"/>
  <c r="EVQ10" i="9" s="1"/>
  <c r="EVS10" i="9" s="1"/>
  <c r="EVU10" i="9" s="1"/>
  <c r="EVW10" i="9" s="1"/>
  <c r="EVY10" i="9" s="1"/>
  <c r="EWA10" i="9" s="1"/>
  <c r="EWC10" i="9" s="1"/>
  <c r="EWE10" i="9" s="1"/>
  <c r="EWG10" i="9" s="1"/>
  <c r="EWI10" i="9" s="1"/>
  <c r="EWK10" i="9" s="1"/>
  <c r="EWM10" i="9" s="1"/>
  <c r="EWO10" i="9" s="1"/>
  <c r="EWQ10" i="9" s="1"/>
  <c r="EWS10" i="9" s="1"/>
  <c r="EWU10" i="9" s="1"/>
  <c r="EWW10" i="9" s="1"/>
  <c r="EWY10" i="9" s="1"/>
  <c r="EXA10" i="9" s="1"/>
  <c r="EXC10" i="9" s="1"/>
  <c r="EXE10" i="9" s="1"/>
  <c r="EXG10" i="9" s="1"/>
  <c r="EXI10" i="9" s="1"/>
  <c r="EXK10" i="9" s="1"/>
  <c r="EXM10" i="9" s="1"/>
  <c r="EXO10" i="9" s="1"/>
  <c r="EXQ10" i="9" s="1"/>
  <c r="EXS10" i="9" s="1"/>
  <c r="EXU10" i="9" s="1"/>
  <c r="EXW10" i="9" s="1"/>
  <c r="EXY10" i="9" s="1"/>
  <c r="EYA10" i="9" s="1"/>
  <c r="EYC10" i="9" s="1"/>
  <c r="EYE10" i="9" s="1"/>
  <c r="EYG10" i="9" s="1"/>
  <c r="EYI10" i="9" s="1"/>
  <c r="EYK10" i="9" s="1"/>
  <c r="EYM10" i="9" s="1"/>
  <c r="EYO10" i="9" s="1"/>
  <c r="EYQ10" i="9" s="1"/>
  <c r="EYS10" i="9" s="1"/>
  <c r="EYU10" i="9" s="1"/>
  <c r="EYW10" i="9" s="1"/>
  <c r="EYY10" i="9" s="1"/>
  <c r="EZA10" i="9" s="1"/>
  <c r="EZC10" i="9" s="1"/>
  <c r="EZE10" i="9" s="1"/>
  <c r="EZG10" i="9" s="1"/>
  <c r="EZI10" i="9" s="1"/>
  <c r="EZK10" i="9" s="1"/>
  <c r="EZM10" i="9" s="1"/>
  <c r="EZO10" i="9" s="1"/>
  <c r="EZQ10" i="9" s="1"/>
  <c r="EZS10" i="9" s="1"/>
  <c r="EZU10" i="9" s="1"/>
  <c r="EZW10" i="9" s="1"/>
  <c r="EZY10" i="9" s="1"/>
  <c r="FAA10" i="9" s="1"/>
  <c r="FAC10" i="9" s="1"/>
  <c r="FAE10" i="9" s="1"/>
  <c r="FAG10" i="9" s="1"/>
  <c r="FAI10" i="9" s="1"/>
  <c r="FAK10" i="9" s="1"/>
  <c r="FAM10" i="9" s="1"/>
  <c r="FAO10" i="9" s="1"/>
  <c r="FAQ10" i="9" s="1"/>
  <c r="FAS10" i="9" s="1"/>
  <c r="FAU10" i="9" s="1"/>
  <c r="FAW10" i="9" s="1"/>
  <c r="FAY10" i="9" s="1"/>
  <c r="FBA10" i="9" s="1"/>
  <c r="FBC10" i="9" s="1"/>
  <c r="FBE10" i="9" s="1"/>
  <c r="FBG10" i="9" s="1"/>
  <c r="FBI10" i="9" s="1"/>
  <c r="FBK10" i="9" s="1"/>
  <c r="FBM10" i="9" s="1"/>
  <c r="FBO10" i="9" s="1"/>
  <c r="FBQ10" i="9" s="1"/>
  <c r="FBS10" i="9" s="1"/>
  <c r="FBU10" i="9" s="1"/>
  <c r="FBW10" i="9" s="1"/>
  <c r="FBY10" i="9" s="1"/>
  <c r="FCA10" i="9" s="1"/>
  <c r="FCC10" i="9" s="1"/>
  <c r="FCE10" i="9" s="1"/>
  <c r="FCG10" i="9" s="1"/>
  <c r="FCI10" i="9" s="1"/>
  <c r="FCK10" i="9" s="1"/>
  <c r="FCM10" i="9" s="1"/>
  <c r="FCO10" i="9" s="1"/>
  <c r="FCQ10" i="9" s="1"/>
  <c r="FCS10" i="9" s="1"/>
  <c r="FCU10" i="9" s="1"/>
  <c r="FCW10" i="9" s="1"/>
  <c r="FCY10" i="9" s="1"/>
  <c r="FDA10" i="9" s="1"/>
  <c r="FDC10" i="9" s="1"/>
  <c r="FDE10" i="9" s="1"/>
  <c r="FDG10" i="9" s="1"/>
  <c r="FDI10" i="9" s="1"/>
  <c r="FDK10" i="9" s="1"/>
  <c r="FDM10" i="9" s="1"/>
  <c r="FDO10" i="9" s="1"/>
  <c r="FDQ10" i="9" s="1"/>
  <c r="FDS10" i="9" s="1"/>
  <c r="FDU10" i="9" s="1"/>
  <c r="FDW10" i="9" s="1"/>
  <c r="FDY10" i="9" s="1"/>
  <c r="FEA10" i="9" s="1"/>
  <c r="FEC10" i="9" s="1"/>
  <c r="FEE10" i="9" s="1"/>
  <c r="FEG10" i="9" s="1"/>
  <c r="FEI10" i="9" s="1"/>
  <c r="FEK10" i="9" s="1"/>
  <c r="FEM10" i="9" s="1"/>
  <c r="FEO10" i="9" s="1"/>
  <c r="FEQ10" i="9" s="1"/>
  <c r="FES10" i="9" s="1"/>
  <c r="FEU10" i="9" s="1"/>
  <c r="FEW10" i="9" s="1"/>
  <c r="FEY10" i="9" s="1"/>
  <c r="FFA10" i="9" s="1"/>
  <c r="FFC10" i="9" s="1"/>
  <c r="FFE10" i="9" s="1"/>
  <c r="FFG10" i="9" s="1"/>
  <c r="FFI10" i="9" s="1"/>
  <c r="FFK10" i="9" s="1"/>
  <c r="FFM10" i="9" s="1"/>
  <c r="FFO10" i="9" s="1"/>
  <c r="FFQ10" i="9" s="1"/>
  <c r="FFS10" i="9" s="1"/>
  <c r="FFU10" i="9" s="1"/>
  <c r="FFW10" i="9" s="1"/>
  <c r="FFY10" i="9" s="1"/>
  <c r="FGA10" i="9" s="1"/>
  <c r="FGC10" i="9" s="1"/>
  <c r="FGE10" i="9" s="1"/>
  <c r="FGG10" i="9" s="1"/>
  <c r="FGI10" i="9" s="1"/>
  <c r="FGK10" i="9" s="1"/>
  <c r="FGM10" i="9" s="1"/>
  <c r="FGO10" i="9" s="1"/>
  <c r="FGQ10" i="9" s="1"/>
  <c r="FGS10" i="9" s="1"/>
  <c r="FGU10" i="9" s="1"/>
  <c r="FGW10" i="9" s="1"/>
  <c r="FGY10" i="9" s="1"/>
  <c r="FHA10" i="9" s="1"/>
  <c r="FHC10" i="9" s="1"/>
  <c r="FHE10" i="9" s="1"/>
  <c r="FHG10" i="9" s="1"/>
  <c r="FHI10" i="9" s="1"/>
  <c r="FHK10" i="9" s="1"/>
  <c r="FHM10" i="9" s="1"/>
  <c r="FHO10" i="9" s="1"/>
  <c r="FHQ10" i="9" s="1"/>
  <c r="FHS10" i="9" s="1"/>
  <c r="FHU10" i="9" s="1"/>
  <c r="FHW10" i="9" s="1"/>
  <c r="FHY10" i="9" s="1"/>
  <c r="FIA10" i="9" s="1"/>
  <c r="FIC10" i="9" s="1"/>
  <c r="FIE10" i="9" s="1"/>
  <c r="FIG10" i="9" s="1"/>
  <c r="FII10" i="9" s="1"/>
  <c r="FIK10" i="9" s="1"/>
  <c r="FIM10" i="9" s="1"/>
  <c r="FIO10" i="9" s="1"/>
  <c r="FIQ10" i="9" s="1"/>
  <c r="FIS10" i="9" s="1"/>
  <c r="FIU10" i="9" s="1"/>
  <c r="FIW10" i="9" s="1"/>
  <c r="FIY10" i="9" s="1"/>
  <c r="FJA10" i="9" s="1"/>
  <c r="FJC10" i="9" s="1"/>
  <c r="FJE10" i="9" s="1"/>
  <c r="FJG10" i="9" s="1"/>
  <c r="FJI10" i="9" s="1"/>
  <c r="FJK10" i="9" s="1"/>
  <c r="FJM10" i="9" s="1"/>
  <c r="FJO10" i="9" s="1"/>
  <c r="FJQ10" i="9" s="1"/>
  <c r="FJS10" i="9" s="1"/>
  <c r="FJU10" i="9" s="1"/>
  <c r="FJW10" i="9" s="1"/>
  <c r="FJY10" i="9" s="1"/>
  <c r="FKA10" i="9" s="1"/>
  <c r="FKC10" i="9" s="1"/>
  <c r="FKE10" i="9" s="1"/>
  <c r="FKG10" i="9" s="1"/>
  <c r="FKI10" i="9" s="1"/>
  <c r="FKK10" i="9" s="1"/>
  <c r="FKM10" i="9" s="1"/>
  <c r="FKO10" i="9" s="1"/>
  <c r="FKQ10" i="9" s="1"/>
  <c r="FKS10" i="9" s="1"/>
  <c r="FKU10" i="9" s="1"/>
  <c r="FKW10" i="9" s="1"/>
  <c r="FKY10" i="9" s="1"/>
  <c r="FLA10" i="9" s="1"/>
  <c r="FLC10" i="9" s="1"/>
  <c r="FLE10" i="9" s="1"/>
  <c r="FLG10" i="9" s="1"/>
  <c r="FLI10" i="9" s="1"/>
  <c r="FLK10" i="9" s="1"/>
  <c r="FLM10" i="9" s="1"/>
  <c r="FLO10" i="9" s="1"/>
  <c r="FLQ10" i="9" s="1"/>
  <c r="FLS10" i="9" s="1"/>
  <c r="FLU10" i="9" s="1"/>
  <c r="FLW10" i="9" s="1"/>
  <c r="FLY10" i="9" s="1"/>
  <c r="FMA10" i="9" s="1"/>
  <c r="FMC10" i="9" s="1"/>
  <c r="FME10" i="9" s="1"/>
  <c r="FMG10" i="9" s="1"/>
  <c r="FMI10" i="9" s="1"/>
  <c r="FMK10" i="9" s="1"/>
  <c r="FMM10" i="9" s="1"/>
  <c r="FMO10" i="9" s="1"/>
  <c r="FMQ10" i="9" s="1"/>
  <c r="FMS10" i="9" s="1"/>
  <c r="FMU10" i="9" s="1"/>
  <c r="FMW10" i="9" s="1"/>
  <c r="FMY10" i="9" s="1"/>
  <c r="FNA10" i="9" s="1"/>
  <c r="FNC10" i="9" s="1"/>
  <c r="FNE10" i="9" s="1"/>
  <c r="FNG10" i="9" s="1"/>
  <c r="FNI10" i="9" s="1"/>
  <c r="FNK10" i="9" s="1"/>
  <c r="FNM10" i="9" s="1"/>
  <c r="FNO10" i="9" s="1"/>
  <c r="FNQ10" i="9" s="1"/>
  <c r="FNS10" i="9" s="1"/>
  <c r="FNU10" i="9" s="1"/>
  <c r="FNW10" i="9" s="1"/>
  <c r="FNY10" i="9" s="1"/>
  <c r="FOA10" i="9" s="1"/>
  <c r="FOC10" i="9" s="1"/>
  <c r="FOE10" i="9" s="1"/>
  <c r="FOG10" i="9" s="1"/>
  <c r="FOI10" i="9" s="1"/>
  <c r="FOK10" i="9" s="1"/>
  <c r="FOM10" i="9" s="1"/>
  <c r="FOO10" i="9" s="1"/>
  <c r="FOQ10" i="9" s="1"/>
  <c r="FOS10" i="9" s="1"/>
  <c r="FOU10" i="9" s="1"/>
  <c r="FOW10" i="9" s="1"/>
  <c r="FOY10" i="9" s="1"/>
  <c r="FPA10" i="9" s="1"/>
  <c r="FPC10" i="9" s="1"/>
  <c r="FPE10" i="9" s="1"/>
  <c r="FPG10" i="9" s="1"/>
  <c r="FPI10" i="9" s="1"/>
  <c r="FPK10" i="9" s="1"/>
  <c r="FPM10" i="9" s="1"/>
  <c r="FPO10" i="9" s="1"/>
  <c r="FPQ10" i="9" s="1"/>
  <c r="FPS10" i="9" s="1"/>
  <c r="FPU10" i="9" s="1"/>
  <c r="FPW10" i="9" s="1"/>
  <c r="FPY10" i="9" s="1"/>
  <c r="FQA10" i="9" s="1"/>
  <c r="FQC10" i="9" s="1"/>
  <c r="FQE10" i="9" s="1"/>
  <c r="FQG10" i="9" s="1"/>
  <c r="FQI10" i="9" s="1"/>
  <c r="FQK10" i="9" s="1"/>
  <c r="FQM10" i="9" s="1"/>
  <c r="FQO10" i="9" s="1"/>
  <c r="FQQ10" i="9" s="1"/>
  <c r="FQS10" i="9" s="1"/>
  <c r="FQU10" i="9" s="1"/>
  <c r="FQW10" i="9" s="1"/>
  <c r="FQY10" i="9" s="1"/>
  <c r="FRA10" i="9" s="1"/>
  <c r="FRC10" i="9" s="1"/>
  <c r="FRE10" i="9" s="1"/>
  <c r="FRG10" i="9" s="1"/>
  <c r="FRI10" i="9" s="1"/>
  <c r="FRK10" i="9" s="1"/>
  <c r="FRM10" i="9" s="1"/>
  <c r="FRO10" i="9" s="1"/>
  <c r="FRQ10" i="9" s="1"/>
  <c r="FRS10" i="9" s="1"/>
  <c r="FRU10" i="9" s="1"/>
  <c r="FRW10" i="9" s="1"/>
  <c r="FRY10" i="9" s="1"/>
  <c r="FSA10" i="9" s="1"/>
  <c r="FSC10" i="9" s="1"/>
  <c r="FSE10" i="9" s="1"/>
  <c r="FSG10" i="9" s="1"/>
  <c r="FSI10" i="9" s="1"/>
  <c r="FSK10" i="9" s="1"/>
  <c r="FSM10" i="9" s="1"/>
  <c r="FSO10" i="9" s="1"/>
  <c r="FSQ10" i="9" s="1"/>
  <c r="FSS10" i="9" s="1"/>
  <c r="FSU10" i="9" s="1"/>
  <c r="FSW10" i="9" s="1"/>
  <c r="FSY10" i="9" s="1"/>
  <c r="FTA10" i="9" s="1"/>
  <c r="FTC10" i="9" s="1"/>
  <c r="FTE10" i="9" s="1"/>
  <c r="FTG10" i="9" s="1"/>
  <c r="FTI10" i="9" s="1"/>
  <c r="FTK10" i="9" s="1"/>
  <c r="FTM10" i="9" s="1"/>
  <c r="FTO10" i="9" s="1"/>
  <c r="FTQ10" i="9" s="1"/>
  <c r="FTS10" i="9" s="1"/>
  <c r="FTU10" i="9" s="1"/>
  <c r="FTW10" i="9" s="1"/>
  <c r="FTY10" i="9" s="1"/>
  <c r="FUA10" i="9" s="1"/>
  <c r="FUC10" i="9" s="1"/>
  <c r="FUE10" i="9" s="1"/>
  <c r="FUG10" i="9" s="1"/>
  <c r="FUI10" i="9" s="1"/>
  <c r="FUK10" i="9" s="1"/>
  <c r="FUM10" i="9" s="1"/>
  <c r="FUO10" i="9" s="1"/>
  <c r="FUQ10" i="9" s="1"/>
  <c r="FUS10" i="9" s="1"/>
  <c r="FUU10" i="9" s="1"/>
  <c r="FUW10" i="9" s="1"/>
  <c r="FUY10" i="9" s="1"/>
  <c r="FVA10" i="9" s="1"/>
  <c r="FVC10" i="9" s="1"/>
  <c r="FVE10" i="9" s="1"/>
  <c r="FVG10" i="9" s="1"/>
  <c r="FVI10" i="9" s="1"/>
  <c r="FVK10" i="9" s="1"/>
  <c r="FVM10" i="9" s="1"/>
  <c r="FVO10" i="9" s="1"/>
  <c r="FVQ10" i="9" s="1"/>
  <c r="FVS10" i="9" s="1"/>
  <c r="FVU10" i="9" s="1"/>
  <c r="FVW10" i="9" s="1"/>
  <c r="FVY10" i="9" s="1"/>
  <c r="FWA10" i="9" s="1"/>
  <c r="FWC10" i="9" s="1"/>
  <c r="FWE10" i="9" s="1"/>
  <c r="FWG10" i="9" s="1"/>
  <c r="FWI10" i="9" s="1"/>
  <c r="FWK10" i="9" s="1"/>
  <c r="FWM10" i="9" s="1"/>
  <c r="FWO10" i="9" s="1"/>
  <c r="FWQ10" i="9" s="1"/>
  <c r="FWS10" i="9" s="1"/>
  <c r="FWU10" i="9" s="1"/>
  <c r="FWW10" i="9" s="1"/>
  <c r="FWY10" i="9" s="1"/>
  <c r="FXA10" i="9" s="1"/>
  <c r="FXC10" i="9" s="1"/>
  <c r="FXE10" i="9" s="1"/>
  <c r="FXG10" i="9" s="1"/>
  <c r="FXI10" i="9" s="1"/>
  <c r="FXK10" i="9" s="1"/>
  <c r="FXM10" i="9" s="1"/>
  <c r="FXO10" i="9" s="1"/>
  <c r="FXQ10" i="9" s="1"/>
  <c r="FXS10" i="9" s="1"/>
  <c r="FXU10" i="9" s="1"/>
  <c r="FXW10" i="9" s="1"/>
  <c r="FXY10" i="9" s="1"/>
  <c r="FYA10" i="9" s="1"/>
  <c r="FYC10" i="9" s="1"/>
  <c r="FYE10" i="9" s="1"/>
  <c r="FYG10" i="9" s="1"/>
  <c r="FYI10" i="9" s="1"/>
  <c r="FYK10" i="9" s="1"/>
  <c r="FYM10" i="9" s="1"/>
  <c r="FYO10" i="9" s="1"/>
  <c r="FYQ10" i="9" s="1"/>
  <c r="FYS10" i="9" s="1"/>
  <c r="FYU10" i="9" s="1"/>
  <c r="FYW10" i="9" s="1"/>
  <c r="FYY10" i="9" s="1"/>
  <c r="FZA10" i="9" s="1"/>
  <c r="FZC10" i="9" s="1"/>
  <c r="FZE10" i="9" s="1"/>
  <c r="FZG10" i="9" s="1"/>
  <c r="FZI10" i="9" s="1"/>
  <c r="FZK10" i="9" s="1"/>
  <c r="FZM10" i="9" s="1"/>
  <c r="FZO10" i="9" s="1"/>
  <c r="FZQ10" i="9" s="1"/>
  <c r="FZS10" i="9" s="1"/>
  <c r="FZU10" i="9" s="1"/>
  <c r="FZW10" i="9" s="1"/>
  <c r="FZY10" i="9" s="1"/>
  <c r="GAA10" i="9" s="1"/>
  <c r="GAC10" i="9" s="1"/>
  <c r="GAE10" i="9" s="1"/>
  <c r="GAG10" i="9" s="1"/>
  <c r="GAI10" i="9" s="1"/>
  <c r="GAK10" i="9" s="1"/>
  <c r="GAM10" i="9" s="1"/>
  <c r="GAO10" i="9" s="1"/>
  <c r="GAQ10" i="9" s="1"/>
  <c r="GAS10" i="9" s="1"/>
  <c r="GAU10" i="9" s="1"/>
  <c r="GAW10" i="9" s="1"/>
  <c r="GAY10" i="9" s="1"/>
  <c r="GBA10" i="9" s="1"/>
  <c r="GBC10" i="9" s="1"/>
  <c r="GBE10" i="9" s="1"/>
  <c r="GBG10" i="9" s="1"/>
  <c r="GBI10" i="9" s="1"/>
  <c r="GBK10" i="9" s="1"/>
  <c r="GBM10" i="9" s="1"/>
  <c r="GBO10" i="9" s="1"/>
  <c r="GBQ10" i="9" s="1"/>
  <c r="GBS10" i="9" s="1"/>
  <c r="GBU10" i="9" s="1"/>
  <c r="GBW10" i="9" s="1"/>
  <c r="GBY10" i="9" s="1"/>
  <c r="GCA10" i="9" s="1"/>
  <c r="GCC10" i="9" s="1"/>
  <c r="GCE10" i="9" s="1"/>
  <c r="GCG10" i="9" s="1"/>
  <c r="GCI10" i="9" s="1"/>
  <c r="GCK10" i="9" s="1"/>
  <c r="GCM10" i="9" s="1"/>
  <c r="GCO10" i="9" s="1"/>
  <c r="GCQ10" i="9" s="1"/>
  <c r="GCS10" i="9" s="1"/>
  <c r="GCU10" i="9" s="1"/>
  <c r="GCW10" i="9" s="1"/>
  <c r="GCY10" i="9" s="1"/>
  <c r="GDA10" i="9" s="1"/>
  <c r="GDC10" i="9" s="1"/>
  <c r="GDE10" i="9" s="1"/>
  <c r="GDG10" i="9" s="1"/>
  <c r="GDI10" i="9" s="1"/>
  <c r="GDK10" i="9" s="1"/>
  <c r="GDM10" i="9" s="1"/>
  <c r="GDO10" i="9" s="1"/>
  <c r="GDQ10" i="9" s="1"/>
  <c r="GDS10" i="9" s="1"/>
  <c r="GDU10" i="9" s="1"/>
  <c r="GDW10" i="9" s="1"/>
  <c r="GDY10" i="9" s="1"/>
  <c r="GEA10" i="9" s="1"/>
  <c r="GEC10" i="9" s="1"/>
  <c r="GEE10" i="9" s="1"/>
  <c r="GEG10" i="9" s="1"/>
  <c r="GEI10" i="9" s="1"/>
  <c r="GEK10" i="9" s="1"/>
  <c r="GEM10" i="9" s="1"/>
  <c r="GEO10" i="9" s="1"/>
  <c r="GEQ10" i="9" s="1"/>
  <c r="GES10" i="9" s="1"/>
  <c r="GEU10" i="9" s="1"/>
  <c r="GEW10" i="9" s="1"/>
  <c r="GEY10" i="9" s="1"/>
  <c r="GFA10" i="9" s="1"/>
  <c r="GFC10" i="9" s="1"/>
  <c r="GFE10" i="9" s="1"/>
  <c r="GFG10" i="9" s="1"/>
  <c r="GFI10" i="9" s="1"/>
  <c r="GFK10" i="9" s="1"/>
  <c r="GFM10" i="9" s="1"/>
  <c r="GFO10" i="9" s="1"/>
  <c r="GFQ10" i="9" s="1"/>
  <c r="GFS10" i="9" s="1"/>
  <c r="GFU10" i="9" s="1"/>
  <c r="GFW10" i="9" s="1"/>
  <c r="GFY10" i="9" s="1"/>
  <c r="GGA10" i="9" s="1"/>
  <c r="GGC10" i="9" s="1"/>
  <c r="GGE10" i="9" s="1"/>
  <c r="GGG10" i="9" s="1"/>
  <c r="GGI10" i="9" s="1"/>
  <c r="GGK10" i="9" s="1"/>
  <c r="GGM10" i="9" s="1"/>
  <c r="GGO10" i="9" s="1"/>
  <c r="GGQ10" i="9" s="1"/>
  <c r="GGS10" i="9" s="1"/>
  <c r="GGU10" i="9" s="1"/>
  <c r="GGW10" i="9" s="1"/>
  <c r="GGY10" i="9" s="1"/>
  <c r="GHA10" i="9" s="1"/>
  <c r="GHC10" i="9" s="1"/>
  <c r="GHE10" i="9" s="1"/>
  <c r="GHG10" i="9" s="1"/>
  <c r="GHI10" i="9" s="1"/>
  <c r="GHK10" i="9" s="1"/>
  <c r="GHM10" i="9" s="1"/>
  <c r="GHO10" i="9" s="1"/>
  <c r="GHQ10" i="9" s="1"/>
  <c r="GHS10" i="9" s="1"/>
  <c r="GHU10" i="9" s="1"/>
  <c r="GHW10" i="9" s="1"/>
  <c r="GHY10" i="9" s="1"/>
  <c r="GIA10" i="9" s="1"/>
  <c r="GIC10" i="9" s="1"/>
  <c r="GIE10" i="9" s="1"/>
  <c r="GIG10" i="9" s="1"/>
  <c r="GII10" i="9" s="1"/>
  <c r="GIK10" i="9" s="1"/>
  <c r="GIM10" i="9" s="1"/>
  <c r="GIO10" i="9" s="1"/>
  <c r="GIQ10" i="9" s="1"/>
  <c r="GIS10" i="9" s="1"/>
  <c r="GIU10" i="9" s="1"/>
  <c r="GIW10" i="9" s="1"/>
  <c r="GIY10" i="9" s="1"/>
  <c r="GJA10" i="9" s="1"/>
  <c r="GJC10" i="9" s="1"/>
  <c r="GJE10" i="9" s="1"/>
  <c r="GJG10" i="9" s="1"/>
  <c r="GJI10" i="9" s="1"/>
  <c r="GJK10" i="9" s="1"/>
  <c r="GJM10" i="9" s="1"/>
  <c r="GJO10" i="9" s="1"/>
  <c r="GJQ10" i="9" s="1"/>
  <c r="GJS10" i="9" s="1"/>
  <c r="GJU10" i="9" s="1"/>
  <c r="GJW10" i="9" s="1"/>
  <c r="GJY10" i="9" s="1"/>
  <c r="GKA10" i="9" s="1"/>
  <c r="GKC10" i="9" s="1"/>
  <c r="GKE10" i="9" s="1"/>
  <c r="GKG10" i="9" s="1"/>
  <c r="GKI10" i="9" s="1"/>
  <c r="GKK10" i="9" s="1"/>
  <c r="GKM10" i="9" s="1"/>
  <c r="GKO10" i="9" s="1"/>
  <c r="GKQ10" i="9" s="1"/>
  <c r="GKS10" i="9" s="1"/>
  <c r="GKU10" i="9" s="1"/>
  <c r="GKW10" i="9" s="1"/>
  <c r="GKY10" i="9" s="1"/>
  <c r="GLA10" i="9" s="1"/>
  <c r="GLC10" i="9" s="1"/>
  <c r="GLE10" i="9" s="1"/>
  <c r="GLG10" i="9" s="1"/>
  <c r="GLI10" i="9" s="1"/>
  <c r="GLK10" i="9" s="1"/>
  <c r="GLM10" i="9" s="1"/>
  <c r="GLO10" i="9" s="1"/>
  <c r="GLQ10" i="9" s="1"/>
  <c r="GLS10" i="9" s="1"/>
  <c r="GLU10" i="9" s="1"/>
  <c r="GLW10" i="9" s="1"/>
  <c r="GLY10" i="9" s="1"/>
  <c r="GMA10" i="9" s="1"/>
  <c r="GMC10" i="9" s="1"/>
  <c r="GME10" i="9" s="1"/>
  <c r="GMG10" i="9" s="1"/>
  <c r="GMI10" i="9" s="1"/>
  <c r="GMK10" i="9" s="1"/>
  <c r="GMM10" i="9" s="1"/>
  <c r="GMO10" i="9" s="1"/>
  <c r="GMQ10" i="9" s="1"/>
  <c r="GMS10" i="9" s="1"/>
  <c r="GMU10" i="9" s="1"/>
  <c r="GMW10" i="9" s="1"/>
  <c r="GMY10" i="9" s="1"/>
  <c r="GNA10" i="9" s="1"/>
  <c r="GNC10" i="9" s="1"/>
  <c r="GNE10" i="9" s="1"/>
  <c r="GNG10" i="9" s="1"/>
  <c r="GNI10" i="9" s="1"/>
  <c r="GNK10" i="9" s="1"/>
  <c r="GNM10" i="9" s="1"/>
  <c r="GNO10" i="9" s="1"/>
  <c r="GNQ10" i="9" s="1"/>
  <c r="GNS10" i="9" s="1"/>
  <c r="GNU10" i="9" s="1"/>
  <c r="GNW10" i="9" s="1"/>
  <c r="GNY10" i="9" s="1"/>
  <c r="GOA10" i="9" s="1"/>
  <c r="GOC10" i="9" s="1"/>
  <c r="GOE10" i="9" s="1"/>
  <c r="GOG10" i="9" s="1"/>
  <c r="GOI10" i="9" s="1"/>
  <c r="GOK10" i="9" s="1"/>
  <c r="GOM10" i="9" s="1"/>
  <c r="GOO10" i="9" s="1"/>
  <c r="GOQ10" i="9" s="1"/>
  <c r="GOS10" i="9" s="1"/>
  <c r="GOU10" i="9" s="1"/>
  <c r="GOW10" i="9" s="1"/>
  <c r="GOY10" i="9" s="1"/>
  <c r="GPA10" i="9" s="1"/>
  <c r="GPC10" i="9" s="1"/>
  <c r="GPE10" i="9" s="1"/>
  <c r="GPG10" i="9" s="1"/>
  <c r="GPI10" i="9" s="1"/>
  <c r="GPK10" i="9" s="1"/>
  <c r="GPM10" i="9" s="1"/>
  <c r="GPO10" i="9" s="1"/>
  <c r="GPQ10" i="9" s="1"/>
  <c r="GPS10" i="9" s="1"/>
  <c r="GPU10" i="9" s="1"/>
  <c r="GPW10" i="9" s="1"/>
  <c r="GPY10" i="9" s="1"/>
  <c r="GQA10" i="9" s="1"/>
  <c r="GQC10" i="9" s="1"/>
  <c r="GQE10" i="9" s="1"/>
  <c r="GQG10" i="9" s="1"/>
  <c r="GQI10" i="9" s="1"/>
  <c r="GQK10" i="9" s="1"/>
  <c r="GQM10" i="9" s="1"/>
  <c r="GQO10" i="9" s="1"/>
  <c r="GQQ10" i="9" s="1"/>
  <c r="GQS10" i="9" s="1"/>
  <c r="GQU10" i="9" s="1"/>
  <c r="GQW10" i="9" s="1"/>
  <c r="GQY10" i="9" s="1"/>
  <c r="GRA10" i="9" s="1"/>
  <c r="GRC10" i="9" s="1"/>
  <c r="GRE10" i="9" s="1"/>
  <c r="GRG10" i="9" s="1"/>
  <c r="GRI10" i="9" s="1"/>
  <c r="GRK10" i="9" s="1"/>
  <c r="GRM10" i="9" s="1"/>
  <c r="GRO10" i="9" s="1"/>
  <c r="GRQ10" i="9" s="1"/>
  <c r="GRS10" i="9" s="1"/>
  <c r="GRU10" i="9" s="1"/>
  <c r="GRW10" i="9" s="1"/>
  <c r="GRY10" i="9" s="1"/>
  <c r="GSA10" i="9" s="1"/>
  <c r="GSC10" i="9" s="1"/>
  <c r="GSE10" i="9" s="1"/>
  <c r="GSG10" i="9" s="1"/>
  <c r="GSI10" i="9" s="1"/>
  <c r="GSK10" i="9" s="1"/>
  <c r="GSM10" i="9" s="1"/>
  <c r="GSO10" i="9" s="1"/>
  <c r="GSQ10" i="9" s="1"/>
  <c r="GSS10" i="9" s="1"/>
  <c r="GSU10" i="9" s="1"/>
  <c r="GSW10" i="9" s="1"/>
  <c r="GSY10" i="9" s="1"/>
  <c r="GTA10" i="9" s="1"/>
  <c r="GTC10" i="9" s="1"/>
  <c r="GTE10" i="9" s="1"/>
  <c r="GTG10" i="9" s="1"/>
  <c r="GTI10" i="9" s="1"/>
  <c r="GTK10" i="9" s="1"/>
  <c r="GTM10" i="9" s="1"/>
  <c r="GTO10" i="9" s="1"/>
  <c r="GTQ10" i="9" s="1"/>
  <c r="GTS10" i="9" s="1"/>
  <c r="GTU10" i="9" s="1"/>
  <c r="GTW10" i="9" s="1"/>
  <c r="GTY10" i="9" s="1"/>
  <c r="GUA10" i="9" s="1"/>
  <c r="GUC10" i="9" s="1"/>
  <c r="GUE10" i="9" s="1"/>
  <c r="GUG10" i="9" s="1"/>
  <c r="GUI10" i="9" s="1"/>
  <c r="GUK10" i="9" s="1"/>
  <c r="GUM10" i="9" s="1"/>
  <c r="GUO10" i="9" s="1"/>
  <c r="GUQ10" i="9" s="1"/>
  <c r="GUS10" i="9" s="1"/>
  <c r="GUU10" i="9" s="1"/>
  <c r="GUW10" i="9" s="1"/>
  <c r="GUY10" i="9" s="1"/>
  <c r="GVA10" i="9" s="1"/>
  <c r="GVC10" i="9" s="1"/>
  <c r="GVE10" i="9" s="1"/>
  <c r="GVG10" i="9" s="1"/>
  <c r="GVI10" i="9" s="1"/>
  <c r="GVK10" i="9" s="1"/>
  <c r="GVM10" i="9" s="1"/>
  <c r="GVO10" i="9" s="1"/>
  <c r="GVQ10" i="9" s="1"/>
  <c r="GVS10" i="9" s="1"/>
  <c r="GVU10" i="9" s="1"/>
  <c r="GVW10" i="9" s="1"/>
  <c r="GVY10" i="9" s="1"/>
  <c r="GWA10" i="9" s="1"/>
  <c r="GWC10" i="9" s="1"/>
  <c r="GWE10" i="9" s="1"/>
  <c r="GWG10" i="9" s="1"/>
  <c r="GWI10" i="9" s="1"/>
  <c r="GWK10" i="9" s="1"/>
  <c r="GWM10" i="9" s="1"/>
  <c r="GWO10" i="9" s="1"/>
  <c r="GWQ10" i="9" s="1"/>
  <c r="GWS10" i="9" s="1"/>
  <c r="GWU10" i="9" s="1"/>
  <c r="GWW10" i="9" s="1"/>
  <c r="GWY10" i="9" s="1"/>
  <c r="GXA10" i="9" s="1"/>
  <c r="GXC10" i="9" s="1"/>
  <c r="GXE10" i="9" s="1"/>
  <c r="GXG10" i="9" s="1"/>
  <c r="GXI10" i="9" s="1"/>
  <c r="GXK10" i="9" s="1"/>
  <c r="GXM10" i="9" s="1"/>
  <c r="GXO10" i="9" s="1"/>
  <c r="GXQ10" i="9" s="1"/>
  <c r="GXS10" i="9" s="1"/>
  <c r="GXU10" i="9" s="1"/>
  <c r="GXW10" i="9" s="1"/>
  <c r="GXY10" i="9" s="1"/>
  <c r="GYA10" i="9" s="1"/>
  <c r="GYC10" i="9" s="1"/>
  <c r="GYE10" i="9" s="1"/>
  <c r="GYG10" i="9" s="1"/>
  <c r="GYI10" i="9" s="1"/>
  <c r="GYK10" i="9" s="1"/>
  <c r="GYM10" i="9" s="1"/>
  <c r="GYO10" i="9" s="1"/>
  <c r="GYQ10" i="9" s="1"/>
  <c r="GYS10" i="9" s="1"/>
  <c r="GYU10" i="9" s="1"/>
  <c r="GYW10" i="9" s="1"/>
  <c r="GYY10" i="9" s="1"/>
  <c r="GZA10" i="9" s="1"/>
  <c r="GZC10" i="9" s="1"/>
  <c r="GZE10" i="9" s="1"/>
  <c r="GZG10" i="9" s="1"/>
  <c r="GZI10" i="9" s="1"/>
  <c r="GZK10" i="9" s="1"/>
  <c r="GZM10" i="9" s="1"/>
  <c r="GZO10" i="9" s="1"/>
  <c r="GZQ10" i="9" s="1"/>
  <c r="GZS10" i="9" s="1"/>
  <c r="GZU10" i="9" s="1"/>
  <c r="GZW10" i="9" s="1"/>
  <c r="GZY10" i="9" s="1"/>
  <c r="HAA10" i="9" s="1"/>
  <c r="HAC10" i="9" s="1"/>
  <c r="HAE10" i="9" s="1"/>
  <c r="HAG10" i="9" s="1"/>
  <c r="HAI10" i="9" s="1"/>
  <c r="HAK10" i="9" s="1"/>
  <c r="HAM10" i="9" s="1"/>
  <c r="HAO10" i="9" s="1"/>
  <c r="HAQ10" i="9" s="1"/>
  <c r="HAS10" i="9" s="1"/>
  <c r="HAU10" i="9" s="1"/>
  <c r="HAW10" i="9" s="1"/>
  <c r="HAY10" i="9" s="1"/>
  <c r="HBA10" i="9" s="1"/>
  <c r="HBC10" i="9" s="1"/>
  <c r="HBE10" i="9" s="1"/>
  <c r="HBG10" i="9" s="1"/>
  <c r="HBI10" i="9" s="1"/>
  <c r="HBK10" i="9" s="1"/>
  <c r="HBM10" i="9" s="1"/>
  <c r="HBO10" i="9" s="1"/>
  <c r="HBQ10" i="9" s="1"/>
  <c r="HBS10" i="9" s="1"/>
  <c r="HBU10" i="9" s="1"/>
  <c r="HBW10" i="9" s="1"/>
  <c r="HBY10" i="9" s="1"/>
  <c r="HCA10" i="9" s="1"/>
  <c r="HCC10" i="9" s="1"/>
  <c r="HCE10" i="9" s="1"/>
  <c r="HCG10" i="9" s="1"/>
  <c r="HCI10" i="9" s="1"/>
  <c r="HCK10" i="9" s="1"/>
  <c r="HCM10" i="9" s="1"/>
  <c r="HCO10" i="9" s="1"/>
  <c r="HCQ10" i="9" s="1"/>
  <c r="HCS10" i="9" s="1"/>
  <c r="HCU10" i="9" s="1"/>
  <c r="HCW10" i="9" s="1"/>
  <c r="HCY10" i="9" s="1"/>
  <c r="HDA10" i="9" s="1"/>
  <c r="HDC10" i="9" s="1"/>
  <c r="HDE10" i="9" s="1"/>
  <c r="HDG10" i="9" s="1"/>
  <c r="HDI10" i="9" s="1"/>
  <c r="HDK10" i="9" s="1"/>
  <c r="HDM10" i="9" s="1"/>
  <c r="HDO10" i="9" s="1"/>
  <c r="HDQ10" i="9" s="1"/>
  <c r="HDS10" i="9" s="1"/>
  <c r="HDU10" i="9" s="1"/>
  <c r="HDW10" i="9" s="1"/>
  <c r="HDY10" i="9" s="1"/>
  <c r="HEA10" i="9" s="1"/>
  <c r="HEC10" i="9" s="1"/>
  <c r="HEE10" i="9" s="1"/>
  <c r="HEG10" i="9" s="1"/>
  <c r="HEI10" i="9" s="1"/>
  <c r="HEK10" i="9" s="1"/>
  <c r="HEM10" i="9" s="1"/>
  <c r="HEO10" i="9" s="1"/>
  <c r="HEQ10" i="9" s="1"/>
  <c r="HES10" i="9" s="1"/>
  <c r="HEU10" i="9" s="1"/>
  <c r="HEW10" i="9" s="1"/>
  <c r="HEY10" i="9" s="1"/>
  <c r="HFA10" i="9" s="1"/>
  <c r="HFC10" i="9" s="1"/>
  <c r="HFE10" i="9" s="1"/>
  <c r="HFG10" i="9" s="1"/>
  <c r="HFI10" i="9" s="1"/>
  <c r="HFK10" i="9" s="1"/>
  <c r="HFM10" i="9" s="1"/>
  <c r="HFO10" i="9" s="1"/>
  <c r="HFQ10" i="9" s="1"/>
  <c r="HFS10" i="9" s="1"/>
  <c r="HFU10" i="9" s="1"/>
  <c r="HFW10" i="9" s="1"/>
  <c r="HFY10" i="9" s="1"/>
  <c r="HGA10" i="9" s="1"/>
  <c r="HGC10" i="9" s="1"/>
  <c r="HGE10" i="9" s="1"/>
  <c r="HGG10" i="9" s="1"/>
  <c r="HGI10" i="9" s="1"/>
  <c r="HGK10" i="9" s="1"/>
  <c r="HGM10" i="9" s="1"/>
  <c r="HGO10" i="9" s="1"/>
  <c r="HGQ10" i="9" s="1"/>
  <c r="HGS10" i="9" s="1"/>
  <c r="HGU10" i="9" s="1"/>
  <c r="HGW10" i="9" s="1"/>
  <c r="HGY10" i="9" s="1"/>
  <c r="HHA10" i="9" s="1"/>
  <c r="HHC10" i="9" s="1"/>
  <c r="HHE10" i="9" s="1"/>
  <c r="HHG10" i="9" s="1"/>
  <c r="HHI10" i="9" s="1"/>
  <c r="HHK10" i="9" s="1"/>
  <c r="HHM10" i="9" s="1"/>
  <c r="HHO10" i="9" s="1"/>
  <c r="HHQ10" i="9" s="1"/>
  <c r="HHS10" i="9" s="1"/>
  <c r="HHU10" i="9" s="1"/>
  <c r="HHW10" i="9" s="1"/>
  <c r="HHY10" i="9" s="1"/>
  <c r="HIA10" i="9" s="1"/>
  <c r="HIC10" i="9" s="1"/>
  <c r="HIE10" i="9" s="1"/>
  <c r="HIG10" i="9" s="1"/>
  <c r="HII10" i="9" s="1"/>
  <c r="HIK10" i="9" s="1"/>
  <c r="HIM10" i="9" s="1"/>
  <c r="HIO10" i="9" s="1"/>
  <c r="HIQ10" i="9" s="1"/>
  <c r="HIS10" i="9" s="1"/>
  <c r="HIU10" i="9" s="1"/>
  <c r="HIW10" i="9" s="1"/>
  <c r="HIY10" i="9" s="1"/>
  <c r="HJA10" i="9" s="1"/>
  <c r="HJC10" i="9" s="1"/>
  <c r="HJE10" i="9" s="1"/>
  <c r="HJG10" i="9" s="1"/>
  <c r="HJI10" i="9" s="1"/>
  <c r="HJK10" i="9" s="1"/>
  <c r="HJM10" i="9" s="1"/>
  <c r="HJO10" i="9" s="1"/>
  <c r="HJQ10" i="9" s="1"/>
  <c r="HJS10" i="9" s="1"/>
  <c r="HJU10" i="9" s="1"/>
  <c r="HJW10" i="9" s="1"/>
  <c r="HJY10" i="9" s="1"/>
  <c r="HKA10" i="9" s="1"/>
  <c r="HKC10" i="9" s="1"/>
  <c r="HKE10" i="9" s="1"/>
  <c r="HKG10" i="9" s="1"/>
  <c r="HKI10" i="9" s="1"/>
  <c r="HKK10" i="9" s="1"/>
  <c r="HKM10" i="9" s="1"/>
  <c r="HKO10" i="9" s="1"/>
  <c r="HKQ10" i="9" s="1"/>
  <c r="HKS10" i="9" s="1"/>
  <c r="HKU10" i="9" s="1"/>
  <c r="HKW10" i="9" s="1"/>
  <c r="HKY10" i="9" s="1"/>
  <c r="HLA10" i="9" s="1"/>
  <c r="HLC10" i="9" s="1"/>
  <c r="HLE10" i="9" s="1"/>
  <c r="HLG10" i="9" s="1"/>
  <c r="HLI10" i="9" s="1"/>
  <c r="HLK10" i="9" s="1"/>
  <c r="HLM10" i="9" s="1"/>
  <c r="HLO10" i="9" s="1"/>
  <c r="HLQ10" i="9" s="1"/>
  <c r="HLS10" i="9" s="1"/>
  <c r="HLU10" i="9" s="1"/>
  <c r="HLW10" i="9" s="1"/>
  <c r="HLY10" i="9" s="1"/>
  <c r="HMA10" i="9" s="1"/>
  <c r="HMC10" i="9" s="1"/>
  <c r="HME10" i="9" s="1"/>
  <c r="HMG10" i="9" s="1"/>
  <c r="HMI10" i="9" s="1"/>
  <c r="HMK10" i="9" s="1"/>
  <c r="HMM10" i="9" s="1"/>
  <c r="HMO10" i="9" s="1"/>
  <c r="HMQ10" i="9" s="1"/>
  <c r="HMS10" i="9" s="1"/>
  <c r="HMU10" i="9" s="1"/>
  <c r="HMW10" i="9" s="1"/>
  <c r="HMY10" i="9" s="1"/>
  <c r="HNA10" i="9" s="1"/>
  <c r="HNC10" i="9" s="1"/>
  <c r="HNE10" i="9" s="1"/>
  <c r="HNG10" i="9" s="1"/>
  <c r="HNI10" i="9" s="1"/>
  <c r="HNK10" i="9" s="1"/>
  <c r="HNM10" i="9" s="1"/>
  <c r="HNO10" i="9" s="1"/>
  <c r="HNQ10" i="9" s="1"/>
  <c r="HNS10" i="9" s="1"/>
  <c r="HNU10" i="9" s="1"/>
  <c r="HNW10" i="9" s="1"/>
  <c r="HNY10" i="9" s="1"/>
  <c r="HOA10" i="9" s="1"/>
  <c r="HOC10" i="9" s="1"/>
  <c r="HOE10" i="9" s="1"/>
  <c r="HOG10" i="9" s="1"/>
  <c r="HOI10" i="9" s="1"/>
  <c r="HOK10" i="9" s="1"/>
  <c r="HOM10" i="9" s="1"/>
  <c r="HOO10" i="9" s="1"/>
  <c r="HOQ10" i="9" s="1"/>
  <c r="HOS10" i="9" s="1"/>
  <c r="HOU10" i="9" s="1"/>
  <c r="HOW10" i="9" s="1"/>
  <c r="HOY10" i="9" s="1"/>
  <c r="HPA10" i="9" s="1"/>
  <c r="HPC10" i="9" s="1"/>
  <c r="HPE10" i="9" s="1"/>
  <c r="HPG10" i="9" s="1"/>
  <c r="HPI10" i="9" s="1"/>
  <c r="HPK10" i="9" s="1"/>
  <c r="HPM10" i="9" s="1"/>
  <c r="HPO10" i="9" s="1"/>
  <c r="HPQ10" i="9" s="1"/>
  <c r="HPS10" i="9" s="1"/>
  <c r="HPU10" i="9" s="1"/>
  <c r="HPW10" i="9" s="1"/>
  <c r="HPY10" i="9" s="1"/>
  <c r="HQA10" i="9" s="1"/>
  <c r="HQC10" i="9" s="1"/>
  <c r="HQE10" i="9" s="1"/>
  <c r="HQG10" i="9" s="1"/>
  <c r="HQI10" i="9" s="1"/>
  <c r="HQK10" i="9" s="1"/>
  <c r="HQM10" i="9" s="1"/>
  <c r="HQO10" i="9" s="1"/>
  <c r="HQQ10" i="9" s="1"/>
  <c r="HQS10" i="9" s="1"/>
  <c r="HQU10" i="9" s="1"/>
  <c r="HQW10" i="9" s="1"/>
  <c r="HQY10" i="9" s="1"/>
  <c r="HRA10" i="9" s="1"/>
  <c r="HRC10" i="9" s="1"/>
  <c r="HRE10" i="9" s="1"/>
  <c r="HRG10" i="9" s="1"/>
  <c r="HRI10" i="9" s="1"/>
  <c r="HRK10" i="9" s="1"/>
  <c r="HRM10" i="9" s="1"/>
  <c r="HRO10" i="9" s="1"/>
  <c r="HRQ10" i="9" s="1"/>
  <c r="HRS10" i="9" s="1"/>
  <c r="HRU10" i="9" s="1"/>
  <c r="HRW10" i="9" s="1"/>
  <c r="HRY10" i="9" s="1"/>
  <c r="HSA10" i="9" s="1"/>
  <c r="HSC10" i="9" s="1"/>
  <c r="HSE10" i="9" s="1"/>
  <c r="HSG10" i="9" s="1"/>
  <c r="HSI10" i="9" s="1"/>
  <c r="HSK10" i="9" s="1"/>
  <c r="HSM10" i="9" s="1"/>
  <c r="HSO10" i="9" s="1"/>
  <c r="HSQ10" i="9" s="1"/>
  <c r="HSS10" i="9" s="1"/>
  <c r="HSU10" i="9" s="1"/>
  <c r="HSW10" i="9" s="1"/>
  <c r="HSY10" i="9" s="1"/>
  <c r="HTA10" i="9" s="1"/>
  <c r="HTC10" i="9" s="1"/>
  <c r="HTE10" i="9" s="1"/>
  <c r="HTG10" i="9" s="1"/>
  <c r="HTI10" i="9" s="1"/>
  <c r="HTK10" i="9" s="1"/>
  <c r="HTM10" i="9" s="1"/>
  <c r="HTO10" i="9" s="1"/>
  <c r="HTQ10" i="9" s="1"/>
  <c r="HTS10" i="9" s="1"/>
  <c r="HTU10" i="9" s="1"/>
  <c r="HTW10" i="9" s="1"/>
  <c r="HTY10" i="9" s="1"/>
  <c r="HUA10" i="9" s="1"/>
  <c r="HUC10" i="9" s="1"/>
  <c r="HUE10" i="9" s="1"/>
  <c r="HUG10" i="9" s="1"/>
  <c r="HUI10" i="9" s="1"/>
  <c r="HUK10" i="9" s="1"/>
  <c r="HUM10" i="9" s="1"/>
  <c r="HUO10" i="9" s="1"/>
  <c r="HUQ10" i="9" s="1"/>
  <c r="HUS10" i="9" s="1"/>
  <c r="HUU10" i="9" s="1"/>
  <c r="HUW10" i="9" s="1"/>
  <c r="HUY10" i="9" s="1"/>
  <c r="HVA10" i="9" s="1"/>
  <c r="HVC10" i="9" s="1"/>
  <c r="HVE10" i="9" s="1"/>
  <c r="HVG10" i="9" s="1"/>
  <c r="HVI10" i="9" s="1"/>
  <c r="HVK10" i="9" s="1"/>
  <c r="HVM10" i="9" s="1"/>
  <c r="HVO10" i="9" s="1"/>
  <c r="HVQ10" i="9" s="1"/>
  <c r="HVS10" i="9" s="1"/>
  <c r="HVU10" i="9" s="1"/>
  <c r="HVW10" i="9" s="1"/>
  <c r="HVY10" i="9" s="1"/>
  <c r="HWA10" i="9" s="1"/>
  <c r="HWC10" i="9" s="1"/>
  <c r="HWE10" i="9" s="1"/>
  <c r="HWG10" i="9" s="1"/>
  <c r="HWI10" i="9" s="1"/>
  <c r="HWK10" i="9" s="1"/>
  <c r="HWM10" i="9" s="1"/>
  <c r="HWO10" i="9" s="1"/>
  <c r="HWQ10" i="9" s="1"/>
  <c r="HWS10" i="9" s="1"/>
  <c r="HWU10" i="9" s="1"/>
  <c r="HWW10" i="9" s="1"/>
  <c r="HWY10" i="9" s="1"/>
  <c r="HXA10" i="9" s="1"/>
  <c r="HXC10" i="9" s="1"/>
  <c r="HXE10" i="9" s="1"/>
  <c r="HXG10" i="9" s="1"/>
  <c r="HXI10" i="9" s="1"/>
  <c r="HXK10" i="9" s="1"/>
  <c r="HXM10" i="9" s="1"/>
  <c r="HXO10" i="9" s="1"/>
  <c r="HXQ10" i="9" s="1"/>
  <c r="HXS10" i="9" s="1"/>
  <c r="HXU10" i="9" s="1"/>
  <c r="HXW10" i="9" s="1"/>
  <c r="HXY10" i="9" s="1"/>
  <c r="HYA10" i="9" s="1"/>
  <c r="HYC10" i="9" s="1"/>
  <c r="HYE10" i="9" s="1"/>
  <c r="HYG10" i="9" s="1"/>
  <c r="HYI10" i="9" s="1"/>
  <c r="HYK10" i="9" s="1"/>
  <c r="HYM10" i="9" s="1"/>
  <c r="HYO10" i="9" s="1"/>
  <c r="HYQ10" i="9" s="1"/>
  <c r="HYS10" i="9" s="1"/>
  <c r="HYU10" i="9" s="1"/>
  <c r="HYW10" i="9" s="1"/>
  <c r="HYY10" i="9" s="1"/>
  <c r="HZA10" i="9" s="1"/>
  <c r="HZC10" i="9" s="1"/>
  <c r="HZE10" i="9" s="1"/>
  <c r="HZG10" i="9" s="1"/>
  <c r="HZI10" i="9" s="1"/>
  <c r="HZK10" i="9" s="1"/>
  <c r="HZM10" i="9" s="1"/>
  <c r="HZO10" i="9" s="1"/>
  <c r="HZQ10" i="9" s="1"/>
  <c r="HZS10" i="9" s="1"/>
  <c r="HZU10" i="9" s="1"/>
  <c r="HZW10" i="9" s="1"/>
  <c r="HZY10" i="9" s="1"/>
  <c r="IAA10" i="9" s="1"/>
  <c r="IAC10" i="9" s="1"/>
  <c r="IAE10" i="9" s="1"/>
  <c r="IAG10" i="9" s="1"/>
  <c r="IAI10" i="9" s="1"/>
  <c r="IAK10" i="9" s="1"/>
  <c r="IAM10" i="9" s="1"/>
  <c r="IAO10" i="9" s="1"/>
  <c r="IAQ10" i="9" s="1"/>
  <c r="IAS10" i="9" s="1"/>
  <c r="IAU10" i="9" s="1"/>
  <c r="IAW10" i="9" s="1"/>
  <c r="IAY10" i="9" s="1"/>
  <c r="IBA10" i="9" s="1"/>
  <c r="IBC10" i="9" s="1"/>
  <c r="IBE10" i="9" s="1"/>
  <c r="IBG10" i="9" s="1"/>
  <c r="IBI10" i="9" s="1"/>
  <c r="IBK10" i="9" s="1"/>
  <c r="IBM10" i="9" s="1"/>
  <c r="IBO10" i="9" s="1"/>
  <c r="IBQ10" i="9" s="1"/>
  <c r="IBS10" i="9" s="1"/>
  <c r="IBU10" i="9" s="1"/>
  <c r="IBW10" i="9" s="1"/>
  <c r="IBY10" i="9" s="1"/>
  <c r="ICA10" i="9" s="1"/>
  <c r="ICC10" i="9" s="1"/>
  <c r="ICE10" i="9" s="1"/>
  <c r="ICG10" i="9" s="1"/>
  <c r="ICI10" i="9" s="1"/>
  <c r="ICK10" i="9" s="1"/>
  <c r="ICM10" i="9" s="1"/>
  <c r="ICO10" i="9" s="1"/>
  <c r="ICQ10" i="9" s="1"/>
  <c r="ICS10" i="9" s="1"/>
  <c r="ICU10" i="9" s="1"/>
  <c r="ICW10" i="9" s="1"/>
  <c r="ICY10" i="9" s="1"/>
  <c r="IDA10" i="9" s="1"/>
  <c r="IDC10" i="9" s="1"/>
  <c r="IDE10" i="9" s="1"/>
  <c r="IDG10" i="9" s="1"/>
  <c r="IDI10" i="9" s="1"/>
  <c r="IDK10" i="9" s="1"/>
  <c r="IDM10" i="9" s="1"/>
  <c r="IDO10" i="9" s="1"/>
  <c r="IDQ10" i="9" s="1"/>
  <c r="IDS10" i="9" s="1"/>
  <c r="IDU10" i="9" s="1"/>
  <c r="IDW10" i="9" s="1"/>
  <c r="IDY10" i="9" s="1"/>
  <c r="IEA10" i="9" s="1"/>
  <c r="IEC10" i="9" s="1"/>
  <c r="IEE10" i="9" s="1"/>
  <c r="IEG10" i="9" s="1"/>
  <c r="IEI10" i="9" s="1"/>
  <c r="IEK10" i="9" s="1"/>
  <c r="IEM10" i="9" s="1"/>
  <c r="IEO10" i="9" s="1"/>
  <c r="IEQ10" i="9" s="1"/>
  <c r="IES10" i="9" s="1"/>
  <c r="IEU10" i="9" s="1"/>
  <c r="IEW10" i="9" s="1"/>
  <c r="IEY10" i="9" s="1"/>
  <c r="IFA10" i="9" s="1"/>
  <c r="IFC10" i="9" s="1"/>
  <c r="IFE10" i="9" s="1"/>
  <c r="IFG10" i="9" s="1"/>
  <c r="IFI10" i="9" s="1"/>
  <c r="IFK10" i="9" s="1"/>
  <c r="IFM10" i="9" s="1"/>
  <c r="IFO10" i="9" s="1"/>
  <c r="IFQ10" i="9" s="1"/>
  <c r="IFS10" i="9" s="1"/>
  <c r="IFU10" i="9" s="1"/>
  <c r="IFW10" i="9" s="1"/>
  <c r="IFY10" i="9" s="1"/>
  <c r="IGA10" i="9" s="1"/>
  <c r="IGC10" i="9" s="1"/>
  <c r="IGE10" i="9" s="1"/>
  <c r="IGG10" i="9" s="1"/>
  <c r="IGI10" i="9" s="1"/>
  <c r="IGK10" i="9" s="1"/>
  <c r="IGM10" i="9" s="1"/>
  <c r="IGO10" i="9" s="1"/>
  <c r="IGQ10" i="9" s="1"/>
  <c r="IGS10" i="9" s="1"/>
  <c r="IGU10" i="9" s="1"/>
  <c r="IGW10" i="9" s="1"/>
  <c r="IGY10" i="9" s="1"/>
  <c r="IHA10" i="9" s="1"/>
  <c r="IHC10" i="9" s="1"/>
  <c r="IHE10" i="9" s="1"/>
  <c r="IHG10" i="9" s="1"/>
  <c r="IHI10" i="9" s="1"/>
  <c r="IHK10" i="9" s="1"/>
  <c r="IHM10" i="9" s="1"/>
  <c r="IHO10" i="9" s="1"/>
  <c r="IHQ10" i="9" s="1"/>
  <c r="IHS10" i="9" s="1"/>
  <c r="IHU10" i="9" s="1"/>
  <c r="IHW10" i="9" s="1"/>
  <c r="IHY10" i="9" s="1"/>
  <c r="IIA10" i="9" s="1"/>
  <c r="IIC10" i="9" s="1"/>
  <c r="IIE10" i="9" s="1"/>
  <c r="IIG10" i="9" s="1"/>
  <c r="III10" i="9" s="1"/>
  <c r="IIK10" i="9" s="1"/>
  <c r="IIM10" i="9" s="1"/>
  <c r="IIO10" i="9" s="1"/>
  <c r="IIQ10" i="9" s="1"/>
  <c r="IIS10" i="9" s="1"/>
  <c r="IIU10" i="9" s="1"/>
  <c r="IIW10" i="9" s="1"/>
  <c r="IIY10" i="9" s="1"/>
  <c r="IJA10" i="9" s="1"/>
  <c r="IJC10" i="9" s="1"/>
  <c r="IJE10" i="9" s="1"/>
  <c r="IJG10" i="9" s="1"/>
  <c r="IJI10" i="9" s="1"/>
  <c r="IJK10" i="9" s="1"/>
  <c r="IJM10" i="9" s="1"/>
  <c r="IJO10" i="9" s="1"/>
  <c r="IJQ10" i="9" s="1"/>
  <c r="IJS10" i="9" s="1"/>
  <c r="IJU10" i="9" s="1"/>
  <c r="IJW10" i="9" s="1"/>
  <c r="IJY10" i="9" s="1"/>
  <c r="IKA10" i="9" s="1"/>
  <c r="IKC10" i="9" s="1"/>
  <c r="IKE10" i="9" s="1"/>
  <c r="IKG10" i="9" s="1"/>
  <c r="IKI10" i="9" s="1"/>
  <c r="IKK10" i="9" s="1"/>
  <c r="IKM10" i="9" s="1"/>
  <c r="IKO10" i="9" s="1"/>
  <c r="IKQ10" i="9" s="1"/>
  <c r="IKS10" i="9" s="1"/>
  <c r="IKU10" i="9" s="1"/>
  <c r="IKW10" i="9" s="1"/>
  <c r="IKY10" i="9" s="1"/>
  <c r="ILA10" i="9" s="1"/>
  <c r="ILC10" i="9" s="1"/>
  <c r="ILE10" i="9" s="1"/>
  <c r="ILG10" i="9" s="1"/>
  <c r="ILI10" i="9" s="1"/>
  <c r="ILK10" i="9" s="1"/>
  <c r="ILM10" i="9" s="1"/>
  <c r="ILO10" i="9" s="1"/>
  <c r="ILQ10" i="9" s="1"/>
  <c r="ILS10" i="9" s="1"/>
  <c r="ILU10" i="9" s="1"/>
  <c r="ILW10" i="9" s="1"/>
  <c r="ILY10" i="9" s="1"/>
  <c r="IMA10" i="9" s="1"/>
  <c r="IMC10" i="9" s="1"/>
  <c r="IME10" i="9" s="1"/>
  <c r="IMG10" i="9" s="1"/>
  <c r="IMI10" i="9" s="1"/>
  <c r="IMK10" i="9" s="1"/>
  <c r="IMM10" i="9" s="1"/>
  <c r="IMO10" i="9" s="1"/>
  <c r="IMQ10" i="9" s="1"/>
  <c r="IMS10" i="9" s="1"/>
  <c r="IMU10" i="9" s="1"/>
  <c r="IMW10" i="9" s="1"/>
  <c r="IMY10" i="9" s="1"/>
  <c r="INA10" i="9" s="1"/>
  <c r="INC10" i="9" s="1"/>
  <c r="INE10" i="9" s="1"/>
  <c r="ING10" i="9" s="1"/>
  <c r="INI10" i="9" s="1"/>
  <c r="INK10" i="9" s="1"/>
  <c r="INM10" i="9" s="1"/>
  <c r="INO10" i="9" s="1"/>
  <c r="INQ10" i="9" s="1"/>
  <c r="INS10" i="9" s="1"/>
  <c r="INU10" i="9" s="1"/>
  <c r="INW10" i="9" s="1"/>
  <c r="INY10" i="9" s="1"/>
  <c r="IOA10" i="9" s="1"/>
  <c r="IOC10" i="9" s="1"/>
  <c r="IOE10" i="9" s="1"/>
  <c r="IOG10" i="9" s="1"/>
  <c r="IOI10" i="9" s="1"/>
  <c r="IOK10" i="9" s="1"/>
  <c r="IOM10" i="9" s="1"/>
  <c r="IOO10" i="9" s="1"/>
  <c r="IOQ10" i="9" s="1"/>
  <c r="IOS10" i="9" s="1"/>
  <c r="IOU10" i="9" s="1"/>
  <c r="IOW10" i="9" s="1"/>
  <c r="IOY10" i="9" s="1"/>
  <c r="IPA10" i="9" s="1"/>
  <c r="IPC10" i="9" s="1"/>
  <c r="IPE10" i="9" s="1"/>
  <c r="IPG10" i="9" s="1"/>
  <c r="IPI10" i="9" s="1"/>
  <c r="IPK10" i="9" s="1"/>
  <c r="IPM10" i="9" s="1"/>
  <c r="IPO10" i="9" s="1"/>
  <c r="IPQ10" i="9" s="1"/>
  <c r="IPS10" i="9" s="1"/>
  <c r="IPU10" i="9" s="1"/>
  <c r="IPW10" i="9" s="1"/>
  <c r="IPY10" i="9" s="1"/>
  <c r="IQA10" i="9" s="1"/>
  <c r="IQC10" i="9" s="1"/>
  <c r="IQE10" i="9" s="1"/>
  <c r="IQG10" i="9" s="1"/>
  <c r="IQI10" i="9" s="1"/>
  <c r="IQK10" i="9" s="1"/>
  <c r="IQM10" i="9" s="1"/>
  <c r="IQO10" i="9" s="1"/>
  <c r="IQQ10" i="9" s="1"/>
  <c r="IQS10" i="9" s="1"/>
  <c r="IQU10" i="9" s="1"/>
  <c r="IQW10" i="9" s="1"/>
  <c r="IQY10" i="9" s="1"/>
  <c r="IRA10" i="9" s="1"/>
  <c r="IRC10" i="9" s="1"/>
  <c r="IRE10" i="9" s="1"/>
  <c r="IRG10" i="9" s="1"/>
  <c r="IRI10" i="9" s="1"/>
  <c r="IRK10" i="9" s="1"/>
  <c r="IRM10" i="9" s="1"/>
  <c r="IRO10" i="9" s="1"/>
  <c r="IRQ10" i="9" s="1"/>
  <c r="IRS10" i="9" s="1"/>
  <c r="IRU10" i="9" s="1"/>
  <c r="IRW10" i="9" s="1"/>
  <c r="IRY10" i="9" s="1"/>
  <c r="ISA10" i="9" s="1"/>
  <c r="ISC10" i="9" s="1"/>
  <c r="ISE10" i="9" s="1"/>
  <c r="ISG10" i="9" s="1"/>
  <c r="ISI10" i="9" s="1"/>
  <c r="ISK10" i="9" s="1"/>
  <c r="ISM10" i="9" s="1"/>
  <c r="ISO10" i="9" s="1"/>
  <c r="ISQ10" i="9" s="1"/>
  <c r="ISS10" i="9" s="1"/>
  <c r="ISU10" i="9" s="1"/>
  <c r="ISW10" i="9" s="1"/>
  <c r="ISY10" i="9" s="1"/>
  <c r="ITA10" i="9" s="1"/>
  <c r="ITC10" i="9" s="1"/>
  <c r="ITE10" i="9" s="1"/>
  <c r="ITG10" i="9" s="1"/>
  <c r="ITI10" i="9" s="1"/>
  <c r="ITK10" i="9" s="1"/>
  <c r="ITM10" i="9" s="1"/>
  <c r="ITO10" i="9" s="1"/>
  <c r="ITQ10" i="9" s="1"/>
  <c r="ITS10" i="9" s="1"/>
  <c r="ITU10" i="9" s="1"/>
  <c r="ITW10" i="9" s="1"/>
  <c r="ITY10" i="9" s="1"/>
  <c r="IUA10" i="9" s="1"/>
  <c r="IUC10" i="9" s="1"/>
  <c r="IUE10" i="9" s="1"/>
  <c r="IUG10" i="9" s="1"/>
  <c r="IUI10" i="9" s="1"/>
  <c r="IUK10" i="9" s="1"/>
  <c r="IUM10" i="9" s="1"/>
  <c r="IUO10" i="9" s="1"/>
  <c r="IUQ10" i="9" s="1"/>
  <c r="IUS10" i="9" s="1"/>
  <c r="IUU10" i="9" s="1"/>
  <c r="IUW10" i="9" s="1"/>
  <c r="IUY10" i="9" s="1"/>
  <c r="IVA10" i="9" s="1"/>
  <c r="IVC10" i="9" s="1"/>
  <c r="IVE10" i="9" s="1"/>
  <c r="IVG10" i="9" s="1"/>
  <c r="IVI10" i="9" s="1"/>
  <c r="IVK10" i="9" s="1"/>
  <c r="IVM10" i="9" s="1"/>
  <c r="IVO10" i="9" s="1"/>
  <c r="IVQ10" i="9" s="1"/>
  <c r="IVS10" i="9" s="1"/>
  <c r="IVU10" i="9" s="1"/>
  <c r="IVW10" i="9" s="1"/>
  <c r="IVY10" i="9" s="1"/>
  <c r="IWA10" i="9" s="1"/>
  <c r="IWC10" i="9" s="1"/>
  <c r="IWE10" i="9" s="1"/>
  <c r="IWG10" i="9" s="1"/>
  <c r="IWI10" i="9" s="1"/>
  <c r="IWK10" i="9" s="1"/>
  <c r="IWM10" i="9" s="1"/>
  <c r="IWO10" i="9" s="1"/>
  <c r="IWQ10" i="9" s="1"/>
  <c r="IWS10" i="9" s="1"/>
  <c r="IWU10" i="9" s="1"/>
  <c r="IWW10" i="9" s="1"/>
  <c r="IWY10" i="9" s="1"/>
  <c r="IXA10" i="9" s="1"/>
  <c r="IXC10" i="9" s="1"/>
  <c r="IXE10" i="9" s="1"/>
  <c r="IXG10" i="9" s="1"/>
  <c r="IXI10" i="9" s="1"/>
  <c r="IXK10" i="9" s="1"/>
  <c r="IXM10" i="9" s="1"/>
  <c r="IXO10" i="9" s="1"/>
  <c r="IXQ10" i="9" s="1"/>
  <c r="IXS10" i="9" s="1"/>
  <c r="IXU10" i="9" s="1"/>
  <c r="IXW10" i="9" s="1"/>
  <c r="IXY10" i="9" s="1"/>
  <c r="IYA10" i="9" s="1"/>
  <c r="IYC10" i="9" s="1"/>
  <c r="IYE10" i="9" s="1"/>
  <c r="IYG10" i="9" s="1"/>
  <c r="IYI10" i="9" s="1"/>
  <c r="IYK10" i="9" s="1"/>
  <c r="IYM10" i="9" s="1"/>
  <c r="IYO10" i="9" s="1"/>
  <c r="IYQ10" i="9" s="1"/>
  <c r="IYS10" i="9" s="1"/>
  <c r="IYU10" i="9" s="1"/>
  <c r="IYW10" i="9" s="1"/>
  <c r="IYY10" i="9" s="1"/>
  <c r="IZA10" i="9" s="1"/>
  <c r="IZC10" i="9" s="1"/>
  <c r="IZE10" i="9" s="1"/>
  <c r="IZG10" i="9" s="1"/>
  <c r="IZI10" i="9" s="1"/>
  <c r="IZK10" i="9" s="1"/>
  <c r="IZM10" i="9" s="1"/>
  <c r="IZO10" i="9" s="1"/>
  <c r="IZQ10" i="9" s="1"/>
  <c r="IZS10" i="9" s="1"/>
  <c r="IZU10" i="9" s="1"/>
  <c r="IZW10" i="9" s="1"/>
  <c r="IZY10" i="9" s="1"/>
  <c r="JAA10" i="9" s="1"/>
  <c r="JAC10" i="9" s="1"/>
  <c r="JAE10" i="9" s="1"/>
  <c r="JAG10" i="9" s="1"/>
  <c r="JAI10" i="9" s="1"/>
  <c r="JAK10" i="9" s="1"/>
  <c r="JAM10" i="9" s="1"/>
  <c r="JAO10" i="9" s="1"/>
  <c r="JAQ10" i="9" s="1"/>
  <c r="JAS10" i="9" s="1"/>
  <c r="JAU10" i="9" s="1"/>
  <c r="JAW10" i="9" s="1"/>
  <c r="JAY10" i="9" s="1"/>
  <c r="JBA10" i="9" s="1"/>
  <c r="JBC10" i="9" s="1"/>
  <c r="JBE10" i="9" s="1"/>
  <c r="JBG10" i="9" s="1"/>
  <c r="JBI10" i="9" s="1"/>
  <c r="JBK10" i="9" s="1"/>
  <c r="JBM10" i="9" s="1"/>
  <c r="JBO10" i="9" s="1"/>
  <c r="JBQ10" i="9" s="1"/>
  <c r="JBS10" i="9" s="1"/>
  <c r="JBU10" i="9" s="1"/>
  <c r="JBW10" i="9" s="1"/>
  <c r="JBY10" i="9" s="1"/>
  <c r="JCA10" i="9" s="1"/>
  <c r="JCC10" i="9" s="1"/>
  <c r="JCE10" i="9" s="1"/>
  <c r="JCG10" i="9" s="1"/>
  <c r="JCI10" i="9" s="1"/>
  <c r="JCK10" i="9" s="1"/>
  <c r="JCM10" i="9" s="1"/>
  <c r="JCO10" i="9" s="1"/>
  <c r="JCQ10" i="9" s="1"/>
  <c r="JCS10" i="9" s="1"/>
  <c r="JCU10" i="9" s="1"/>
  <c r="JCW10" i="9" s="1"/>
  <c r="JCY10" i="9" s="1"/>
  <c r="JDA10" i="9" s="1"/>
  <c r="JDC10" i="9" s="1"/>
  <c r="JDE10" i="9" s="1"/>
  <c r="JDG10" i="9" s="1"/>
  <c r="JDI10" i="9" s="1"/>
  <c r="JDK10" i="9" s="1"/>
  <c r="JDM10" i="9" s="1"/>
  <c r="JDO10" i="9" s="1"/>
  <c r="JDQ10" i="9" s="1"/>
  <c r="JDS10" i="9" s="1"/>
  <c r="JDU10" i="9" s="1"/>
  <c r="JDW10" i="9" s="1"/>
  <c r="JDY10" i="9" s="1"/>
  <c r="JEA10" i="9" s="1"/>
  <c r="JEC10" i="9" s="1"/>
  <c r="JEE10" i="9" s="1"/>
  <c r="JEG10" i="9" s="1"/>
  <c r="JEI10" i="9" s="1"/>
  <c r="JEK10" i="9" s="1"/>
  <c r="JEM10" i="9" s="1"/>
  <c r="JEO10" i="9" s="1"/>
  <c r="JEQ10" i="9" s="1"/>
  <c r="JES10" i="9" s="1"/>
  <c r="JEU10" i="9" s="1"/>
  <c r="JEW10" i="9" s="1"/>
  <c r="JEY10" i="9" s="1"/>
  <c r="JFA10" i="9" s="1"/>
  <c r="JFC10" i="9" s="1"/>
  <c r="JFE10" i="9" s="1"/>
  <c r="JFG10" i="9" s="1"/>
  <c r="JFI10" i="9" s="1"/>
  <c r="JFK10" i="9" s="1"/>
  <c r="JFM10" i="9" s="1"/>
  <c r="JFO10" i="9" s="1"/>
  <c r="JFQ10" i="9" s="1"/>
  <c r="JFS10" i="9" s="1"/>
  <c r="JFU10" i="9" s="1"/>
  <c r="JFW10" i="9" s="1"/>
  <c r="JFY10" i="9" s="1"/>
  <c r="JGA10" i="9" s="1"/>
  <c r="JGC10" i="9" s="1"/>
  <c r="JGE10" i="9" s="1"/>
  <c r="JGG10" i="9" s="1"/>
  <c r="JGI10" i="9" s="1"/>
  <c r="JGK10" i="9" s="1"/>
  <c r="JGM10" i="9" s="1"/>
  <c r="JGO10" i="9" s="1"/>
  <c r="JGQ10" i="9" s="1"/>
  <c r="JGS10" i="9" s="1"/>
  <c r="JGU10" i="9" s="1"/>
  <c r="JGW10" i="9" s="1"/>
  <c r="JGY10" i="9" s="1"/>
  <c r="JHA10" i="9" s="1"/>
  <c r="JHC10" i="9" s="1"/>
  <c r="JHE10" i="9" s="1"/>
  <c r="JHG10" i="9" s="1"/>
  <c r="JHI10" i="9" s="1"/>
  <c r="JHK10" i="9" s="1"/>
  <c r="JHM10" i="9" s="1"/>
  <c r="JHO10" i="9" s="1"/>
  <c r="JHQ10" i="9" s="1"/>
  <c r="JHS10" i="9" s="1"/>
  <c r="JHU10" i="9" s="1"/>
  <c r="JHW10" i="9" s="1"/>
  <c r="JHY10" i="9" s="1"/>
  <c r="JIA10" i="9" s="1"/>
  <c r="JIC10" i="9" s="1"/>
  <c r="JIE10" i="9" s="1"/>
  <c r="JIG10" i="9" s="1"/>
  <c r="JII10" i="9" s="1"/>
  <c r="JIK10" i="9" s="1"/>
  <c r="JIM10" i="9" s="1"/>
  <c r="JIO10" i="9" s="1"/>
  <c r="JIQ10" i="9" s="1"/>
  <c r="JIS10" i="9" s="1"/>
  <c r="JIU10" i="9" s="1"/>
  <c r="JIW10" i="9" s="1"/>
  <c r="JIY10" i="9" s="1"/>
  <c r="JJA10" i="9" s="1"/>
  <c r="JJC10" i="9" s="1"/>
  <c r="JJE10" i="9" s="1"/>
  <c r="JJG10" i="9" s="1"/>
  <c r="JJI10" i="9" s="1"/>
  <c r="JJK10" i="9" s="1"/>
  <c r="JJM10" i="9" s="1"/>
  <c r="JJO10" i="9" s="1"/>
  <c r="JJQ10" i="9" s="1"/>
  <c r="JJS10" i="9" s="1"/>
  <c r="JJU10" i="9" s="1"/>
  <c r="JJW10" i="9" s="1"/>
  <c r="JJY10" i="9" s="1"/>
  <c r="JKA10" i="9" s="1"/>
  <c r="JKC10" i="9" s="1"/>
  <c r="JKE10" i="9" s="1"/>
  <c r="JKG10" i="9" s="1"/>
  <c r="JKI10" i="9" s="1"/>
  <c r="JKK10" i="9" s="1"/>
  <c r="JKM10" i="9" s="1"/>
  <c r="JKO10" i="9" s="1"/>
  <c r="JKQ10" i="9" s="1"/>
  <c r="JKS10" i="9" s="1"/>
  <c r="JKU10" i="9" s="1"/>
  <c r="JKW10" i="9" s="1"/>
  <c r="JKY10" i="9" s="1"/>
  <c r="JLA10" i="9" s="1"/>
  <c r="JLC10" i="9" s="1"/>
  <c r="JLE10" i="9" s="1"/>
  <c r="JLG10" i="9" s="1"/>
  <c r="JLI10" i="9" s="1"/>
  <c r="JLK10" i="9" s="1"/>
  <c r="JLM10" i="9" s="1"/>
  <c r="JLO10" i="9" s="1"/>
  <c r="JLQ10" i="9" s="1"/>
  <c r="JLS10" i="9" s="1"/>
  <c r="JLU10" i="9" s="1"/>
  <c r="JLW10" i="9" s="1"/>
  <c r="JLY10" i="9" s="1"/>
  <c r="JMA10" i="9" s="1"/>
  <c r="JMC10" i="9" s="1"/>
  <c r="JME10" i="9" s="1"/>
  <c r="JMG10" i="9" s="1"/>
  <c r="JMI10" i="9" s="1"/>
  <c r="JMK10" i="9" s="1"/>
  <c r="JMM10" i="9" s="1"/>
  <c r="JMO10" i="9" s="1"/>
  <c r="JMQ10" i="9" s="1"/>
  <c r="JMS10" i="9" s="1"/>
  <c r="JMU10" i="9" s="1"/>
  <c r="JMW10" i="9" s="1"/>
  <c r="JMY10" i="9" s="1"/>
  <c r="JNA10" i="9" s="1"/>
  <c r="JNC10" i="9" s="1"/>
  <c r="JNE10" i="9" s="1"/>
  <c r="JNG10" i="9" s="1"/>
  <c r="JNI10" i="9" s="1"/>
  <c r="JNK10" i="9" s="1"/>
  <c r="JNM10" i="9" s="1"/>
  <c r="JNO10" i="9" s="1"/>
  <c r="JNQ10" i="9" s="1"/>
  <c r="JNS10" i="9" s="1"/>
  <c r="JNU10" i="9" s="1"/>
  <c r="JNW10" i="9" s="1"/>
  <c r="JNY10" i="9" s="1"/>
  <c r="JOA10" i="9" s="1"/>
  <c r="JOC10" i="9" s="1"/>
  <c r="JOE10" i="9" s="1"/>
  <c r="JOG10" i="9" s="1"/>
  <c r="JOI10" i="9" s="1"/>
  <c r="JOK10" i="9" s="1"/>
  <c r="JOM10" i="9" s="1"/>
  <c r="JOO10" i="9" s="1"/>
  <c r="JOQ10" i="9" s="1"/>
  <c r="JOS10" i="9" s="1"/>
  <c r="JOU10" i="9" s="1"/>
  <c r="JOW10" i="9" s="1"/>
  <c r="JOY10" i="9" s="1"/>
  <c r="JPA10" i="9" s="1"/>
  <c r="JPC10" i="9" s="1"/>
  <c r="JPE10" i="9" s="1"/>
  <c r="JPG10" i="9" s="1"/>
  <c r="JPI10" i="9" s="1"/>
  <c r="JPK10" i="9" s="1"/>
  <c r="JPM10" i="9" s="1"/>
  <c r="JPO10" i="9" s="1"/>
  <c r="JPQ10" i="9" s="1"/>
  <c r="JPS10" i="9" s="1"/>
  <c r="JPU10" i="9" s="1"/>
  <c r="JPW10" i="9" s="1"/>
  <c r="JPY10" i="9" s="1"/>
  <c r="JQA10" i="9" s="1"/>
  <c r="JQC10" i="9" s="1"/>
  <c r="JQE10" i="9" s="1"/>
  <c r="JQG10" i="9" s="1"/>
  <c r="JQI10" i="9" s="1"/>
  <c r="JQK10" i="9" s="1"/>
  <c r="JQM10" i="9" s="1"/>
  <c r="JQO10" i="9" s="1"/>
  <c r="JQQ10" i="9" s="1"/>
  <c r="JQS10" i="9" s="1"/>
  <c r="JQU10" i="9" s="1"/>
  <c r="JQW10" i="9" s="1"/>
  <c r="JQY10" i="9" s="1"/>
  <c r="JRA10" i="9" s="1"/>
  <c r="JRC10" i="9" s="1"/>
  <c r="JRE10" i="9" s="1"/>
  <c r="JRG10" i="9" s="1"/>
  <c r="JRI10" i="9" s="1"/>
  <c r="JRK10" i="9" s="1"/>
  <c r="JRM10" i="9" s="1"/>
  <c r="JRO10" i="9" s="1"/>
  <c r="JRQ10" i="9" s="1"/>
  <c r="JRS10" i="9" s="1"/>
  <c r="JRU10" i="9" s="1"/>
  <c r="JRW10" i="9" s="1"/>
  <c r="JRY10" i="9" s="1"/>
  <c r="JSA10" i="9" s="1"/>
  <c r="JSC10" i="9" s="1"/>
  <c r="JSE10" i="9" s="1"/>
  <c r="JSG10" i="9" s="1"/>
  <c r="JSI10" i="9" s="1"/>
  <c r="JSK10" i="9" s="1"/>
  <c r="JSM10" i="9" s="1"/>
  <c r="JSO10" i="9" s="1"/>
  <c r="JSQ10" i="9" s="1"/>
  <c r="JSS10" i="9" s="1"/>
  <c r="JSU10" i="9" s="1"/>
  <c r="JSW10" i="9" s="1"/>
  <c r="JSY10" i="9" s="1"/>
  <c r="JTA10" i="9" s="1"/>
  <c r="JTC10" i="9" s="1"/>
  <c r="JTE10" i="9" s="1"/>
  <c r="JTG10" i="9" s="1"/>
  <c r="JTI10" i="9" s="1"/>
  <c r="JTK10" i="9" s="1"/>
  <c r="JTM10" i="9" s="1"/>
  <c r="JTO10" i="9" s="1"/>
  <c r="JTQ10" i="9" s="1"/>
  <c r="JTS10" i="9" s="1"/>
  <c r="JTU10" i="9" s="1"/>
  <c r="JTW10" i="9" s="1"/>
  <c r="JTY10" i="9" s="1"/>
  <c r="JUA10" i="9" s="1"/>
  <c r="JUC10" i="9" s="1"/>
  <c r="JUE10" i="9" s="1"/>
  <c r="JUG10" i="9" s="1"/>
  <c r="JUI10" i="9" s="1"/>
  <c r="JUK10" i="9" s="1"/>
  <c r="JUM10" i="9" s="1"/>
  <c r="JUO10" i="9" s="1"/>
  <c r="JUQ10" i="9" s="1"/>
  <c r="JUS10" i="9" s="1"/>
  <c r="JUU10" i="9" s="1"/>
  <c r="JUW10" i="9" s="1"/>
  <c r="JUY10" i="9" s="1"/>
  <c r="JVA10" i="9" s="1"/>
  <c r="JVC10" i="9" s="1"/>
  <c r="JVE10" i="9" s="1"/>
  <c r="JVG10" i="9" s="1"/>
  <c r="JVI10" i="9" s="1"/>
  <c r="JVK10" i="9" s="1"/>
  <c r="JVM10" i="9" s="1"/>
  <c r="JVO10" i="9" s="1"/>
  <c r="JVQ10" i="9" s="1"/>
  <c r="JVS10" i="9" s="1"/>
  <c r="JVU10" i="9" s="1"/>
  <c r="JVW10" i="9" s="1"/>
  <c r="JVY10" i="9" s="1"/>
  <c r="JWA10" i="9" s="1"/>
  <c r="JWC10" i="9" s="1"/>
  <c r="JWE10" i="9" s="1"/>
  <c r="JWG10" i="9" s="1"/>
  <c r="JWI10" i="9" s="1"/>
  <c r="JWK10" i="9" s="1"/>
  <c r="JWM10" i="9" s="1"/>
  <c r="JWO10" i="9" s="1"/>
  <c r="JWQ10" i="9" s="1"/>
  <c r="JWS10" i="9" s="1"/>
  <c r="JWU10" i="9" s="1"/>
  <c r="JWW10" i="9" s="1"/>
  <c r="JWY10" i="9" s="1"/>
  <c r="JXA10" i="9" s="1"/>
  <c r="JXC10" i="9" s="1"/>
  <c r="JXE10" i="9" s="1"/>
  <c r="JXG10" i="9" s="1"/>
  <c r="JXI10" i="9" s="1"/>
  <c r="JXK10" i="9" s="1"/>
  <c r="JXM10" i="9" s="1"/>
  <c r="JXO10" i="9" s="1"/>
  <c r="JXQ10" i="9" s="1"/>
  <c r="JXS10" i="9" s="1"/>
  <c r="JXU10" i="9" s="1"/>
  <c r="JXW10" i="9" s="1"/>
  <c r="JXY10" i="9" s="1"/>
  <c r="JYA10" i="9" s="1"/>
  <c r="JYC10" i="9" s="1"/>
  <c r="JYE10" i="9" s="1"/>
  <c r="JYG10" i="9" s="1"/>
  <c r="JYI10" i="9" s="1"/>
  <c r="JYK10" i="9" s="1"/>
  <c r="JYM10" i="9" s="1"/>
  <c r="JYO10" i="9" s="1"/>
  <c r="JYQ10" i="9" s="1"/>
  <c r="JYS10" i="9" s="1"/>
  <c r="JYU10" i="9" s="1"/>
  <c r="JYW10" i="9" s="1"/>
  <c r="JYY10" i="9" s="1"/>
  <c r="JZA10" i="9" s="1"/>
  <c r="JZC10" i="9" s="1"/>
  <c r="JZE10" i="9" s="1"/>
  <c r="JZG10" i="9" s="1"/>
  <c r="JZI10" i="9" s="1"/>
  <c r="JZK10" i="9" s="1"/>
  <c r="JZM10" i="9" s="1"/>
  <c r="JZO10" i="9" s="1"/>
  <c r="JZQ10" i="9" s="1"/>
  <c r="JZS10" i="9" s="1"/>
  <c r="JZU10" i="9" s="1"/>
  <c r="JZW10" i="9" s="1"/>
  <c r="JZY10" i="9" s="1"/>
  <c r="KAA10" i="9" s="1"/>
  <c r="KAC10" i="9" s="1"/>
  <c r="KAE10" i="9" s="1"/>
  <c r="KAG10" i="9" s="1"/>
  <c r="KAI10" i="9" s="1"/>
  <c r="KAK10" i="9" s="1"/>
  <c r="KAM10" i="9" s="1"/>
  <c r="KAO10" i="9" s="1"/>
  <c r="KAQ10" i="9" s="1"/>
  <c r="KAS10" i="9" s="1"/>
  <c r="KAU10" i="9" s="1"/>
  <c r="KAW10" i="9" s="1"/>
  <c r="KAY10" i="9" s="1"/>
  <c r="KBA10" i="9" s="1"/>
  <c r="KBC10" i="9" s="1"/>
  <c r="KBE10" i="9" s="1"/>
  <c r="KBG10" i="9" s="1"/>
  <c r="KBI10" i="9" s="1"/>
  <c r="KBK10" i="9" s="1"/>
  <c r="KBM10" i="9" s="1"/>
  <c r="KBO10" i="9" s="1"/>
  <c r="KBQ10" i="9" s="1"/>
  <c r="KBS10" i="9" s="1"/>
  <c r="KBU10" i="9" s="1"/>
  <c r="KBW10" i="9" s="1"/>
  <c r="KBY10" i="9" s="1"/>
  <c r="KCA10" i="9" s="1"/>
  <c r="KCC10" i="9" s="1"/>
  <c r="KCE10" i="9" s="1"/>
  <c r="KCG10" i="9" s="1"/>
  <c r="KCI10" i="9" s="1"/>
  <c r="KCK10" i="9" s="1"/>
  <c r="KCM10" i="9" s="1"/>
  <c r="KCO10" i="9" s="1"/>
  <c r="KCQ10" i="9" s="1"/>
  <c r="KCS10" i="9" s="1"/>
  <c r="KCU10" i="9" s="1"/>
  <c r="KCW10" i="9" s="1"/>
  <c r="KCY10" i="9" s="1"/>
  <c r="KDA10" i="9" s="1"/>
  <c r="KDC10" i="9" s="1"/>
  <c r="KDE10" i="9" s="1"/>
  <c r="KDG10" i="9" s="1"/>
  <c r="KDI10" i="9" s="1"/>
  <c r="KDK10" i="9" s="1"/>
  <c r="KDM10" i="9" s="1"/>
  <c r="KDO10" i="9" s="1"/>
  <c r="KDQ10" i="9" s="1"/>
  <c r="KDS10" i="9" s="1"/>
  <c r="KDU10" i="9" s="1"/>
  <c r="KDW10" i="9" s="1"/>
  <c r="KDY10" i="9" s="1"/>
  <c r="KEA10" i="9" s="1"/>
  <c r="KEC10" i="9" s="1"/>
  <c r="KEE10" i="9" s="1"/>
  <c r="KEG10" i="9" s="1"/>
  <c r="KEI10" i="9" s="1"/>
  <c r="KEK10" i="9" s="1"/>
  <c r="KEM10" i="9" s="1"/>
  <c r="KEO10" i="9" s="1"/>
  <c r="KEQ10" i="9" s="1"/>
  <c r="KES10" i="9" s="1"/>
  <c r="KEU10" i="9" s="1"/>
  <c r="KEW10" i="9" s="1"/>
  <c r="KEY10" i="9" s="1"/>
  <c r="KFA10" i="9" s="1"/>
  <c r="KFC10" i="9" s="1"/>
  <c r="KFE10" i="9" s="1"/>
  <c r="KFG10" i="9" s="1"/>
  <c r="KFI10" i="9" s="1"/>
  <c r="KFK10" i="9" s="1"/>
  <c r="KFM10" i="9" s="1"/>
  <c r="KFO10" i="9" s="1"/>
  <c r="KFQ10" i="9" s="1"/>
  <c r="KFS10" i="9" s="1"/>
  <c r="KFU10" i="9" s="1"/>
  <c r="KFW10" i="9" s="1"/>
  <c r="KFY10" i="9" s="1"/>
  <c r="KGA10" i="9" s="1"/>
  <c r="KGC10" i="9" s="1"/>
  <c r="KGE10" i="9" s="1"/>
  <c r="KGG10" i="9" s="1"/>
  <c r="KGI10" i="9" s="1"/>
  <c r="KGK10" i="9" s="1"/>
  <c r="KGM10" i="9" s="1"/>
  <c r="KGO10" i="9" s="1"/>
  <c r="KGQ10" i="9" s="1"/>
  <c r="KGS10" i="9" s="1"/>
  <c r="KGU10" i="9" s="1"/>
  <c r="KGW10" i="9" s="1"/>
  <c r="KGY10" i="9" s="1"/>
  <c r="KHA10" i="9" s="1"/>
  <c r="KHC10" i="9" s="1"/>
  <c r="KHE10" i="9" s="1"/>
  <c r="KHG10" i="9" s="1"/>
  <c r="KHI10" i="9" s="1"/>
  <c r="KHK10" i="9" s="1"/>
  <c r="KHM10" i="9" s="1"/>
  <c r="KHO10" i="9" s="1"/>
  <c r="KHQ10" i="9" s="1"/>
  <c r="KHS10" i="9" s="1"/>
  <c r="KHU10" i="9" s="1"/>
  <c r="KHW10" i="9" s="1"/>
  <c r="KHY10" i="9" s="1"/>
  <c r="KIA10" i="9" s="1"/>
  <c r="KIC10" i="9" s="1"/>
  <c r="KIE10" i="9" s="1"/>
  <c r="KIG10" i="9" s="1"/>
  <c r="KII10" i="9" s="1"/>
  <c r="KIK10" i="9" s="1"/>
  <c r="KIM10" i="9" s="1"/>
  <c r="KIO10" i="9" s="1"/>
  <c r="KIQ10" i="9" s="1"/>
  <c r="KIS10" i="9" s="1"/>
  <c r="KIU10" i="9" s="1"/>
  <c r="KIW10" i="9" s="1"/>
  <c r="KIY10" i="9" s="1"/>
  <c r="KJA10" i="9" s="1"/>
  <c r="KJC10" i="9" s="1"/>
  <c r="KJE10" i="9" s="1"/>
  <c r="KJG10" i="9" s="1"/>
  <c r="KJI10" i="9" s="1"/>
  <c r="KJK10" i="9" s="1"/>
  <c r="KJM10" i="9" s="1"/>
  <c r="KJO10" i="9" s="1"/>
  <c r="KJQ10" i="9" s="1"/>
  <c r="KJS10" i="9" s="1"/>
  <c r="KJU10" i="9" s="1"/>
  <c r="KJW10" i="9" s="1"/>
  <c r="KJY10" i="9" s="1"/>
  <c r="KKA10" i="9" s="1"/>
  <c r="KKC10" i="9" s="1"/>
  <c r="KKE10" i="9" s="1"/>
  <c r="KKG10" i="9" s="1"/>
  <c r="KKI10" i="9" s="1"/>
  <c r="KKK10" i="9" s="1"/>
  <c r="KKM10" i="9" s="1"/>
  <c r="KKO10" i="9" s="1"/>
  <c r="KKQ10" i="9" s="1"/>
  <c r="KKS10" i="9" s="1"/>
  <c r="KKU10" i="9" s="1"/>
  <c r="KKW10" i="9" s="1"/>
  <c r="KKY10" i="9" s="1"/>
  <c r="KLA10" i="9" s="1"/>
  <c r="KLC10" i="9" s="1"/>
  <c r="KLE10" i="9" s="1"/>
  <c r="KLG10" i="9" s="1"/>
  <c r="KLI10" i="9" s="1"/>
  <c r="KLK10" i="9" s="1"/>
  <c r="KLM10" i="9" s="1"/>
  <c r="KLO10" i="9" s="1"/>
  <c r="KLQ10" i="9" s="1"/>
  <c r="KLS10" i="9" s="1"/>
  <c r="KLU10" i="9" s="1"/>
  <c r="KLW10" i="9" s="1"/>
  <c r="KLY10" i="9" s="1"/>
  <c r="KMA10" i="9" s="1"/>
  <c r="KMC10" i="9" s="1"/>
  <c r="KME10" i="9" s="1"/>
  <c r="KMG10" i="9" s="1"/>
  <c r="KMI10" i="9" s="1"/>
  <c r="KMK10" i="9" s="1"/>
  <c r="KMM10" i="9" s="1"/>
  <c r="KMO10" i="9" s="1"/>
  <c r="KMQ10" i="9" s="1"/>
  <c r="KMS10" i="9" s="1"/>
  <c r="KMU10" i="9" s="1"/>
  <c r="KMW10" i="9" s="1"/>
  <c r="KMY10" i="9" s="1"/>
  <c r="KNA10" i="9" s="1"/>
  <c r="KNC10" i="9" s="1"/>
  <c r="KNE10" i="9" s="1"/>
  <c r="KNG10" i="9" s="1"/>
  <c r="KNI10" i="9" s="1"/>
  <c r="KNK10" i="9" s="1"/>
  <c r="KNM10" i="9" s="1"/>
  <c r="KNO10" i="9" s="1"/>
  <c r="KNQ10" i="9" s="1"/>
  <c r="KNS10" i="9" s="1"/>
  <c r="KNU10" i="9" s="1"/>
  <c r="KNW10" i="9" s="1"/>
  <c r="KNY10" i="9" s="1"/>
  <c r="KOA10" i="9" s="1"/>
  <c r="KOC10" i="9" s="1"/>
  <c r="KOE10" i="9" s="1"/>
  <c r="KOG10" i="9" s="1"/>
  <c r="KOI10" i="9" s="1"/>
  <c r="KOK10" i="9" s="1"/>
  <c r="KOM10" i="9" s="1"/>
  <c r="KOO10" i="9" s="1"/>
  <c r="KOQ10" i="9" s="1"/>
  <c r="KOS10" i="9" s="1"/>
  <c r="KOU10" i="9" s="1"/>
  <c r="KOW10" i="9" s="1"/>
  <c r="KOY10" i="9" s="1"/>
  <c r="KPA10" i="9" s="1"/>
  <c r="KPC10" i="9" s="1"/>
  <c r="KPE10" i="9" s="1"/>
  <c r="KPG10" i="9" s="1"/>
  <c r="KPI10" i="9" s="1"/>
  <c r="KPK10" i="9" s="1"/>
  <c r="KPM10" i="9" s="1"/>
  <c r="KPO10" i="9" s="1"/>
  <c r="KPQ10" i="9" s="1"/>
  <c r="KPS10" i="9" s="1"/>
  <c r="KPU10" i="9" s="1"/>
  <c r="KPW10" i="9" s="1"/>
  <c r="KPY10" i="9" s="1"/>
  <c r="KQA10" i="9" s="1"/>
  <c r="KQC10" i="9" s="1"/>
  <c r="KQE10" i="9" s="1"/>
  <c r="KQG10" i="9" s="1"/>
  <c r="KQI10" i="9" s="1"/>
  <c r="KQK10" i="9" s="1"/>
  <c r="KQM10" i="9" s="1"/>
  <c r="KQO10" i="9" s="1"/>
  <c r="KQQ10" i="9" s="1"/>
  <c r="KQS10" i="9" s="1"/>
  <c r="KQU10" i="9" s="1"/>
  <c r="KQW10" i="9" s="1"/>
  <c r="KQY10" i="9" s="1"/>
  <c r="KRA10" i="9" s="1"/>
  <c r="KRC10" i="9" s="1"/>
  <c r="KRE10" i="9" s="1"/>
  <c r="KRG10" i="9" s="1"/>
  <c r="KRI10" i="9" s="1"/>
  <c r="KRK10" i="9" s="1"/>
  <c r="KRM10" i="9" s="1"/>
  <c r="KRO10" i="9" s="1"/>
  <c r="KRQ10" i="9" s="1"/>
  <c r="KRS10" i="9" s="1"/>
  <c r="KRU10" i="9" s="1"/>
  <c r="KRW10" i="9" s="1"/>
  <c r="KRY10" i="9" s="1"/>
  <c r="KSA10" i="9" s="1"/>
  <c r="KSC10" i="9" s="1"/>
  <c r="KSE10" i="9" s="1"/>
  <c r="KSG10" i="9" s="1"/>
  <c r="KSI10" i="9" s="1"/>
  <c r="KSK10" i="9" s="1"/>
  <c r="KSM10" i="9" s="1"/>
  <c r="KSO10" i="9" s="1"/>
  <c r="KSQ10" i="9" s="1"/>
  <c r="KSS10" i="9" s="1"/>
  <c r="KSU10" i="9" s="1"/>
  <c r="KSW10" i="9" s="1"/>
  <c r="KSY10" i="9" s="1"/>
  <c r="KTA10" i="9" s="1"/>
  <c r="KTC10" i="9" s="1"/>
  <c r="KTE10" i="9" s="1"/>
  <c r="KTG10" i="9" s="1"/>
  <c r="KTI10" i="9" s="1"/>
  <c r="KTK10" i="9" s="1"/>
  <c r="KTM10" i="9" s="1"/>
  <c r="KTO10" i="9" s="1"/>
  <c r="KTQ10" i="9" s="1"/>
  <c r="KTS10" i="9" s="1"/>
  <c r="KTU10" i="9" s="1"/>
  <c r="KTW10" i="9" s="1"/>
  <c r="KTY10" i="9" s="1"/>
  <c r="KUA10" i="9" s="1"/>
  <c r="KUC10" i="9" s="1"/>
  <c r="KUE10" i="9" s="1"/>
  <c r="KUG10" i="9" s="1"/>
  <c r="KUI10" i="9" s="1"/>
  <c r="KUK10" i="9" s="1"/>
  <c r="KUM10" i="9" s="1"/>
  <c r="KUO10" i="9" s="1"/>
  <c r="KUQ10" i="9" s="1"/>
  <c r="KUS10" i="9" s="1"/>
  <c r="KUU10" i="9" s="1"/>
  <c r="KUW10" i="9" s="1"/>
  <c r="KUY10" i="9" s="1"/>
  <c r="KVA10" i="9" s="1"/>
  <c r="KVC10" i="9" s="1"/>
  <c r="KVE10" i="9" s="1"/>
  <c r="KVG10" i="9" s="1"/>
  <c r="KVI10" i="9" s="1"/>
  <c r="KVK10" i="9" s="1"/>
  <c r="KVM10" i="9" s="1"/>
  <c r="KVO10" i="9" s="1"/>
  <c r="KVQ10" i="9" s="1"/>
  <c r="KVS10" i="9" s="1"/>
  <c r="KVU10" i="9" s="1"/>
  <c r="KVW10" i="9" s="1"/>
  <c r="KVY10" i="9" s="1"/>
  <c r="KWA10" i="9" s="1"/>
  <c r="KWC10" i="9" s="1"/>
  <c r="KWE10" i="9" s="1"/>
  <c r="KWG10" i="9" s="1"/>
  <c r="KWI10" i="9" s="1"/>
  <c r="KWK10" i="9" s="1"/>
  <c r="KWM10" i="9" s="1"/>
  <c r="KWO10" i="9" s="1"/>
  <c r="KWQ10" i="9" s="1"/>
  <c r="KWS10" i="9" s="1"/>
  <c r="KWU10" i="9" s="1"/>
  <c r="KWW10" i="9" s="1"/>
  <c r="KWY10" i="9" s="1"/>
  <c r="KXA10" i="9" s="1"/>
  <c r="KXC10" i="9" s="1"/>
  <c r="KXE10" i="9" s="1"/>
  <c r="KXG10" i="9" s="1"/>
  <c r="KXI10" i="9" s="1"/>
  <c r="KXK10" i="9" s="1"/>
  <c r="KXM10" i="9" s="1"/>
  <c r="KXO10" i="9" s="1"/>
  <c r="KXQ10" i="9" s="1"/>
  <c r="KXS10" i="9" s="1"/>
  <c r="KXU10" i="9" s="1"/>
  <c r="KXW10" i="9" s="1"/>
  <c r="KXY10" i="9" s="1"/>
  <c r="KYA10" i="9" s="1"/>
  <c r="KYC10" i="9" s="1"/>
  <c r="KYE10" i="9" s="1"/>
  <c r="KYG10" i="9" s="1"/>
  <c r="KYI10" i="9" s="1"/>
  <c r="KYK10" i="9" s="1"/>
  <c r="KYM10" i="9" s="1"/>
  <c r="KYO10" i="9" s="1"/>
  <c r="KYQ10" i="9" s="1"/>
  <c r="KYS10" i="9" s="1"/>
  <c r="KYU10" i="9" s="1"/>
  <c r="KYW10" i="9" s="1"/>
  <c r="KYY10" i="9" s="1"/>
  <c r="KZA10" i="9" s="1"/>
  <c r="KZC10" i="9" s="1"/>
  <c r="KZE10" i="9" s="1"/>
  <c r="KZG10" i="9" s="1"/>
  <c r="KZI10" i="9" s="1"/>
  <c r="KZK10" i="9" s="1"/>
  <c r="KZM10" i="9" s="1"/>
  <c r="KZO10" i="9" s="1"/>
  <c r="KZQ10" i="9" s="1"/>
  <c r="KZS10" i="9" s="1"/>
  <c r="KZU10" i="9" s="1"/>
  <c r="KZW10" i="9" s="1"/>
  <c r="KZY10" i="9" s="1"/>
  <c r="LAA10" i="9" s="1"/>
  <c r="LAC10" i="9" s="1"/>
  <c r="LAE10" i="9" s="1"/>
  <c r="LAG10" i="9" s="1"/>
  <c r="LAI10" i="9" s="1"/>
  <c r="LAK10" i="9" s="1"/>
  <c r="LAM10" i="9" s="1"/>
  <c r="LAO10" i="9" s="1"/>
  <c r="LAQ10" i="9" s="1"/>
  <c r="LAS10" i="9" s="1"/>
  <c r="LAU10" i="9" s="1"/>
  <c r="LAW10" i="9" s="1"/>
  <c r="LAY10" i="9" s="1"/>
  <c r="LBA10" i="9" s="1"/>
  <c r="LBC10" i="9" s="1"/>
  <c r="LBE10" i="9" s="1"/>
  <c r="LBG10" i="9" s="1"/>
  <c r="LBI10" i="9" s="1"/>
  <c r="LBK10" i="9" s="1"/>
  <c r="LBM10" i="9" s="1"/>
  <c r="LBO10" i="9" s="1"/>
  <c r="LBQ10" i="9" s="1"/>
  <c r="LBS10" i="9" s="1"/>
  <c r="LBU10" i="9" s="1"/>
  <c r="LBW10" i="9" s="1"/>
  <c r="LBY10" i="9" s="1"/>
  <c r="LCA10" i="9" s="1"/>
  <c r="LCC10" i="9" s="1"/>
  <c r="LCE10" i="9" s="1"/>
  <c r="LCG10" i="9" s="1"/>
  <c r="LCI10" i="9" s="1"/>
  <c r="LCK10" i="9" s="1"/>
  <c r="LCM10" i="9" s="1"/>
  <c r="LCO10" i="9" s="1"/>
  <c r="LCQ10" i="9" s="1"/>
  <c r="LCS10" i="9" s="1"/>
  <c r="LCU10" i="9" s="1"/>
  <c r="LCW10" i="9" s="1"/>
  <c r="LCY10" i="9" s="1"/>
  <c r="LDA10" i="9" s="1"/>
  <c r="LDC10" i="9" s="1"/>
  <c r="LDE10" i="9" s="1"/>
  <c r="LDG10" i="9" s="1"/>
  <c r="LDI10" i="9" s="1"/>
  <c r="LDK10" i="9" s="1"/>
  <c r="LDM10" i="9" s="1"/>
  <c r="LDO10" i="9" s="1"/>
  <c r="LDQ10" i="9" s="1"/>
  <c r="LDS10" i="9" s="1"/>
  <c r="LDU10" i="9" s="1"/>
  <c r="LDW10" i="9" s="1"/>
  <c r="LDY10" i="9" s="1"/>
  <c r="LEA10" i="9" s="1"/>
  <c r="LEC10" i="9" s="1"/>
  <c r="LEE10" i="9" s="1"/>
  <c r="LEG10" i="9" s="1"/>
  <c r="LEI10" i="9" s="1"/>
  <c r="LEK10" i="9" s="1"/>
  <c r="LEM10" i="9" s="1"/>
  <c r="LEO10" i="9" s="1"/>
  <c r="LEQ10" i="9" s="1"/>
  <c r="LES10" i="9" s="1"/>
  <c r="LEU10" i="9" s="1"/>
  <c r="LEW10" i="9" s="1"/>
  <c r="LEY10" i="9" s="1"/>
  <c r="LFA10" i="9" s="1"/>
  <c r="LFC10" i="9" s="1"/>
  <c r="LFE10" i="9" s="1"/>
  <c r="LFG10" i="9" s="1"/>
  <c r="LFI10" i="9" s="1"/>
  <c r="LFK10" i="9" s="1"/>
  <c r="LFM10" i="9" s="1"/>
  <c r="LFO10" i="9" s="1"/>
  <c r="LFQ10" i="9" s="1"/>
  <c r="LFS10" i="9" s="1"/>
  <c r="LFU10" i="9" s="1"/>
  <c r="LFW10" i="9" s="1"/>
  <c r="LFY10" i="9" s="1"/>
  <c r="LGA10" i="9" s="1"/>
  <c r="LGC10" i="9" s="1"/>
  <c r="LGE10" i="9" s="1"/>
  <c r="LGG10" i="9" s="1"/>
  <c r="LGI10" i="9" s="1"/>
  <c r="LGK10" i="9" s="1"/>
  <c r="LGM10" i="9" s="1"/>
  <c r="LGO10" i="9" s="1"/>
  <c r="LGQ10" i="9" s="1"/>
  <c r="LGS10" i="9" s="1"/>
  <c r="LGU10" i="9" s="1"/>
  <c r="LGW10" i="9" s="1"/>
  <c r="LGY10" i="9" s="1"/>
  <c r="LHA10" i="9" s="1"/>
  <c r="LHC10" i="9" s="1"/>
  <c r="LHE10" i="9" s="1"/>
  <c r="LHG10" i="9" s="1"/>
  <c r="LHI10" i="9" s="1"/>
  <c r="LHK10" i="9" s="1"/>
  <c r="LHM10" i="9" s="1"/>
  <c r="LHO10" i="9" s="1"/>
  <c r="LHQ10" i="9" s="1"/>
  <c r="LHS10" i="9" s="1"/>
  <c r="LHU10" i="9" s="1"/>
  <c r="LHW10" i="9" s="1"/>
  <c r="LHY10" i="9" s="1"/>
  <c r="LIA10" i="9" s="1"/>
  <c r="LIC10" i="9" s="1"/>
  <c r="LIE10" i="9" s="1"/>
  <c r="LIG10" i="9" s="1"/>
  <c r="LII10" i="9" s="1"/>
  <c r="LIK10" i="9" s="1"/>
  <c r="LIM10" i="9" s="1"/>
  <c r="LIO10" i="9" s="1"/>
  <c r="LIQ10" i="9" s="1"/>
  <c r="LIS10" i="9" s="1"/>
  <c r="LIU10" i="9" s="1"/>
  <c r="LIW10" i="9" s="1"/>
  <c r="LIY10" i="9" s="1"/>
  <c r="LJA10" i="9" s="1"/>
  <c r="LJC10" i="9" s="1"/>
  <c r="LJE10" i="9" s="1"/>
  <c r="LJG10" i="9" s="1"/>
  <c r="LJI10" i="9" s="1"/>
  <c r="LJK10" i="9" s="1"/>
  <c r="LJM10" i="9" s="1"/>
  <c r="LJO10" i="9" s="1"/>
  <c r="LJQ10" i="9" s="1"/>
  <c r="LJS10" i="9" s="1"/>
  <c r="LJU10" i="9" s="1"/>
  <c r="LJW10" i="9" s="1"/>
  <c r="LJY10" i="9" s="1"/>
  <c r="LKA10" i="9" s="1"/>
  <c r="LKC10" i="9" s="1"/>
  <c r="LKE10" i="9" s="1"/>
  <c r="LKG10" i="9" s="1"/>
  <c r="LKI10" i="9" s="1"/>
  <c r="LKK10" i="9" s="1"/>
  <c r="LKM10" i="9" s="1"/>
  <c r="LKO10" i="9" s="1"/>
  <c r="LKQ10" i="9" s="1"/>
  <c r="LKS10" i="9" s="1"/>
  <c r="LKU10" i="9" s="1"/>
  <c r="LKW10" i="9" s="1"/>
  <c r="LKY10" i="9" s="1"/>
  <c r="LLA10" i="9" s="1"/>
  <c r="LLC10" i="9" s="1"/>
  <c r="LLE10" i="9" s="1"/>
  <c r="LLG10" i="9" s="1"/>
  <c r="LLI10" i="9" s="1"/>
  <c r="LLK10" i="9" s="1"/>
  <c r="LLM10" i="9" s="1"/>
  <c r="LLO10" i="9" s="1"/>
  <c r="LLQ10" i="9" s="1"/>
  <c r="LLS10" i="9" s="1"/>
  <c r="LLU10" i="9" s="1"/>
  <c r="LLW10" i="9" s="1"/>
  <c r="LLY10" i="9" s="1"/>
  <c r="LMA10" i="9" s="1"/>
  <c r="LMC10" i="9" s="1"/>
  <c r="LME10" i="9" s="1"/>
  <c r="LMG10" i="9" s="1"/>
  <c r="LMI10" i="9" s="1"/>
  <c r="LMK10" i="9" s="1"/>
  <c r="LMM10" i="9" s="1"/>
  <c r="LMO10" i="9" s="1"/>
  <c r="LMQ10" i="9" s="1"/>
  <c r="LMS10" i="9" s="1"/>
  <c r="LMU10" i="9" s="1"/>
  <c r="LMW10" i="9" s="1"/>
  <c r="LMY10" i="9" s="1"/>
  <c r="LNA10" i="9" s="1"/>
  <c r="LNC10" i="9" s="1"/>
  <c r="LNE10" i="9" s="1"/>
  <c r="LNG10" i="9" s="1"/>
  <c r="LNI10" i="9" s="1"/>
  <c r="LNK10" i="9" s="1"/>
  <c r="LNM10" i="9" s="1"/>
  <c r="LNO10" i="9" s="1"/>
  <c r="LNQ10" i="9" s="1"/>
  <c r="LNS10" i="9" s="1"/>
  <c r="LNU10" i="9" s="1"/>
  <c r="LNW10" i="9" s="1"/>
  <c r="LNY10" i="9" s="1"/>
  <c r="LOA10" i="9" s="1"/>
  <c r="LOC10" i="9" s="1"/>
  <c r="LOE10" i="9" s="1"/>
  <c r="LOG10" i="9" s="1"/>
  <c r="LOI10" i="9" s="1"/>
  <c r="LOK10" i="9" s="1"/>
  <c r="LOM10" i="9" s="1"/>
  <c r="LOO10" i="9" s="1"/>
  <c r="LOQ10" i="9" s="1"/>
  <c r="LOS10" i="9" s="1"/>
  <c r="LOU10" i="9" s="1"/>
  <c r="LOW10" i="9" s="1"/>
  <c r="LOY10" i="9" s="1"/>
  <c r="LPA10" i="9" s="1"/>
  <c r="LPC10" i="9" s="1"/>
  <c r="LPE10" i="9" s="1"/>
  <c r="LPG10" i="9" s="1"/>
  <c r="LPI10" i="9" s="1"/>
  <c r="LPK10" i="9" s="1"/>
  <c r="LPM10" i="9" s="1"/>
  <c r="LPO10" i="9" s="1"/>
  <c r="LPQ10" i="9" s="1"/>
  <c r="LPS10" i="9" s="1"/>
  <c r="LPU10" i="9" s="1"/>
  <c r="LPW10" i="9" s="1"/>
  <c r="LPY10" i="9" s="1"/>
  <c r="LQA10" i="9" s="1"/>
  <c r="LQC10" i="9" s="1"/>
  <c r="LQE10" i="9" s="1"/>
  <c r="LQG10" i="9" s="1"/>
  <c r="LQI10" i="9" s="1"/>
  <c r="LQK10" i="9" s="1"/>
  <c r="LQM10" i="9" s="1"/>
  <c r="LQO10" i="9" s="1"/>
  <c r="LQQ10" i="9" s="1"/>
  <c r="LQS10" i="9" s="1"/>
  <c r="LQU10" i="9" s="1"/>
  <c r="LQW10" i="9" s="1"/>
  <c r="LQY10" i="9" s="1"/>
  <c r="LRA10" i="9" s="1"/>
  <c r="LRC10" i="9" s="1"/>
  <c r="LRE10" i="9" s="1"/>
  <c r="LRG10" i="9" s="1"/>
  <c r="LRI10" i="9" s="1"/>
  <c r="LRK10" i="9" s="1"/>
  <c r="LRM10" i="9" s="1"/>
  <c r="LRO10" i="9" s="1"/>
  <c r="LRQ10" i="9" s="1"/>
  <c r="LRS10" i="9" s="1"/>
  <c r="LRU10" i="9" s="1"/>
  <c r="LRW10" i="9" s="1"/>
  <c r="LRY10" i="9" s="1"/>
  <c r="LSA10" i="9" s="1"/>
  <c r="LSC10" i="9" s="1"/>
  <c r="LSE10" i="9" s="1"/>
  <c r="LSG10" i="9" s="1"/>
  <c r="LSI10" i="9" s="1"/>
  <c r="LSK10" i="9" s="1"/>
  <c r="LSM10" i="9" s="1"/>
  <c r="LSO10" i="9" s="1"/>
  <c r="LSQ10" i="9" s="1"/>
  <c r="LSS10" i="9" s="1"/>
  <c r="LSU10" i="9" s="1"/>
  <c r="LSW10" i="9" s="1"/>
  <c r="LSY10" i="9" s="1"/>
  <c r="LTA10" i="9" s="1"/>
  <c r="LTC10" i="9" s="1"/>
  <c r="LTE10" i="9" s="1"/>
  <c r="LTG10" i="9" s="1"/>
  <c r="LTI10" i="9" s="1"/>
  <c r="LTK10" i="9" s="1"/>
  <c r="LTM10" i="9" s="1"/>
  <c r="LTO10" i="9" s="1"/>
  <c r="LTQ10" i="9" s="1"/>
  <c r="LTS10" i="9" s="1"/>
  <c r="LTU10" i="9" s="1"/>
  <c r="LTW10" i="9" s="1"/>
  <c r="LTY10" i="9" s="1"/>
  <c r="LUA10" i="9" s="1"/>
  <c r="LUC10" i="9" s="1"/>
  <c r="LUE10" i="9" s="1"/>
  <c r="LUG10" i="9" s="1"/>
  <c r="LUI10" i="9" s="1"/>
  <c r="LUK10" i="9" s="1"/>
  <c r="LUM10" i="9" s="1"/>
  <c r="LUO10" i="9" s="1"/>
  <c r="LUQ10" i="9" s="1"/>
  <c r="LUS10" i="9" s="1"/>
  <c r="LUU10" i="9" s="1"/>
  <c r="LUW10" i="9" s="1"/>
  <c r="LUY10" i="9" s="1"/>
  <c r="LVA10" i="9" s="1"/>
  <c r="LVC10" i="9" s="1"/>
  <c r="LVE10" i="9" s="1"/>
  <c r="LVG10" i="9" s="1"/>
  <c r="LVI10" i="9" s="1"/>
  <c r="LVK10" i="9" s="1"/>
  <c r="LVM10" i="9" s="1"/>
  <c r="LVO10" i="9" s="1"/>
  <c r="LVQ10" i="9" s="1"/>
  <c r="LVS10" i="9" s="1"/>
  <c r="LVU10" i="9" s="1"/>
  <c r="LVW10" i="9" s="1"/>
  <c r="LVY10" i="9" s="1"/>
  <c r="LWA10" i="9" s="1"/>
  <c r="LWC10" i="9" s="1"/>
  <c r="LWE10" i="9" s="1"/>
  <c r="LWG10" i="9" s="1"/>
  <c r="LWI10" i="9" s="1"/>
  <c r="LWK10" i="9" s="1"/>
  <c r="LWM10" i="9" s="1"/>
  <c r="LWO10" i="9" s="1"/>
  <c r="LWQ10" i="9" s="1"/>
  <c r="LWS10" i="9" s="1"/>
  <c r="LWU10" i="9" s="1"/>
  <c r="LWW10" i="9" s="1"/>
  <c r="LWY10" i="9" s="1"/>
  <c r="LXA10" i="9" s="1"/>
  <c r="LXC10" i="9" s="1"/>
  <c r="LXE10" i="9" s="1"/>
  <c r="LXG10" i="9" s="1"/>
  <c r="LXI10" i="9" s="1"/>
  <c r="LXK10" i="9" s="1"/>
  <c r="LXM10" i="9" s="1"/>
  <c r="LXO10" i="9" s="1"/>
  <c r="LXQ10" i="9" s="1"/>
  <c r="LXS10" i="9" s="1"/>
  <c r="LXU10" i="9" s="1"/>
  <c r="LXW10" i="9" s="1"/>
  <c r="LXY10" i="9" s="1"/>
  <c r="LYA10" i="9" s="1"/>
  <c r="LYC10" i="9" s="1"/>
  <c r="LYE10" i="9" s="1"/>
  <c r="LYG10" i="9" s="1"/>
  <c r="LYI10" i="9" s="1"/>
  <c r="LYK10" i="9" s="1"/>
  <c r="LYM10" i="9" s="1"/>
  <c r="LYO10" i="9" s="1"/>
  <c r="LYQ10" i="9" s="1"/>
  <c r="LYS10" i="9" s="1"/>
  <c r="LYU10" i="9" s="1"/>
  <c r="LYW10" i="9" s="1"/>
  <c r="LYY10" i="9" s="1"/>
  <c r="LZA10" i="9" s="1"/>
  <c r="LZC10" i="9" s="1"/>
  <c r="LZE10" i="9" s="1"/>
  <c r="LZG10" i="9" s="1"/>
  <c r="LZI10" i="9" s="1"/>
  <c r="LZK10" i="9" s="1"/>
  <c r="LZM10" i="9" s="1"/>
  <c r="LZO10" i="9" s="1"/>
  <c r="LZQ10" i="9" s="1"/>
  <c r="LZS10" i="9" s="1"/>
  <c r="LZU10" i="9" s="1"/>
  <c r="LZW10" i="9" s="1"/>
  <c r="LZY10" i="9" s="1"/>
  <c r="MAA10" i="9" s="1"/>
  <c r="MAC10" i="9" s="1"/>
  <c r="MAE10" i="9" s="1"/>
  <c r="MAG10" i="9" s="1"/>
  <c r="MAI10" i="9" s="1"/>
  <c r="MAK10" i="9" s="1"/>
  <c r="MAM10" i="9" s="1"/>
  <c r="MAO10" i="9" s="1"/>
  <c r="MAQ10" i="9" s="1"/>
  <c r="MAS10" i="9" s="1"/>
  <c r="MAU10" i="9" s="1"/>
  <c r="MAW10" i="9" s="1"/>
  <c r="MAY10" i="9" s="1"/>
  <c r="MBA10" i="9" s="1"/>
  <c r="MBC10" i="9" s="1"/>
  <c r="MBE10" i="9" s="1"/>
  <c r="MBG10" i="9" s="1"/>
  <c r="MBI10" i="9" s="1"/>
  <c r="MBK10" i="9" s="1"/>
  <c r="MBM10" i="9" s="1"/>
  <c r="MBO10" i="9" s="1"/>
  <c r="MBQ10" i="9" s="1"/>
  <c r="MBS10" i="9" s="1"/>
  <c r="MBU10" i="9" s="1"/>
  <c r="MBW10" i="9" s="1"/>
  <c r="MBY10" i="9" s="1"/>
  <c r="MCA10" i="9" s="1"/>
  <c r="MCC10" i="9" s="1"/>
  <c r="MCE10" i="9" s="1"/>
  <c r="MCG10" i="9" s="1"/>
  <c r="MCI10" i="9" s="1"/>
  <c r="MCK10" i="9" s="1"/>
  <c r="MCM10" i="9" s="1"/>
  <c r="MCO10" i="9" s="1"/>
  <c r="MCQ10" i="9" s="1"/>
  <c r="MCS10" i="9" s="1"/>
  <c r="MCU10" i="9" s="1"/>
  <c r="MCW10" i="9" s="1"/>
  <c r="MCY10" i="9" s="1"/>
  <c r="MDA10" i="9" s="1"/>
  <c r="MDC10" i="9" s="1"/>
  <c r="MDE10" i="9" s="1"/>
  <c r="MDG10" i="9" s="1"/>
  <c r="MDI10" i="9" s="1"/>
  <c r="MDK10" i="9" s="1"/>
  <c r="MDM10" i="9" s="1"/>
  <c r="MDO10" i="9" s="1"/>
  <c r="MDQ10" i="9" s="1"/>
  <c r="MDS10" i="9" s="1"/>
  <c r="MDU10" i="9" s="1"/>
  <c r="MDW10" i="9" s="1"/>
  <c r="MDY10" i="9" s="1"/>
  <c r="MEA10" i="9" s="1"/>
  <c r="MEC10" i="9" s="1"/>
  <c r="MEE10" i="9" s="1"/>
  <c r="MEG10" i="9" s="1"/>
  <c r="MEI10" i="9" s="1"/>
  <c r="MEK10" i="9" s="1"/>
  <c r="MEM10" i="9" s="1"/>
  <c r="MEO10" i="9" s="1"/>
  <c r="MEQ10" i="9" s="1"/>
  <c r="MES10" i="9" s="1"/>
  <c r="MEU10" i="9" s="1"/>
  <c r="MEW10" i="9" s="1"/>
  <c r="MEY10" i="9" s="1"/>
  <c r="MFA10" i="9" s="1"/>
  <c r="MFC10" i="9" s="1"/>
  <c r="MFE10" i="9" s="1"/>
  <c r="MFG10" i="9" s="1"/>
  <c r="MFI10" i="9" s="1"/>
  <c r="MFK10" i="9" s="1"/>
  <c r="MFM10" i="9" s="1"/>
  <c r="MFO10" i="9" s="1"/>
  <c r="MFQ10" i="9" s="1"/>
  <c r="MFS10" i="9" s="1"/>
  <c r="MFU10" i="9" s="1"/>
  <c r="MFW10" i="9" s="1"/>
  <c r="MFY10" i="9" s="1"/>
  <c r="MGA10" i="9" s="1"/>
  <c r="MGC10" i="9" s="1"/>
  <c r="MGE10" i="9" s="1"/>
  <c r="MGG10" i="9" s="1"/>
  <c r="MGI10" i="9" s="1"/>
  <c r="MGK10" i="9" s="1"/>
  <c r="MGM10" i="9" s="1"/>
  <c r="MGO10" i="9" s="1"/>
  <c r="MGQ10" i="9" s="1"/>
  <c r="MGS10" i="9" s="1"/>
  <c r="MGU10" i="9" s="1"/>
  <c r="MGW10" i="9" s="1"/>
  <c r="MGY10" i="9" s="1"/>
  <c r="MHA10" i="9" s="1"/>
  <c r="MHC10" i="9" s="1"/>
  <c r="MHE10" i="9" s="1"/>
  <c r="MHG10" i="9" s="1"/>
  <c r="MHI10" i="9" s="1"/>
  <c r="MHK10" i="9" s="1"/>
  <c r="MHM10" i="9" s="1"/>
  <c r="MHO10" i="9" s="1"/>
  <c r="MHQ10" i="9" s="1"/>
  <c r="MHS10" i="9" s="1"/>
  <c r="MHU10" i="9" s="1"/>
  <c r="MHW10" i="9" s="1"/>
  <c r="MHY10" i="9" s="1"/>
  <c r="MIA10" i="9" s="1"/>
  <c r="MIC10" i="9" s="1"/>
  <c r="MIE10" i="9" s="1"/>
  <c r="MIG10" i="9" s="1"/>
  <c r="MII10" i="9" s="1"/>
  <c r="MIK10" i="9" s="1"/>
  <c r="MIM10" i="9" s="1"/>
  <c r="MIO10" i="9" s="1"/>
  <c r="MIQ10" i="9" s="1"/>
  <c r="MIS10" i="9" s="1"/>
  <c r="MIU10" i="9" s="1"/>
  <c r="MIW10" i="9" s="1"/>
  <c r="MIY10" i="9" s="1"/>
  <c r="MJA10" i="9" s="1"/>
  <c r="MJC10" i="9" s="1"/>
  <c r="MJE10" i="9" s="1"/>
  <c r="MJG10" i="9" s="1"/>
  <c r="MJI10" i="9" s="1"/>
  <c r="MJK10" i="9" s="1"/>
  <c r="MJM10" i="9" s="1"/>
  <c r="MJO10" i="9" s="1"/>
  <c r="MJQ10" i="9" s="1"/>
  <c r="MJS10" i="9" s="1"/>
  <c r="MJU10" i="9" s="1"/>
  <c r="MJW10" i="9" s="1"/>
  <c r="MJY10" i="9" s="1"/>
  <c r="MKA10" i="9" s="1"/>
  <c r="MKC10" i="9" s="1"/>
  <c r="MKE10" i="9" s="1"/>
  <c r="MKG10" i="9" s="1"/>
  <c r="MKI10" i="9" s="1"/>
  <c r="MKK10" i="9" s="1"/>
  <c r="MKM10" i="9" s="1"/>
  <c r="MKO10" i="9" s="1"/>
  <c r="MKQ10" i="9" s="1"/>
  <c r="MKS10" i="9" s="1"/>
  <c r="MKU10" i="9" s="1"/>
  <c r="MKW10" i="9" s="1"/>
  <c r="MKY10" i="9" s="1"/>
  <c r="MLA10" i="9" s="1"/>
  <c r="MLC10" i="9" s="1"/>
  <c r="MLE10" i="9" s="1"/>
  <c r="MLG10" i="9" s="1"/>
  <c r="MLI10" i="9" s="1"/>
  <c r="MLK10" i="9" s="1"/>
  <c r="MLM10" i="9" s="1"/>
  <c r="MLO10" i="9" s="1"/>
  <c r="MLQ10" i="9" s="1"/>
  <c r="MLS10" i="9" s="1"/>
  <c r="MLU10" i="9" s="1"/>
  <c r="MLW10" i="9" s="1"/>
  <c r="MLY10" i="9" s="1"/>
  <c r="MMA10" i="9" s="1"/>
  <c r="MMC10" i="9" s="1"/>
  <c r="MME10" i="9" s="1"/>
  <c r="MMG10" i="9" s="1"/>
  <c r="MMI10" i="9" s="1"/>
  <c r="MMK10" i="9" s="1"/>
  <c r="MMM10" i="9" s="1"/>
  <c r="MMO10" i="9" s="1"/>
  <c r="MMQ10" i="9" s="1"/>
  <c r="MMS10" i="9" s="1"/>
  <c r="MMU10" i="9" s="1"/>
  <c r="MMW10" i="9" s="1"/>
  <c r="MMY10" i="9" s="1"/>
  <c r="MNA10" i="9" s="1"/>
  <c r="MNC10" i="9" s="1"/>
  <c r="MNE10" i="9" s="1"/>
  <c r="MNG10" i="9" s="1"/>
  <c r="MNI10" i="9" s="1"/>
  <c r="MNK10" i="9" s="1"/>
  <c r="MNM10" i="9" s="1"/>
  <c r="MNO10" i="9" s="1"/>
  <c r="MNQ10" i="9" s="1"/>
  <c r="MNS10" i="9" s="1"/>
  <c r="MNU10" i="9" s="1"/>
  <c r="MNW10" i="9" s="1"/>
  <c r="MNY10" i="9" s="1"/>
  <c r="MOA10" i="9" s="1"/>
  <c r="MOC10" i="9" s="1"/>
  <c r="MOE10" i="9" s="1"/>
  <c r="MOG10" i="9" s="1"/>
  <c r="MOI10" i="9" s="1"/>
  <c r="MOK10" i="9" s="1"/>
  <c r="MOM10" i="9" s="1"/>
  <c r="MOO10" i="9" s="1"/>
  <c r="MOQ10" i="9" s="1"/>
  <c r="MOS10" i="9" s="1"/>
  <c r="MOU10" i="9" s="1"/>
  <c r="MOW10" i="9" s="1"/>
  <c r="MOY10" i="9" s="1"/>
  <c r="MPA10" i="9" s="1"/>
  <c r="MPC10" i="9" s="1"/>
  <c r="MPE10" i="9" s="1"/>
  <c r="MPG10" i="9" s="1"/>
  <c r="MPI10" i="9" s="1"/>
  <c r="MPK10" i="9" s="1"/>
  <c r="MPM10" i="9" s="1"/>
  <c r="MPO10" i="9" s="1"/>
  <c r="MPQ10" i="9" s="1"/>
  <c r="MPS10" i="9" s="1"/>
  <c r="MPU10" i="9" s="1"/>
  <c r="MPW10" i="9" s="1"/>
  <c r="MPY10" i="9" s="1"/>
  <c r="MQA10" i="9" s="1"/>
  <c r="MQC10" i="9" s="1"/>
  <c r="MQE10" i="9" s="1"/>
  <c r="MQG10" i="9" s="1"/>
  <c r="MQI10" i="9" s="1"/>
  <c r="MQK10" i="9" s="1"/>
  <c r="MQM10" i="9" s="1"/>
  <c r="MQO10" i="9" s="1"/>
  <c r="MQQ10" i="9" s="1"/>
  <c r="MQS10" i="9" s="1"/>
  <c r="MQU10" i="9" s="1"/>
  <c r="MQW10" i="9" s="1"/>
  <c r="MQY10" i="9" s="1"/>
  <c r="MRA10" i="9" s="1"/>
  <c r="MRC10" i="9" s="1"/>
  <c r="MRE10" i="9" s="1"/>
  <c r="MRG10" i="9" s="1"/>
  <c r="MRI10" i="9" s="1"/>
  <c r="MRK10" i="9" s="1"/>
  <c r="MRM10" i="9" s="1"/>
  <c r="MRO10" i="9" s="1"/>
  <c r="MRQ10" i="9" s="1"/>
  <c r="MRS10" i="9" s="1"/>
  <c r="MRU10" i="9" s="1"/>
  <c r="MRW10" i="9" s="1"/>
  <c r="MRY10" i="9" s="1"/>
  <c r="MSA10" i="9" s="1"/>
  <c r="MSC10" i="9" s="1"/>
  <c r="MSE10" i="9" s="1"/>
  <c r="MSG10" i="9" s="1"/>
  <c r="MSI10" i="9" s="1"/>
  <c r="MSK10" i="9" s="1"/>
  <c r="MSM10" i="9" s="1"/>
  <c r="MSO10" i="9" s="1"/>
  <c r="MSQ10" i="9" s="1"/>
  <c r="MSS10" i="9" s="1"/>
  <c r="MSU10" i="9" s="1"/>
  <c r="MSW10" i="9" s="1"/>
  <c r="MSY10" i="9" s="1"/>
  <c r="MTA10" i="9" s="1"/>
  <c r="MTC10" i="9" s="1"/>
  <c r="MTE10" i="9" s="1"/>
  <c r="MTG10" i="9" s="1"/>
  <c r="MTI10" i="9" s="1"/>
  <c r="MTK10" i="9" s="1"/>
  <c r="MTM10" i="9" s="1"/>
  <c r="MTO10" i="9" s="1"/>
  <c r="MTQ10" i="9" s="1"/>
  <c r="MTS10" i="9" s="1"/>
  <c r="MTU10" i="9" s="1"/>
  <c r="MTW10" i="9" s="1"/>
  <c r="MTY10" i="9" s="1"/>
  <c r="MUA10" i="9" s="1"/>
  <c r="MUC10" i="9" s="1"/>
  <c r="MUE10" i="9" s="1"/>
  <c r="MUG10" i="9" s="1"/>
  <c r="MUI10" i="9" s="1"/>
  <c r="MUK10" i="9" s="1"/>
  <c r="MUM10" i="9" s="1"/>
  <c r="MUO10" i="9" s="1"/>
  <c r="MUQ10" i="9" s="1"/>
  <c r="MUS10" i="9" s="1"/>
  <c r="MUU10" i="9" s="1"/>
  <c r="MUW10" i="9" s="1"/>
  <c r="MUY10" i="9" s="1"/>
  <c r="MVA10" i="9" s="1"/>
  <c r="MVC10" i="9" s="1"/>
  <c r="MVE10" i="9" s="1"/>
  <c r="MVG10" i="9" s="1"/>
  <c r="MVI10" i="9" s="1"/>
  <c r="MVK10" i="9" s="1"/>
  <c r="MVM10" i="9" s="1"/>
  <c r="MVO10" i="9" s="1"/>
  <c r="MVQ10" i="9" s="1"/>
  <c r="MVS10" i="9" s="1"/>
  <c r="MVU10" i="9" s="1"/>
  <c r="MVW10" i="9" s="1"/>
  <c r="MVY10" i="9" s="1"/>
  <c r="MWA10" i="9" s="1"/>
  <c r="MWC10" i="9" s="1"/>
  <c r="MWE10" i="9" s="1"/>
  <c r="MWG10" i="9" s="1"/>
  <c r="MWI10" i="9" s="1"/>
  <c r="MWK10" i="9" s="1"/>
  <c r="MWM10" i="9" s="1"/>
  <c r="MWO10" i="9" s="1"/>
  <c r="MWQ10" i="9" s="1"/>
  <c r="MWS10" i="9" s="1"/>
  <c r="MWU10" i="9" s="1"/>
  <c r="MWW10" i="9" s="1"/>
  <c r="MWY10" i="9" s="1"/>
  <c r="MXA10" i="9" s="1"/>
  <c r="MXC10" i="9" s="1"/>
  <c r="MXE10" i="9" s="1"/>
  <c r="MXG10" i="9" s="1"/>
  <c r="MXI10" i="9" s="1"/>
  <c r="MXK10" i="9" s="1"/>
  <c r="MXM10" i="9" s="1"/>
  <c r="MXO10" i="9" s="1"/>
  <c r="MXQ10" i="9" s="1"/>
  <c r="MXS10" i="9" s="1"/>
  <c r="MXU10" i="9" s="1"/>
  <c r="MXW10" i="9" s="1"/>
  <c r="MXY10" i="9" s="1"/>
  <c r="MYA10" i="9" s="1"/>
  <c r="MYC10" i="9" s="1"/>
  <c r="MYE10" i="9" s="1"/>
  <c r="MYG10" i="9" s="1"/>
  <c r="MYI10" i="9" s="1"/>
  <c r="MYK10" i="9" s="1"/>
  <c r="MYM10" i="9" s="1"/>
  <c r="MYO10" i="9" s="1"/>
  <c r="MYQ10" i="9" s="1"/>
  <c r="MYS10" i="9" s="1"/>
  <c r="MYU10" i="9" s="1"/>
  <c r="MYW10" i="9" s="1"/>
  <c r="MYY10" i="9" s="1"/>
  <c r="MZA10" i="9" s="1"/>
  <c r="MZC10" i="9" s="1"/>
  <c r="MZE10" i="9" s="1"/>
  <c r="MZG10" i="9" s="1"/>
  <c r="MZI10" i="9" s="1"/>
  <c r="MZK10" i="9" s="1"/>
  <c r="MZM10" i="9" s="1"/>
  <c r="MZO10" i="9" s="1"/>
  <c r="MZQ10" i="9" s="1"/>
  <c r="MZS10" i="9" s="1"/>
  <c r="MZU10" i="9" s="1"/>
  <c r="MZW10" i="9" s="1"/>
  <c r="MZY10" i="9" s="1"/>
  <c r="NAA10" i="9" s="1"/>
  <c r="NAC10" i="9" s="1"/>
  <c r="NAE10" i="9" s="1"/>
  <c r="NAG10" i="9" s="1"/>
  <c r="NAI10" i="9" s="1"/>
  <c r="NAK10" i="9" s="1"/>
  <c r="NAM10" i="9" s="1"/>
  <c r="NAO10" i="9" s="1"/>
  <c r="NAQ10" i="9" s="1"/>
  <c r="NAS10" i="9" s="1"/>
  <c r="NAU10" i="9" s="1"/>
  <c r="NAW10" i="9" s="1"/>
  <c r="NAY10" i="9" s="1"/>
  <c r="NBA10" i="9" s="1"/>
  <c r="NBC10" i="9" s="1"/>
  <c r="NBE10" i="9" s="1"/>
  <c r="NBG10" i="9" s="1"/>
  <c r="NBI10" i="9" s="1"/>
  <c r="NBK10" i="9" s="1"/>
  <c r="NBM10" i="9" s="1"/>
  <c r="NBO10" i="9" s="1"/>
  <c r="NBQ10" i="9" s="1"/>
  <c r="NBS10" i="9" s="1"/>
  <c r="NBU10" i="9" s="1"/>
  <c r="NBW10" i="9" s="1"/>
  <c r="NBY10" i="9" s="1"/>
  <c r="NCA10" i="9" s="1"/>
  <c r="NCC10" i="9" s="1"/>
  <c r="NCE10" i="9" s="1"/>
  <c r="NCG10" i="9" s="1"/>
  <c r="NCI10" i="9" s="1"/>
  <c r="NCK10" i="9" s="1"/>
  <c r="NCM10" i="9" s="1"/>
  <c r="NCO10" i="9" s="1"/>
  <c r="NCQ10" i="9" s="1"/>
  <c r="NCS10" i="9" s="1"/>
  <c r="NCU10" i="9" s="1"/>
  <c r="NCW10" i="9" s="1"/>
  <c r="NCY10" i="9" s="1"/>
  <c r="NDA10" i="9" s="1"/>
  <c r="NDC10" i="9" s="1"/>
  <c r="NDE10" i="9" s="1"/>
  <c r="NDG10" i="9" s="1"/>
  <c r="NDI10" i="9" s="1"/>
  <c r="NDK10" i="9" s="1"/>
  <c r="NDM10" i="9" s="1"/>
  <c r="NDO10" i="9" s="1"/>
  <c r="NDQ10" i="9" s="1"/>
  <c r="NDS10" i="9" s="1"/>
  <c r="NDU10" i="9" s="1"/>
  <c r="NDW10" i="9" s="1"/>
  <c r="NDY10" i="9" s="1"/>
  <c r="NEA10" i="9" s="1"/>
  <c r="NEC10" i="9" s="1"/>
  <c r="NEE10" i="9" s="1"/>
  <c r="NEG10" i="9" s="1"/>
  <c r="NEI10" i="9" s="1"/>
  <c r="NEK10" i="9" s="1"/>
  <c r="NEM10" i="9" s="1"/>
  <c r="NEO10" i="9" s="1"/>
  <c r="NEQ10" i="9" s="1"/>
  <c r="NES10" i="9" s="1"/>
  <c r="NEU10" i="9" s="1"/>
  <c r="NEW10" i="9" s="1"/>
  <c r="NEY10" i="9" s="1"/>
  <c r="NFA10" i="9" s="1"/>
  <c r="NFC10" i="9" s="1"/>
  <c r="NFE10" i="9" s="1"/>
  <c r="NFG10" i="9" s="1"/>
  <c r="NFI10" i="9" s="1"/>
  <c r="NFK10" i="9" s="1"/>
  <c r="NFM10" i="9" s="1"/>
  <c r="NFO10" i="9" s="1"/>
  <c r="NFQ10" i="9" s="1"/>
  <c r="NFS10" i="9" s="1"/>
  <c r="NFU10" i="9" s="1"/>
  <c r="NFW10" i="9" s="1"/>
  <c r="NFY10" i="9" s="1"/>
  <c r="NGA10" i="9" s="1"/>
  <c r="NGC10" i="9" s="1"/>
  <c r="NGE10" i="9" s="1"/>
  <c r="NGG10" i="9" s="1"/>
  <c r="NGI10" i="9" s="1"/>
  <c r="NGK10" i="9" s="1"/>
  <c r="NGM10" i="9" s="1"/>
  <c r="NGO10" i="9" s="1"/>
  <c r="NGQ10" i="9" s="1"/>
  <c r="NGS10" i="9" s="1"/>
  <c r="NGU10" i="9" s="1"/>
  <c r="NGW10" i="9" s="1"/>
  <c r="NGY10" i="9" s="1"/>
  <c r="NHA10" i="9" s="1"/>
  <c r="NHC10" i="9" s="1"/>
  <c r="NHE10" i="9" s="1"/>
  <c r="NHG10" i="9" s="1"/>
  <c r="NHI10" i="9" s="1"/>
  <c r="NHK10" i="9" s="1"/>
  <c r="NHM10" i="9" s="1"/>
  <c r="NHO10" i="9" s="1"/>
  <c r="NHQ10" i="9" s="1"/>
  <c r="NHS10" i="9" s="1"/>
  <c r="NHU10" i="9" s="1"/>
  <c r="NHW10" i="9" s="1"/>
  <c r="NHY10" i="9" s="1"/>
  <c r="NIA10" i="9" s="1"/>
  <c r="NIC10" i="9" s="1"/>
  <c r="NIE10" i="9" s="1"/>
  <c r="NIG10" i="9" s="1"/>
  <c r="NII10" i="9" s="1"/>
  <c r="NIK10" i="9" s="1"/>
  <c r="NIM10" i="9" s="1"/>
  <c r="NIO10" i="9" s="1"/>
  <c r="NIQ10" i="9" s="1"/>
  <c r="NIS10" i="9" s="1"/>
  <c r="NIU10" i="9" s="1"/>
  <c r="NIW10" i="9" s="1"/>
  <c r="NIY10" i="9" s="1"/>
  <c r="NJA10" i="9" s="1"/>
  <c r="NJC10" i="9" s="1"/>
  <c r="NJE10" i="9" s="1"/>
  <c r="NJG10" i="9" s="1"/>
  <c r="NJI10" i="9" s="1"/>
  <c r="NJK10" i="9" s="1"/>
  <c r="NJM10" i="9" s="1"/>
  <c r="NJO10" i="9" s="1"/>
  <c r="NJQ10" i="9" s="1"/>
  <c r="NJS10" i="9" s="1"/>
  <c r="NJU10" i="9" s="1"/>
  <c r="NJW10" i="9" s="1"/>
  <c r="NJY10" i="9" s="1"/>
  <c r="NKA10" i="9" s="1"/>
  <c r="NKC10" i="9" s="1"/>
  <c r="NKE10" i="9" s="1"/>
  <c r="NKG10" i="9" s="1"/>
  <c r="NKI10" i="9" s="1"/>
  <c r="NKK10" i="9" s="1"/>
  <c r="NKM10" i="9" s="1"/>
  <c r="NKO10" i="9" s="1"/>
  <c r="NKQ10" i="9" s="1"/>
  <c r="NKS10" i="9" s="1"/>
  <c r="NKU10" i="9" s="1"/>
  <c r="NKW10" i="9" s="1"/>
  <c r="NKY10" i="9" s="1"/>
  <c r="NLA10" i="9" s="1"/>
  <c r="NLC10" i="9" s="1"/>
  <c r="NLE10" i="9" s="1"/>
  <c r="NLG10" i="9" s="1"/>
  <c r="NLI10" i="9" s="1"/>
  <c r="NLK10" i="9" s="1"/>
  <c r="NLM10" i="9" s="1"/>
  <c r="NLO10" i="9" s="1"/>
  <c r="NLQ10" i="9" s="1"/>
  <c r="NLS10" i="9" s="1"/>
  <c r="NLU10" i="9" s="1"/>
  <c r="NLW10" i="9" s="1"/>
  <c r="NLY10" i="9" s="1"/>
  <c r="NMA10" i="9" s="1"/>
  <c r="NMC10" i="9" s="1"/>
  <c r="NME10" i="9" s="1"/>
  <c r="NMG10" i="9" s="1"/>
  <c r="NMI10" i="9" s="1"/>
  <c r="NMK10" i="9" s="1"/>
  <c r="NMM10" i="9" s="1"/>
  <c r="NMO10" i="9" s="1"/>
  <c r="NMQ10" i="9" s="1"/>
  <c r="NMS10" i="9" s="1"/>
  <c r="NMU10" i="9" s="1"/>
  <c r="NMW10" i="9" s="1"/>
  <c r="NMY10" i="9" s="1"/>
  <c r="NNA10" i="9" s="1"/>
  <c r="NNC10" i="9" s="1"/>
  <c r="NNE10" i="9" s="1"/>
  <c r="NNG10" i="9" s="1"/>
  <c r="NNI10" i="9" s="1"/>
  <c r="NNK10" i="9" s="1"/>
  <c r="NNM10" i="9" s="1"/>
  <c r="NNO10" i="9" s="1"/>
  <c r="NNQ10" i="9" s="1"/>
  <c r="NNS10" i="9" s="1"/>
  <c r="NNU10" i="9" s="1"/>
  <c r="NNW10" i="9" s="1"/>
  <c r="NNY10" i="9" s="1"/>
  <c r="NOA10" i="9" s="1"/>
  <c r="NOC10" i="9" s="1"/>
  <c r="NOE10" i="9" s="1"/>
  <c r="NOG10" i="9" s="1"/>
  <c r="NOI10" i="9" s="1"/>
  <c r="NOK10" i="9" s="1"/>
  <c r="NOM10" i="9" s="1"/>
  <c r="NOO10" i="9" s="1"/>
  <c r="NOQ10" i="9" s="1"/>
  <c r="NOS10" i="9" s="1"/>
  <c r="NOU10" i="9" s="1"/>
  <c r="NOW10" i="9" s="1"/>
  <c r="NOY10" i="9" s="1"/>
  <c r="NPA10" i="9" s="1"/>
  <c r="NPC10" i="9" s="1"/>
  <c r="NPE10" i="9" s="1"/>
  <c r="NPG10" i="9" s="1"/>
  <c r="NPI10" i="9" s="1"/>
  <c r="NPK10" i="9" s="1"/>
  <c r="NPM10" i="9" s="1"/>
  <c r="NPO10" i="9" s="1"/>
  <c r="NPQ10" i="9" s="1"/>
  <c r="NPS10" i="9" s="1"/>
  <c r="NPU10" i="9" s="1"/>
  <c r="NPW10" i="9" s="1"/>
  <c r="NPY10" i="9" s="1"/>
  <c r="NQA10" i="9" s="1"/>
  <c r="NQC10" i="9" s="1"/>
  <c r="NQE10" i="9" s="1"/>
  <c r="NQG10" i="9" s="1"/>
  <c r="NQI10" i="9" s="1"/>
  <c r="NQK10" i="9" s="1"/>
  <c r="NQM10" i="9" s="1"/>
  <c r="NQO10" i="9" s="1"/>
  <c r="NQQ10" i="9" s="1"/>
  <c r="NQS10" i="9" s="1"/>
  <c r="NQU10" i="9" s="1"/>
  <c r="NQW10" i="9" s="1"/>
  <c r="NQY10" i="9" s="1"/>
  <c r="NRA10" i="9" s="1"/>
  <c r="NRC10" i="9" s="1"/>
  <c r="NRE10" i="9" s="1"/>
  <c r="NRG10" i="9" s="1"/>
  <c r="NRI10" i="9" s="1"/>
  <c r="NRK10" i="9" s="1"/>
  <c r="NRM10" i="9" s="1"/>
  <c r="NRO10" i="9" s="1"/>
  <c r="NRQ10" i="9" s="1"/>
  <c r="NRS10" i="9" s="1"/>
  <c r="NRU10" i="9" s="1"/>
  <c r="NRW10" i="9" s="1"/>
  <c r="NRY10" i="9" s="1"/>
  <c r="NSA10" i="9" s="1"/>
  <c r="NSC10" i="9" s="1"/>
  <c r="NSE10" i="9" s="1"/>
  <c r="NSG10" i="9" s="1"/>
  <c r="NSI10" i="9" s="1"/>
  <c r="NSK10" i="9" s="1"/>
  <c r="NSM10" i="9" s="1"/>
  <c r="NSO10" i="9" s="1"/>
  <c r="NSQ10" i="9" s="1"/>
  <c r="NSS10" i="9" s="1"/>
  <c r="NSU10" i="9" s="1"/>
  <c r="NSW10" i="9" s="1"/>
  <c r="NSY10" i="9" s="1"/>
  <c r="NTA10" i="9" s="1"/>
  <c r="NTC10" i="9" s="1"/>
  <c r="NTE10" i="9" s="1"/>
  <c r="NTG10" i="9" s="1"/>
  <c r="NTI10" i="9" s="1"/>
  <c r="NTK10" i="9" s="1"/>
  <c r="NTM10" i="9" s="1"/>
  <c r="NTO10" i="9" s="1"/>
  <c r="NTQ10" i="9" s="1"/>
  <c r="NTS10" i="9" s="1"/>
  <c r="NTU10" i="9" s="1"/>
  <c r="NTW10" i="9" s="1"/>
  <c r="NTY10" i="9" s="1"/>
  <c r="NUA10" i="9" s="1"/>
  <c r="NUC10" i="9" s="1"/>
  <c r="NUE10" i="9" s="1"/>
  <c r="NUG10" i="9" s="1"/>
  <c r="NUI10" i="9" s="1"/>
  <c r="NUK10" i="9" s="1"/>
  <c r="NUM10" i="9" s="1"/>
  <c r="NUO10" i="9" s="1"/>
  <c r="NUQ10" i="9" s="1"/>
  <c r="NUS10" i="9" s="1"/>
  <c r="NUU10" i="9" s="1"/>
  <c r="NUW10" i="9" s="1"/>
  <c r="NUY10" i="9" s="1"/>
  <c r="NVA10" i="9" s="1"/>
  <c r="NVC10" i="9" s="1"/>
  <c r="NVE10" i="9" s="1"/>
  <c r="NVG10" i="9" s="1"/>
  <c r="NVI10" i="9" s="1"/>
  <c r="NVK10" i="9" s="1"/>
  <c r="NVM10" i="9" s="1"/>
  <c r="NVO10" i="9" s="1"/>
  <c r="NVQ10" i="9" s="1"/>
  <c r="NVS10" i="9" s="1"/>
  <c r="NVU10" i="9" s="1"/>
  <c r="NVW10" i="9" s="1"/>
  <c r="NVY10" i="9" s="1"/>
  <c r="NWA10" i="9" s="1"/>
  <c r="NWC10" i="9" s="1"/>
  <c r="NWE10" i="9" s="1"/>
  <c r="NWG10" i="9" s="1"/>
  <c r="NWI10" i="9" s="1"/>
  <c r="NWK10" i="9" s="1"/>
  <c r="NWM10" i="9" s="1"/>
  <c r="NWO10" i="9" s="1"/>
  <c r="NWQ10" i="9" s="1"/>
  <c r="NWS10" i="9" s="1"/>
  <c r="NWU10" i="9" s="1"/>
  <c r="NWW10" i="9" s="1"/>
  <c r="NWY10" i="9" s="1"/>
  <c r="NXA10" i="9" s="1"/>
  <c r="NXC10" i="9" s="1"/>
  <c r="NXE10" i="9" s="1"/>
  <c r="NXG10" i="9" s="1"/>
  <c r="NXI10" i="9" s="1"/>
  <c r="NXK10" i="9" s="1"/>
  <c r="NXM10" i="9" s="1"/>
  <c r="NXO10" i="9" s="1"/>
  <c r="NXQ10" i="9" s="1"/>
  <c r="NXS10" i="9" s="1"/>
  <c r="NXU10" i="9" s="1"/>
  <c r="NXW10" i="9" s="1"/>
  <c r="NXY10" i="9" s="1"/>
  <c r="NYA10" i="9" s="1"/>
  <c r="NYC10" i="9" s="1"/>
  <c r="NYE10" i="9" s="1"/>
  <c r="NYG10" i="9" s="1"/>
  <c r="NYI10" i="9" s="1"/>
  <c r="NYK10" i="9" s="1"/>
  <c r="NYM10" i="9" s="1"/>
  <c r="NYO10" i="9" s="1"/>
  <c r="NYQ10" i="9" s="1"/>
  <c r="NYS10" i="9" s="1"/>
  <c r="NYU10" i="9" s="1"/>
  <c r="NYW10" i="9" s="1"/>
  <c r="NYY10" i="9" s="1"/>
  <c r="NZA10" i="9" s="1"/>
  <c r="NZC10" i="9" s="1"/>
  <c r="NZE10" i="9" s="1"/>
  <c r="NZG10" i="9" s="1"/>
  <c r="NZI10" i="9" s="1"/>
  <c r="NZK10" i="9" s="1"/>
  <c r="NZM10" i="9" s="1"/>
  <c r="NZO10" i="9" s="1"/>
  <c r="NZQ10" i="9" s="1"/>
  <c r="NZS10" i="9" s="1"/>
  <c r="NZU10" i="9" s="1"/>
  <c r="NZW10" i="9" s="1"/>
  <c r="NZY10" i="9" s="1"/>
  <c r="OAA10" i="9" s="1"/>
  <c r="OAC10" i="9" s="1"/>
  <c r="OAE10" i="9" s="1"/>
  <c r="OAG10" i="9" s="1"/>
  <c r="OAI10" i="9" s="1"/>
  <c r="OAK10" i="9" s="1"/>
  <c r="OAM10" i="9" s="1"/>
  <c r="OAO10" i="9" s="1"/>
  <c r="OAQ10" i="9" s="1"/>
  <c r="OAS10" i="9" s="1"/>
  <c r="OAU10" i="9" s="1"/>
  <c r="OAW10" i="9" s="1"/>
  <c r="OAY10" i="9" s="1"/>
  <c r="OBA10" i="9" s="1"/>
  <c r="OBC10" i="9" s="1"/>
  <c r="OBE10" i="9" s="1"/>
  <c r="OBG10" i="9" s="1"/>
  <c r="OBI10" i="9" s="1"/>
  <c r="OBK10" i="9" s="1"/>
  <c r="OBM10" i="9" s="1"/>
  <c r="OBO10" i="9" s="1"/>
  <c r="OBQ10" i="9" s="1"/>
  <c r="OBS10" i="9" s="1"/>
  <c r="OBU10" i="9" s="1"/>
  <c r="OBW10" i="9" s="1"/>
  <c r="OBY10" i="9" s="1"/>
  <c r="OCA10" i="9" s="1"/>
  <c r="OCC10" i="9" s="1"/>
  <c r="OCE10" i="9" s="1"/>
  <c r="OCG10" i="9" s="1"/>
  <c r="OCI10" i="9" s="1"/>
  <c r="OCK10" i="9" s="1"/>
  <c r="OCM10" i="9" s="1"/>
  <c r="OCO10" i="9" s="1"/>
  <c r="OCQ10" i="9" s="1"/>
  <c r="OCS10" i="9" s="1"/>
  <c r="OCU10" i="9" s="1"/>
  <c r="OCW10" i="9" s="1"/>
  <c r="OCY10" i="9" s="1"/>
  <c r="ODA10" i="9" s="1"/>
  <c r="ODC10" i="9" s="1"/>
  <c r="ODE10" i="9" s="1"/>
  <c r="ODG10" i="9" s="1"/>
  <c r="ODI10" i="9" s="1"/>
  <c r="ODK10" i="9" s="1"/>
  <c r="ODM10" i="9" s="1"/>
  <c r="ODO10" i="9" s="1"/>
  <c r="ODQ10" i="9" s="1"/>
  <c r="ODS10" i="9" s="1"/>
  <c r="ODU10" i="9" s="1"/>
  <c r="ODW10" i="9" s="1"/>
  <c r="ODY10" i="9" s="1"/>
  <c r="OEA10" i="9" s="1"/>
  <c r="OEC10" i="9" s="1"/>
  <c r="OEE10" i="9" s="1"/>
  <c r="OEG10" i="9" s="1"/>
  <c r="OEI10" i="9" s="1"/>
  <c r="OEK10" i="9" s="1"/>
  <c r="OEM10" i="9" s="1"/>
  <c r="OEO10" i="9" s="1"/>
  <c r="OEQ10" i="9" s="1"/>
  <c r="OES10" i="9" s="1"/>
  <c r="OEU10" i="9" s="1"/>
  <c r="OEW10" i="9" s="1"/>
  <c r="OEY10" i="9" s="1"/>
  <c r="OFA10" i="9" s="1"/>
  <c r="OFC10" i="9" s="1"/>
  <c r="OFE10" i="9" s="1"/>
  <c r="OFG10" i="9" s="1"/>
  <c r="OFI10" i="9" s="1"/>
  <c r="OFK10" i="9" s="1"/>
  <c r="OFM10" i="9" s="1"/>
  <c r="OFO10" i="9" s="1"/>
  <c r="OFQ10" i="9" s="1"/>
  <c r="OFS10" i="9" s="1"/>
  <c r="OFU10" i="9" s="1"/>
  <c r="OFW10" i="9" s="1"/>
  <c r="OFY10" i="9" s="1"/>
  <c r="OGA10" i="9" s="1"/>
  <c r="OGC10" i="9" s="1"/>
  <c r="OGE10" i="9" s="1"/>
  <c r="OGG10" i="9" s="1"/>
  <c r="OGI10" i="9" s="1"/>
  <c r="OGK10" i="9" s="1"/>
  <c r="OGM10" i="9" s="1"/>
  <c r="OGO10" i="9" s="1"/>
  <c r="OGQ10" i="9" s="1"/>
  <c r="OGS10" i="9" s="1"/>
  <c r="OGU10" i="9" s="1"/>
  <c r="OGW10" i="9" s="1"/>
  <c r="OGY10" i="9" s="1"/>
  <c r="OHA10" i="9" s="1"/>
  <c r="OHC10" i="9" s="1"/>
  <c r="OHE10" i="9" s="1"/>
  <c r="OHG10" i="9" s="1"/>
  <c r="OHI10" i="9" s="1"/>
  <c r="OHK10" i="9" s="1"/>
  <c r="OHM10" i="9" s="1"/>
  <c r="OHO10" i="9" s="1"/>
  <c r="OHQ10" i="9" s="1"/>
  <c r="OHS10" i="9" s="1"/>
  <c r="OHU10" i="9" s="1"/>
  <c r="OHW10" i="9" s="1"/>
  <c r="OHY10" i="9" s="1"/>
  <c r="OIA10" i="9" s="1"/>
  <c r="OIC10" i="9" s="1"/>
  <c r="OIE10" i="9" s="1"/>
  <c r="OIG10" i="9" s="1"/>
  <c r="OII10" i="9" s="1"/>
  <c r="OIK10" i="9" s="1"/>
  <c r="OIM10" i="9" s="1"/>
  <c r="OIO10" i="9" s="1"/>
  <c r="OIQ10" i="9" s="1"/>
  <c r="OIS10" i="9" s="1"/>
  <c r="OIU10" i="9" s="1"/>
  <c r="OIW10" i="9" s="1"/>
  <c r="OIY10" i="9" s="1"/>
  <c r="OJA10" i="9" s="1"/>
  <c r="OJC10" i="9" s="1"/>
  <c r="OJE10" i="9" s="1"/>
  <c r="OJG10" i="9" s="1"/>
  <c r="OJI10" i="9" s="1"/>
  <c r="OJK10" i="9" s="1"/>
  <c r="OJM10" i="9" s="1"/>
  <c r="OJO10" i="9" s="1"/>
  <c r="OJQ10" i="9" s="1"/>
  <c r="OJS10" i="9" s="1"/>
  <c r="OJU10" i="9" s="1"/>
  <c r="OJW10" i="9" s="1"/>
  <c r="OJY10" i="9" s="1"/>
  <c r="OKA10" i="9" s="1"/>
  <c r="OKC10" i="9" s="1"/>
  <c r="OKE10" i="9" s="1"/>
  <c r="OKG10" i="9" s="1"/>
  <c r="OKI10" i="9" s="1"/>
  <c r="OKK10" i="9" s="1"/>
  <c r="OKM10" i="9" s="1"/>
  <c r="OKO10" i="9" s="1"/>
  <c r="OKQ10" i="9" s="1"/>
  <c r="OKS10" i="9" s="1"/>
  <c r="OKU10" i="9" s="1"/>
  <c r="OKW10" i="9" s="1"/>
  <c r="OKY10" i="9" s="1"/>
  <c r="OLA10" i="9" s="1"/>
  <c r="OLC10" i="9" s="1"/>
  <c r="OLE10" i="9" s="1"/>
  <c r="OLG10" i="9" s="1"/>
  <c r="OLI10" i="9" s="1"/>
  <c r="OLK10" i="9" s="1"/>
  <c r="OLM10" i="9" s="1"/>
  <c r="OLO10" i="9" s="1"/>
  <c r="OLQ10" i="9" s="1"/>
  <c r="OLS10" i="9" s="1"/>
  <c r="OLU10" i="9" s="1"/>
  <c r="OLW10" i="9" s="1"/>
  <c r="OLY10" i="9" s="1"/>
  <c r="OMA10" i="9" s="1"/>
  <c r="OMC10" i="9" s="1"/>
  <c r="OME10" i="9" s="1"/>
  <c r="OMG10" i="9" s="1"/>
  <c r="OMI10" i="9" s="1"/>
  <c r="OMK10" i="9" s="1"/>
  <c r="OMM10" i="9" s="1"/>
  <c r="OMO10" i="9" s="1"/>
  <c r="OMQ10" i="9" s="1"/>
  <c r="OMS10" i="9" s="1"/>
  <c r="OMU10" i="9" s="1"/>
  <c r="OMW10" i="9" s="1"/>
  <c r="OMY10" i="9" s="1"/>
  <c r="ONA10" i="9" s="1"/>
  <c r="ONC10" i="9" s="1"/>
  <c r="ONE10" i="9" s="1"/>
  <c r="ONG10" i="9" s="1"/>
  <c r="ONI10" i="9" s="1"/>
  <c r="ONK10" i="9" s="1"/>
  <c r="ONM10" i="9" s="1"/>
  <c r="ONO10" i="9" s="1"/>
  <c r="ONQ10" i="9" s="1"/>
  <c r="ONS10" i="9" s="1"/>
  <c r="ONU10" i="9" s="1"/>
  <c r="ONW10" i="9" s="1"/>
  <c r="ONY10" i="9" s="1"/>
  <c r="OOA10" i="9" s="1"/>
  <c r="OOC10" i="9" s="1"/>
  <c r="OOE10" i="9" s="1"/>
  <c r="OOG10" i="9" s="1"/>
  <c r="OOI10" i="9" s="1"/>
  <c r="OOK10" i="9" s="1"/>
  <c r="OOM10" i="9" s="1"/>
  <c r="OOO10" i="9" s="1"/>
  <c r="OOQ10" i="9" s="1"/>
  <c r="OOS10" i="9" s="1"/>
  <c r="OOU10" i="9" s="1"/>
  <c r="OOW10" i="9" s="1"/>
  <c r="OOY10" i="9" s="1"/>
  <c r="OPA10" i="9" s="1"/>
  <c r="OPC10" i="9" s="1"/>
  <c r="OPE10" i="9" s="1"/>
  <c r="OPG10" i="9" s="1"/>
  <c r="OPI10" i="9" s="1"/>
  <c r="OPK10" i="9" s="1"/>
  <c r="OPM10" i="9" s="1"/>
  <c r="OPO10" i="9" s="1"/>
  <c r="OPQ10" i="9" s="1"/>
  <c r="OPS10" i="9" s="1"/>
  <c r="OPU10" i="9" s="1"/>
  <c r="OPW10" i="9" s="1"/>
  <c r="OPY10" i="9" s="1"/>
  <c r="OQA10" i="9" s="1"/>
  <c r="OQC10" i="9" s="1"/>
  <c r="OQE10" i="9" s="1"/>
  <c r="OQG10" i="9" s="1"/>
  <c r="OQI10" i="9" s="1"/>
  <c r="OQK10" i="9" s="1"/>
  <c r="OQM10" i="9" s="1"/>
  <c r="OQO10" i="9" s="1"/>
  <c r="OQQ10" i="9" s="1"/>
  <c r="OQS10" i="9" s="1"/>
  <c r="OQU10" i="9" s="1"/>
  <c r="OQW10" i="9" s="1"/>
  <c r="OQY10" i="9" s="1"/>
  <c r="ORA10" i="9" s="1"/>
  <c r="ORC10" i="9" s="1"/>
  <c r="ORE10" i="9" s="1"/>
  <c r="ORG10" i="9" s="1"/>
  <c r="ORI10" i="9" s="1"/>
  <c r="ORK10" i="9" s="1"/>
  <c r="ORM10" i="9" s="1"/>
  <c r="ORO10" i="9" s="1"/>
  <c r="ORQ10" i="9" s="1"/>
  <c r="ORS10" i="9" s="1"/>
  <c r="ORU10" i="9" s="1"/>
  <c r="ORW10" i="9" s="1"/>
  <c r="ORY10" i="9" s="1"/>
  <c r="OSA10" i="9" s="1"/>
  <c r="OSC10" i="9" s="1"/>
  <c r="OSE10" i="9" s="1"/>
  <c r="OSG10" i="9" s="1"/>
  <c r="OSI10" i="9" s="1"/>
  <c r="OSK10" i="9" s="1"/>
  <c r="OSM10" i="9" s="1"/>
  <c r="OSO10" i="9" s="1"/>
  <c r="OSQ10" i="9" s="1"/>
  <c r="OSS10" i="9" s="1"/>
  <c r="OSU10" i="9" s="1"/>
  <c r="OSW10" i="9" s="1"/>
  <c r="OSY10" i="9" s="1"/>
  <c r="OTA10" i="9" s="1"/>
  <c r="OTC10" i="9" s="1"/>
  <c r="OTE10" i="9" s="1"/>
  <c r="OTG10" i="9" s="1"/>
  <c r="OTI10" i="9" s="1"/>
  <c r="OTK10" i="9" s="1"/>
  <c r="OTM10" i="9" s="1"/>
  <c r="OTO10" i="9" s="1"/>
  <c r="OTQ10" i="9" s="1"/>
  <c r="OTS10" i="9" s="1"/>
  <c r="OTU10" i="9" s="1"/>
  <c r="OTW10" i="9" s="1"/>
  <c r="OTY10" i="9" s="1"/>
  <c r="OUA10" i="9" s="1"/>
  <c r="OUC10" i="9" s="1"/>
  <c r="OUE10" i="9" s="1"/>
  <c r="OUG10" i="9" s="1"/>
  <c r="OUI10" i="9" s="1"/>
  <c r="OUK10" i="9" s="1"/>
  <c r="OUM10" i="9" s="1"/>
  <c r="OUO10" i="9" s="1"/>
  <c r="OUQ10" i="9" s="1"/>
  <c r="OUS10" i="9" s="1"/>
  <c r="OUU10" i="9" s="1"/>
  <c r="OUW10" i="9" s="1"/>
  <c r="OUY10" i="9" s="1"/>
  <c r="OVA10" i="9" s="1"/>
  <c r="OVC10" i="9" s="1"/>
  <c r="OVE10" i="9" s="1"/>
  <c r="OVG10" i="9" s="1"/>
  <c r="OVI10" i="9" s="1"/>
  <c r="OVK10" i="9" s="1"/>
  <c r="OVM10" i="9" s="1"/>
  <c r="OVO10" i="9" s="1"/>
  <c r="OVQ10" i="9" s="1"/>
  <c r="OVS10" i="9" s="1"/>
  <c r="OVU10" i="9" s="1"/>
  <c r="OVW10" i="9" s="1"/>
  <c r="OVY10" i="9" s="1"/>
  <c r="OWA10" i="9" s="1"/>
  <c r="OWC10" i="9" s="1"/>
  <c r="OWE10" i="9" s="1"/>
  <c r="OWG10" i="9" s="1"/>
  <c r="OWI10" i="9" s="1"/>
  <c r="OWK10" i="9" s="1"/>
  <c r="OWM10" i="9" s="1"/>
  <c r="OWO10" i="9" s="1"/>
  <c r="OWQ10" i="9" s="1"/>
  <c r="OWS10" i="9" s="1"/>
  <c r="OWU10" i="9" s="1"/>
  <c r="OWW10" i="9" s="1"/>
  <c r="OWY10" i="9" s="1"/>
  <c r="OXA10" i="9" s="1"/>
  <c r="OXC10" i="9" s="1"/>
  <c r="OXE10" i="9" s="1"/>
  <c r="OXG10" i="9" s="1"/>
  <c r="OXI10" i="9" s="1"/>
  <c r="OXK10" i="9" s="1"/>
  <c r="OXM10" i="9" s="1"/>
  <c r="OXO10" i="9" s="1"/>
  <c r="OXQ10" i="9" s="1"/>
  <c r="OXS10" i="9" s="1"/>
  <c r="OXU10" i="9" s="1"/>
  <c r="OXW10" i="9" s="1"/>
  <c r="OXY10" i="9" s="1"/>
  <c r="OYA10" i="9" s="1"/>
  <c r="OYC10" i="9" s="1"/>
  <c r="OYE10" i="9" s="1"/>
  <c r="OYG10" i="9" s="1"/>
  <c r="OYI10" i="9" s="1"/>
  <c r="OYK10" i="9" s="1"/>
  <c r="OYM10" i="9" s="1"/>
  <c r="OYO10" i="9" s="1"/>
  <c r="OYQ10" i="9" s="1"/>
  <c r="OYS10" i="9" s="1"/>
  <c r="OYU10" i="9" s="1"/>
  <c r="OYW10" i="9" s="1"/>
  <c r="OYY10" i="9" s="1"/>
  <c r="OZA10" i="9" s="1"/>
  <c r="OZC10" i="9" s="1"/>
  <c r="OZE10" i="9" s="1"/>
  <c r="OZG10" i="9" s="1"/>
  <c r="OZI10" i="9" s="1"/>
  <c r="OZK10" i="9" s="1"/>
  <c r="OZM10" i="9" s="1"/>
  <c r="OZO10" i="9" s="1"/>
  <c r="OZQ10" i="9" s="1"/>
  <c r="OZS10" i="9" s="1"/>
  <c r="OZU10" i="9" s="1"/>
  <c r="OZW10" i="9" s="1"/>
  <c r="OZY10" i="9" s="1"/>
  <c r="PAA10" i="9" s="1"/>
  <c r="PAC10" i="9" s="1"/>
  <c r="PAE10" i="9" s="1"/>
  <c r="PAG10" i="9" s="1"/>
  <c r="PAI10" i="9" s="1"/>
  <c r="PAK10" i="9" s="1"/>
  <c r="PAM10" i="9" s="1"/>
  <c r="PAO10" i="9" s="1"/>
  <c r="PAQ10" i="9" s="1"/>
  <c r="PAS10" i="9" s="1"/>
  <c r="PAU10" i="9" s="1"/>
  <c r="PAW10" i="9" s="1"/>
  <c r="PAY10" i="9" s="1"/>
  <c r="PBA10" i="9" s="1"/>
  <c r="PBC10" i="9" s="1"/>
  <c r="PBE10" i="9" s="1"/>
  <c r="PBG10" i="9" s="1"/>
  <c r="PBI10" i="9" s="1"/>
  <c r="PBK10" i="9" s="1"/>
  <c r="PBM10" i="9" s="1"/>
  <c r="PBO10" i="9" s="1"/>
  <c r="PBQ10" i="9" s="1"/>
  <c r="PBS10" i="9" s="1"/>
  <c r="PBU10" i="9" s="1"/>
  <c r="PBW10" i="9" s="1"/>
  <c r="PBY10" i="9" s="1"/>
  <c r="PCA10" i="9" s="1"/>
  <c r="PCC10" i="9" s="1"/>
  <c r="PCE10" i="9" s="1"/>
  <c r="PCG10" i="9" s="1"/>
  <c r="PCI10" i="9" s="1"/>
  <c r="PCK10" i="9" s="1"/>
  <c r="PCM10" i="9" s="1"/>
  <c r="PCO10" i="9" s="1"/>
  <c r="PCQ10" i="9" s="1"/>
  <c r="PCS10" i="9" s="1"/>
  <c r="PCU10" i="9" s="1"/>
  <c r="PCW10" i="9" s="1"/>
  <c r="PCY10" i="9" s="1"/>
  <c r="PDA10" i="9" s="1"/>
  <c r="PDC10" i="9" s="1"/>
  <c r="PDE10" i="9" s="1"/>
  <c r="PDG10" i="9" s="1"/>
  <c r="PDI10" i="9" s="1"/>
  <c r="PDK10" i="9" s="1"/>
  <c r="PDM10" i="9" s="1"/>
  <c r="PDO10" i="9" s="1"/>
  <c r="PDQ10" i="9" s="1"/>
  <c r="PDS10" i="9" s="1"/>
  <c r="PDU10" i="9" s="1"/>
  <c r="PDW10" i="9" s="1"/>
  <c r="PDY10" i="9" s="1"/>
  <c r="PEA10" i="9" s="1"/>
  <c r="PEC10" i="9" s="1"/>
  <c r="PEE10" i="9" s="1"/>
  <c r="PEG10" i="9" s="1"/>
  <c r="PEI10" i="9" s="1"/>
  <c r="PEK10" i="9" s="1"/>
  <c r="PEM10" i="9" s="1"/>
  <c r="PEO10" i="9" s="1"/>
  <c r="PEQ10" i="9" s="1"/>
  <c r="PES10" i="9" s="1"/>
  <c r="PEU10" i="9" s="1"/>
  <c r="PEW10" i="9" s="1"/>
  <c r="PEY10" i="9" s="1"/>
  <c r="PFA10" i="9" s="1"/>
  <c r="PFC10" i="9" s="1"/>
  <c r="PFE10" i="9" s="1"/>
  <c r="PFG10" i="9" s="1"/>
  <c r="PFI10" i="9" s="1"/>
  <c r="PFK10" i="9" s="1"/>
  <c r="PFM10" i="9" s="1"/>
  <c r="PFO10" i="9" s="1"/>
  <c r="PFQ10" i="9" s="1"/>
  <c r="PFS10" i="9" s="1"/>
  <c r="PFU10" i="9" s="1"/>
  <c r="PFW10" i="9" s="1"/>
  <c r="PFY10" i="9" s="1"/>
  <c r="PGA10" i="9" s="1"/>
  <c r="PGC10" i="9" s="1"/>
  <c r="PGE10" i="9" s="1"/>
  <c r="PGG10" i="9" s="1"/>
  <c r="PGI10" i="9" s="1"/>
  <c r="PGK10" i="9" s="1"/>
  <c r="PGM10" i="9" s="1"/>
  <c r="PGO10" i="9" s="1"/>
  <c r="PGQ10" i="9" s="1"/>
  <c r="PGS10" i="9" s="1"/>
  <c r="PGU10" i="9" s="1"/>
  <c r="PGW10" i="9" s="1"/>
  <c r="PGY10" i="9" s="1"/>
  <c r="PHA10" i="9" s="1"/>
  <c r="PHC10" i="9" s="1"/>
  <c r="PHE10" i="9" s="1"/>
  <c r="PHG10" i="9" s="1"/>
  <c r="PHI10" i="9" s="1"/>
  <c r="PHK10" i="9" s="1"/>
  <c r="PHM10" i="9" s="1"/>
  <c r="PHO10" i="9" s="1"/>
  <c r="PHQ10" i="9" s="1"/>
  <c r="PHS10" i="9" s="1"/>
  <c r="PHU10" i="9" s="1"/>
  <c r="PHW10" i="9" s="1"/>
  <c r="PHY10" i="9" s="1"/>
  <c r="PIA10" i="9" s="1"/>
  <c r="PIC10" i="9" s="1"/>
  <c r="PIE10" i="9" s="1"/>
  <c r="PIG10" i="9" s="1"/>
  <c r="PII10" i="9" s="1"/>
  <c r="PIK10" i="9" s="1"/>
  <c r="PIM10" i="9" s="1"/>
  <c r="PIO10" i="9" s="1"/>
  <c r="PIQ10" i="9" s="1"/>
  <c r="PIS10" i="9" s="1"/>
  <c r="PIU10" i="9" s="1"/>
  <c r="PIW10" i="9" s="1"/>
  <c r="PIY10" i="9" s="1"/>
  <c r="PJA10" i="9" s="1"/>
  <c r="PJC10" i="9" s="1"/>
  <c r="PJE10" i="9" s="1"/>
  <c r="PJG10" i="9" s="1"/>
  <c r="PJI10" i="9" s="1"/>
  <c r="PJK10" i="9" s="1"/>
  <c r="PJM10" i="9" s="1"/>
  <c r="PJO10" i="9" s="1"/>
  <c r="PJQ10" i="9" s="1"/>
  <c r="PJS10" i="9" s="1"/>
  <c r="PJU10" i="9" s="1"/>
  <c r="PJW10" i="9" s="1"/>
  <c r="PJY10" i="9" s="1"/>
  <c r="PKA10" i="9" s="1"/>
  <c r="PKC10" i="9" s="1"/>
  <c r="PKE10" i="9" s="1"/>
  <c r="PKG10" i="9" s="1"/>
  <c r="PKI10" i="9" s="1"/>
  <c r="PKK10" i="9" s="1"/>
  <c r="PKM10" i="9" s="1"/>
  <c r="PKO10" i="9" s="1"/>
  <c r="PKQ10" i="9" s="1"/>
  <c r="PKS10" i="9" s="1"/>
  <c r="PKU10" i="9" s="1"/>
  <c r="PKW10" i="9" s="1"/>
  <c r="PKY10" i="9" s="1"/>
  <c r="PLA10" i="9" s="1"/>
  <c r="PLC10" i="9" s="1"/>
  <c r="PLE10" i="9" s="1"/>
  <c r="PLG10" i="9" s="1"/>
  <c r="PLI10" i="9" s="1"/>
  <c r="PLK10" i="9" s="1"/>
  <c r="PLM10" i="9" s="1"/>
  <c r="PLO10" i="9" s="1"/>
  <c r="PLQ10" i="9" s="1"/>
  <c r="PLS10" i="9" s="1"/>
  <c r="PLU10" i="9" s="1"/>
  <c r="PLW10" i="9" s="1"/>
  <c r="PLY10" i="9" s="1"/>
  <c r="PMA10" i="9" s="1"/>
  <c r="PMC10" i="9" s="1"/>
  <c r="PME10" i="9" s="1"/>
  <c r="PMG10" i="9" s="1"/>
  <c r="PMI10" i="9" s="1"/>
  <c r="PMK10" i="9" s="1"/>
  <c r="PMM10" i="9" s="1"/>
  <c r="PMO10" i="9" s="1"/>
  <c r="PMQ10" i="9" s="1"/>
  <c r="PMS10" i="9" s="1"/>
  <c r="PMU10" i="9" s="1"/>
  <c r="PMW10" i="9" s="1"/>
  <c r="PMY10" i="9" s="1"/>
  <c r="PNA10" i="9" s="1"/>
  <c r="PNC10" i="9" s="1"/>
  <c r="PNE10" i="9" s="1"/>
  <c r="PNG10" i="9" s="1"/>
  <c r="PNI10" i="9" s="1"/>
  <c r="PNK10" i="9" s="1"/>
  <c r="PNM10" i="9" s="1"/>
  <c r="PNO10" i="9" s="1"/>
  <c r="PNQ10" i="9" s="1"/>
  <c r="PNS10" i="9" s="1"/>
  <c r="PNU10" i="9" s="1"/>
  <c r="PNW10" i="9" s="1"/>
  <c r="PNY10" i="9" s="1"/>
  <c r="POA10" i="9" s="1"/>
  <c r="POC10" i="9" s="1"/>
  <c r="POE10" i="9" s="1"/>
  <c r="POG10" i="9" s="1"/>
  <c r="POI10" i="9" s="1"/>
  <c r="POK10" i="9" s="1"/>
  <c r="POM10" i="9" s="1"/>
  <c r="POO10" i="9" s="1"/>
  <c r="POQ10" i="9" s="1"/>
  <c r="POS10" i="9" s="1"/>
  <c r="POU10" i="9" s="1"/>
  <c r="POW10" i="9" s="1"/>
  <c r="POY10" i="9" s="1"/>
  <c r="PPA10" i="9" s="1"/>
  <c r="PPC10" i="9" s="1"/>
  <c r="PPE10" i="9" s="1"/>
  <c r="PPG10" i="9" s="1"/>
  <c r="PPI10" i="9" s="1"/>
  <c r="PPK10" i="9" s="1"/>
  <c r="PPM10" i="9" s="1"/>
  <c r="PPO10" i="9" s="1"/>
  <c r="PPQ10" i="9" s="1"/>
  <c r="PPS10" i="9" s="1"/>
  <c r="PPU10" i="9" s="1"/>
  <c r="PPW10" i="9" s="1"/>
  <c r="PPY10" i="9" s="1"/>
  <c r="PQA10" i="9" s="1"/>
  <c r="PQC10" i="9" s="1"/>
  <c r="PQE10" i="9" s="1"/>
  <c r="PQG10" i="9" s="1"/>
  <c r="PQI10" i="9" s="1"/>
  <c r="PQK10" i="9" s="1"/>
  <c r="PQM10" i="9" s="1"/>
  <c r="PQO10" i="9" s="1"/>
  <c r="PQQ10" i="9" s="1"/>
  <c r="PQS10" i="9" s="1"/>
  <c r="PQU10" i="9" s="1"/>
  <c r="PQW10" i="9" s="1"/>
  <c r="PQY10" i="9" s="1"/>
  <c r="PRA10" i="9" s="1"/>
  <c r="PRC10" i="9" s="1"/>
  <c r="PRE10" i="9" s="1"/>
  <c r="PRG10" i="9" s="1"/>
  <c r="PRI10" i="9" s="1"/>
  <c r="PRK10" i="9" s="1"/>
  <c r="PRM10" i="9" s="1"/>
  <c r="PRO10" i="9" s="1"/>
  <c r="PRQ10" i="9" s="1"/>
  <c r="PRS10" i="9" s="1"/>
  <c r="PRU10" i="9" s="1"/>
  <c r="PRW10" i="9" s="1"/>
  <c r="PRY10" i="9" s="1"/>
  <c r="PSA10" i="9" s="1"/>
  <c r="PSC10" i="9" s="1"/>
  <c r="PSE10" i="9" s="1"/>
  <c r="PSG10" i="9" s="1"/>
  <c r="PSI10" i="9" s="1"/>
  <c r="PSK10" i="9" s="1"/>
  <c r="PSM10" i="9" s="1"/>
  <c r="PSO10" i="9" s="1"/>
  <c r="PSQ10" i="9" s="1"/>
  <c r="PSS10" i="9" s="1"/>
  <c r="PSU10" i="9" s="1"/>
  <c r="PSW10" i="9" s="1"/>
  <c r="PSY10" i="9" s="1"/>
  <c r="PTA10" i="9" s="1"/>
  <c r="PTC10" i="9" s="1"/>
  <c r="PTE10" i="9" s="1"/>
  <c r="PTG10" i="9" s="1"/>
  <c r="PTI10" i="9" s="1"/>
  <c r="PTK10" i="9" s="1"/>
  <c r="PTM10" i="9" s="1"/>
  <c r="PTO10" i="9" s="1"/>
  <c r="PTQ10" i="9" s="1"/>
  <c r="PTS10" i="9" s="1"/>
  <c r="PTU10" i="9" s="1"/>
  <c r="PTW10" i="9" s="1"/>
  <c r="PTY10" i="9" s="1"/>
  <c r="PUA10" i="9" s="1"/>
  <c r="PUC10" i="9" s="1"/>
  <c r="PUE10" i="9" s="1"/>
  <c r="PUG10" i="9" s="1"/>
  <c r="PUI10" i="9" s="1"/>
  <c r="PUK10" i="9" s="1"/>
  <c r="PUM10" i="9" s="1"/>
  <c r="PUO10" i="9" s="1"/>
  <c r="PUQ10" i="9" s="1"/>
  <c r="PUS10" i="9" s="1"/>
  <c r="PUU10" i="9" s="1"/>
  <c r="PUW10" i="9" s="1"/>
  <c r="PUY10" i="9" s="1"/>
  <c r="PVA10" i="9" s="1"/>
  <c r="PVC10" i="9" s="1"/>
  <c r="PVE10" i="9" s="1"/>
  <c r="PVG10" i="9" s="1"/>
  <c r="PVI10" i="9" s="1"/>
  <c r="PVK10" i="9" s="1"/>
  <c r="PVM10" i="9" s="1"/>
  <c r="PVO10" i="9" s="1"/>
  <c r="PVQ10" i="9" s="1"/>
  <c r="PVS10" i="9" s="1"/>
  <c r="PVU10" i="9" s="1"/>
  <c r="PVW10" i="9" s="1"/>
  <c r="PVY10" i="9" s="1"/>
  <c r="PWA10" i="9" s="1"/>
  <c r="PWC10" i="9" s="1"/>
  <c r="PWE10" i="9" s="1"/>
  <c r="PWG10" i="9" s="1"/>
  <c r="PWI10" i="9" s="1"/>
  <c r="PWK10" i="9" s="1"/>
  <c r="PWM10" i="9" s="1"/>
  <c r="PWO10" i="9" s="1"/>
  <c r="PWQ10" i="9" s="1"/>
  <c r="PWS10" i="9" s="1"/>
  <c r="PWU10" i="9" s="1"/>
  <c r="PWW10" i="9" s="1"/>
  <c r="PWY10" i="9" s="1"/>
  <c r="PXA10" i="9" s="1"/>
  <c r="PXC10" i="9" s="1"/>
  <c r="PXE10" i="9" s="1"/>
  <c r="PXG10" i="9" s="1"/>
  <c r="PXI10" i="9" s="1"/>
  <c r="PXK10" i="9" s="1"/>
  <c r="PXM10" i="9" s="1"/>
  <c r="PXO10" i="9" s="1"/>
  <c r="PXQ10" i="9" s="1"/>
  <c r="PXS10" i="9" s="1"/>
  <c r="PXU10" i="9" s="1"/>
  <c r="PXW10" i="9" s="1"/>
  <c r="PXY10" i="9" s="1"/>
  <c r="PYA10" i="9" s="1"/>
  <c r="PYC10" i="9" s="1"/>
  <c r="PYE10" i="9" s="1"/>
  <c r="PYG10" i="9" s="1"/>
  <c r="PYI10" i="9" s="1"/>
  <c r="PYK10" i="9" s="1"/>
  <c r="PYM10" i="9" s="1"/>
  <c r="PYO10" i="9" s="1"/>
  <c r="PYQ10" i="9" s="1"/>
  <c r="PYS10" i="9" s="1"/>
  <c r="PYU10" i="9" s="1"/>
  <c r="PYW10" i="9" s="1"/>
  <c r="PYY10" i="9" s="1"/>
  <c r="PZA10" i="9" s="1"/>
  <c r="PZC10" i="9" s="1"/>
  <c r="PZE10" i="9" s="1"/>
  <c r="PZG10" i="9" s="1"/>
  <c r="PZI10" i="9" s="1"/>
  <c r="PZK10" i="9" s="1"/>
  <c r="PZM10" i="9" s="1"/>
  <c r="PZO10" i="9" s="1"/>
  <c r="PZQ10" i="9" s="1"/>
  <c r="PZS10" i="9" s="1"/>
  <c r="PZU10" i="9" s="1"/>
  <c r="PZW10" i="9" s="1"/>
  <c r="PZY10" i="9" s="1"/>
  <c r="QAA10" i="9" s="1"/>
  <c r="QAC10" i="9" s="1"/>
  <c r="QAE10" i="9" s="1"/>
  <c r="QAG10" i="9" s="1"/>
  <c r="QAI10" i="9" s="1"/>
  <c r="QAK10" i="9" s="1"/>
  <c r="QAM10" i="9" s="1"/>
  <c r="QAO10" i="9" s="1"/>
  <c r="QAQ10" i="9" s="1"/>
  <c r="QAS10" i="9" s="1"/>
  <c r="QAU10" i="9" s="1"/>
  <c r="QAW10" i="9" s="1"/>
  <c r="QAY10" i="9" s="1"/>
  <c r="QBA10" i="9" s="1"/>
  <c r="QBC10" i="9" s="1"/>
  <c r="QBE10" i="9" s="1"/>
  <c r="QBG10" i="9" s="1"/>
  <c r="QBI10" i="9" s="1"/>
  <c r="QBK10" i="9" s="1"/>
  <c r="QBM10" i="9" s="1"/>
  <c r="QBO10" i="9" s="1"/>
  <c r="QBQ10" i="9" s="1"/>
  <c r="QBS10" i="9" s="1"/>
  <c r="QBU10" i="9" s="1"/>
  <c r="QBW10" i="9" s="1"/>
  <c r="QBY10" i="9" s="1"/>
  <c r="QCA10" i="9" s="1"/>
  <c r="QCC10" i="9" s="1"/>
  <c r="QCE10" i="9" s="1"/>
  <c r="QCG10" i="9" s="1"/>
  <c r="QCI10" i="9" s="1"/>
  <c r="QCK10" i="9" s="1"/>
  <c r="QCM10" i="9" s="1"/>
  <c r="QCO10" i="9" s="1"/>
  <c r="QCQ10" i="9" s="1"/>
  <c r="QCS10" i="9" s="1"/>
  <c r="QCU10" i="9" s="1"/>
  <c r="QCW10" i="9" s="1"/>
  <c r="QCY10" i="9" s="1"/>
  <c r="QDA10" i="9" s="1"/>
  <c r="QDC10" i="9" s="1"/>
  <c r="QDE10" i="9" s="1"/>
  <c r="QDG10" i="9" s="1"/>
  <c r="QDI10" i="9" s="1"/>
  <c r="QDK10" i="9" s="1"/>
  <c r="QDM10" i="9" s="1"/>
  <c r="QDO10" i="9" s="1"/>
  <c r="QDQ10" i="9" s="1"/>
  <c r="QDS10" i="9" s="1"/>
  <c r="QDU10" i="9" s="1"/>
  <c r="QDW10" i="9" s="1"/>
  <c r="QDY10" i="9" s="1"/>
  <c r="QEA10" i="9" s="1"/>
  <c r="QEC10" i="9" s="1"/>
  <c r="QEE10" i="9" s="1"/>
  <c r="QEG10" i="9" s="1"/>
  <c r="QEI10" i="9" s="1"/>
  <c r="QEK10" i="9" s="1"/>
  <c r="QEM10" i="9" s="1"/>
  <c r="QEO10" i="9" s="1"/>
  <c r="QEQ10" i="9" s="1"/>
  <c r="QES10" i="9" s="1"/>
  <c r="QEU10" i="9" s="1"/>
  <c r="QEW10" i="9" s="1"/>
  <c r="QEY10" i="9" s="1"/>
  <c r="QFA10" i="9" s="1"/>
  <c r="QFC10" i="9" s="1"/>
  <c r="QFE10" i="9" s="1"/>
  <c r="QFG10" i="9" s="1"/>
  <c r="QFI10" i="9" s="1"/>
  <c r="QFK10" i="9" s="1"/>
  <c r="QFM10" i="9" s="1"/>
  <c r="QFO10" i="9" s="1"/>
  <c r="QFQ10" i="9" s="1"/>
  <c r="QFS10" i="9" s="1"/>
  <c r="QFU10" i="9" s="1"/>
  <c r="QFW10" i="9" s="1"/>
  <c r="QFY10" i="9" s="1"/>
  <c r="QGA10" i="9" s="1"/>
  <c r="QGC10" i="9" s="1"/>
  <c r="QGE10" i="9" s="1"/>
  <c r="QGG10" i="9" s="1"/>
  <c r="QGI10" i="9" s="1"/>
  <c r="QGK10" i="9" s="1"/>
  <c r="QGM10" i="9" s="1"/>
  <c r="QGO10" i="9" s="1"/>
  <c r="QGQ10" i="9" s="1"/>
  <c r="QGS10" i="9" s="1"/>
  <c r="QGU10" i="9" s="1"/>
  <c r="QGW10" i="9" s="1"/>
  <c r="QGY10" i="9" s="1"/>
  <c r="QHA10" i="9" s="1"/>
  <c r="QHC10" i="9" s="1"/>
  <c r="QHE10" i="9" s="1"/>
  <c r="QHG10" i="9" s="1"/>
  <c r="QHI10" i="9" s="1"/>
  <c r="QHK10" i="9" s="1"/>
  <c r="QHM10" i="9" s="1"/>
  <c r="QHO10" i="9" s="1"/>
  <c r="QHQ10" i="9" s="1"/>
  <c r="QHS10" i="9" s="1"/>
  <c r="QHU10" i="9" s="1"/>
  <c r="QHW10" i="9" s="1"/>
  <c r="QHY10" i="9" s="1"/>
  <c r="QIA10" i="9" s="1"/>
  <c r="QIC10" i="9" s="1"/>
  <c r="QIE10" i="9" s="1"/>
  <c r="QIG10" i="9" s="1"/>
  <c r="QII10" i="9" s="1"/>
  <c r="QIK10" i="9" s="1"/>
  <c r="QIM10" i="9" s="1"/>
  <c r="QIO10" i="9" s="1"/>
  <c r="QIQ10" i="9" s="1"/>
  <c r="QIS10" i="9" s="1"/>
  <c r="QIU10" i="9" s="1"/>
  <c r="QIW10" i="9" s="1"/>
  <c r="QIY10" i="9" s="1"/>
  <c r="QJA10" i="9" s="1"/>
  <c r="QJC10" i="9" s="1"/>
  <c r="QJE10" i="9" s="1"/>
  <c r="QJG10" i="9" s="1"/>
  <c r="QJI10" i="9" s="1"/>
  <c r="QJK10" i="9" s="1"/>
  <c r="QJM10" i="9" s="1"/>
  <c r="QJO10" i="9" s="1"/>
  <c r="QJQ10" i="9" s="1"/>
  <c r="QJS10" i="9" s="1"/>
  <c r="QJU10" i="9" s="1"/>
  <c r="QJW10" i="9" s="1"/>
  <c r="QJY10" i="9" s="1"/>
  <c r="QKA10" i="9" s="1"/>
  <c r="QKC10" i="9" s="1"/>
  <c r="QKE10" i="9" s="1"/>
  <c r="QKG10" i="9" s="1"/>
  <c r="QKI10" i="9" s="1"/>
  <c r="QKK10" i="9" s="1"/>
  <c r="QKM10" i="9" s="1"/>
  <c r="QKO10" i="9" s="1"/>
  <c r="QKQ10" i="9" s="1"/>
  <c r="QKS10" i="9" s="1"/>
  <c r="QKU10" i="9" s="1"/>
  <c r="QKW10" i="9" s="1"/>
  <c r="QKY10" i="9" s="1"/>
  <c r="QLA10" i="9" s="1"/>
  <c r="QLC10" i="9" s="1"/>
  <c r="QLE10" i="9" s="1"/>
  <c r="QLG10" i="9" s="1"/>
  <c r="QLI10" i="9" s="1"/>
  <c r="QLK10" i="9" s="1"/>
  <c r="QLM10" i="9" s="1"/>
  <c r="QLO10" i="9" s="1"/>
  <c r="QLQ10" i="9" s="1"/>
  <c r="QLS10" i="9" s="1"/>
  <c r="QLU10" i="9" s="1"/>
  <c r="QLW10" i="9" s="1"/>
  <c r="QLY10" i="9" s="1"/>
  <c r="QMA10" i="9" s="1"/>
  <c r="QMC10" i="9" s="1"/>
  <c r="QME10" i="9" s="1"/>
  <c r="QMG10" i="9" s="1"/>
  <c r="QMI10" i="9" s="1"/>
  <c r="QMK10" i="9" s="1"/>
  <c r="QMM10" i="9" s="1"/>
  <c r="QMO10" i="9" s="1"/>
  <c r="QMQ10" i="9" s="1"/>
  <c r="QMS10" i="9" s="1"/>
  <c r="QMU10" i="9" s="1"/>
  <c r="QMW10" i="9" s="1"/>
  <c r="QMY10" i="9" s="1"/>
  <c r="QNA10" i="9" s="1"/>
  <c r="QNC10" i="9" s="1"/>
  <c r="QNE10" i="9" s="1"/>
  <c r="QNG10" i="9" s="1"/>
  <c r="QNI10" i="9" s="1"/>
  <c r="QNK10" i="9" s="1"/>
  <c r="QNM10" i="9" s="1"/>
  <c r="QNO10" i="9" s="1"/>
  <c r="QNQ10" i="9" s="1"/>
  <c r="QNS10" i="9" s="1"/>
  <c r="QNU10" i="9" s="1"/>
  <c r="QNW10" i="9" s="1"/>
  <c r="QNY10" i="9" s="1"/>
  <c r="QOA10" i="9" s="1"/>
  <c r="QOC10" i="9" s="1"/>
  <c r="QOE10" i="9" s="1"/>
  <c r="QOG10" i="9" s="1"/>
  <c r="QOI10" i="9" s="1"/>
  <c r="QOK10" i="9" s="1"/>
  <c r="QOM10" i="9" s="1"/>
  <c r="QOO10" i="9" s="1"/>
  <c r="QOQ10" i="9" s="1"/>
  <c r="QOS10" i="9" s="1"/>
  <c r="QOU10" i="9" s="1"/>
  <c r="QOW10" i="9" s="1"/>
  <c r="QOY10" i="9" s="1"/>
  <c r="QPA10" i="9" s="1"/>
  <c r="QPC10" i="9" s="1"/>
  <c r="QPE10" i="9" s="1"/>
  <c r="QPG10" i="9" s="1"/>
  <c r="QPI10" i="9" s="1"/>
  <c r="QPK10" i="9" s="1"/>
  <c r="QPM10" i="9" s="1"/>
  <c r="QPO10" i="9" s="1"/>
  <c r="QPQ10" i="9" s="1"/>
  <c r="QPS10" i="9" s="1"/>
  <c r="QPU10" i="9" s="1"/>
  <c r="QPW10" i="9" s="1"/>
  <c r="QPY10" i="9" s="1"/>
  <c r="QQA10" i="9" s="1"/>
  <c r="QQC10" i="9" s="1"/>
  <c r="QQE10" i="9" s="1"/>
  <c r="QQG10" i="9" s="1"/>
  <c r="QQI10" i="9" s="1"/>
  <c r="QQK10" i="9" s="1"/>
  <c r="QQM10" i="9" s="1"/>
  <c r="QQO10" i="9" s="1"/>
  <c r="QQQ10" i="9" s="1"/>
  <c r="QQS10" i="9" s="1"/>
  <c r="QQU10" i="9" s="1"/>
  <c r="QQW10" i="9" s="1"/>
  <c r="QQY10" i="9" s="1"/>
  <c r="QRA10" i="9" s="1"/>
  <c r="QRC10" i="9" s="1"/>
  <c r="QRE10" i="9" s="1"/>
  <c r="QRG10" i="9" s="1"/>
  <c r="QRI10" i="9" s="1"/>
  <c r="QRK10" i="9" s="1"/>
  <c r="QRM10" i="9" s="1"/>
  <c r="QRO10" i="9" s="1"/>
  <c r="QRQ10" i="9" s="1"/>
  <c r="QRS10" i="9" s="1"/>
  <c r="QRU10" i="9" s="1"/>
  <c r="QRW10" i="9" s="1"/>
  <c r="QRY10" i="9" s="1"/>
  <c r="QSA10" i="9" s="1"/>
  <c r="QSC10" i="9" s="1"/>
  <c r="QSE10" i="9" s="1"/>
  <c r="QSG10" i="9" s="1"/>
  <c r="QSI10" i="9" s="1"/>
  <c r="QSK10" i="9" s="1"/>
  <c r="QSM10" i="9" s="1"/>
  <c r="QSO10" i="9" s="1"/>
  <c r="QSQ10" i="9" s="1"/>
  <c r="QSS10" i="9" s="1"/>
  <c r="QSU10" i="9" s="1"/>
  <c r="QSW10" i="9" s="1"/>
  <c r="QSY10" i="9" s="1"/>
  <c r="QTA10" i="9" s="1"/>
  <c r="QTC10" i="9" s="1"/>
  <c r="QTE10" i="9" s="1"/>
  <c r="QTG10" i="9" s="1"/>
  <c r="QTI10" i="9" s="1"/>
  <c r="QTK10" i="9" s="1"/>
  <c r="QTM10" i="9" s="1"/>
  <c r="QTO10" i="9" s="1"/>
  <c r="QTQ10" i="9" s="1"/>
  <c r="QTS10" i="9" s="1"/>
  <c r="QTU10" i="9" s="1"/>
  <c r="QTW10" i="9" s="1"/>
  <c r="QTY10" i="9" s="1"/>
  <c r="QUA10" i="9" s="1"/>
  <c r="QUC10" i="9" s="1"/>
  <c r="QUE10" i="9" s="1"/>
  <c r="QUG10" i="9" s="1"/>
  <c r="QUI10" i="9" s="1"/>
  <c r="QUK10" i="9" s="1"/>
  <c r="QUM10" i="9" s="1"/>
  <c r="QUO10" i="9" s="1"/>
  <c r="QUQ10" i="9" s="1"/>
  <c r="QUS10" i="9" s="1"/>
  <c r="QUU10" i="9" s="1"/>
  <c r="QUW10" i="9" s="1"/>
  <c r="QUY10" i="9" s="1"/>
  <c r="QVA10" i="9" s="1"/>
  <c r="QVC10" i="9" s="1"/>
  <c r="QVE10" i="9" s="1"/>
  <c r="QVG10" i="9" s="1"/>
  <c r="QVI10" i="9" s="1"/>
  <c r="QVK10" i="9" s="1"/>
  <c r="QVM10" i="9" s="1"/>
  <c r="QVO10" i="9" s="1"/>
  <c r="QVQ10" i="9" s="1"/>
  <c r="QVS10" i="9" s="1"/>
  <c r="QVU10" i="9" s="1"/>
  <c r="QVW10" i="9" s="1"/>
  <c r="QVY10" i="9" s="1"/>
  <c r="QWA10" i="9" s="1"/>
  <c r="QWC10" i="9" s="1"/>
  <c r="QWE10" i="9" s="1"/>
  <c r="QWG10" i="9" s="1"/>
  <c r="QWI10" i="9" s="1"/>
  <c r="QWK10" i="9" s="1"/>
  <c r="QWM10" i="9" s="1"/>
  <c r="QWO10" i="9" s="1"/>
  <c r="QWQ10" i="9" s="1"/>
  <c r="QWS10" i="9" s="1"/>
  <c r="QWU10" i="9" s="1"/>
  <c r="QWW10" i="9" s="1"/>
  <c r="QWY10" i="9" s="1"/>
  <c r="QXA10" i="9" s="1"/>
  <c r="QXC10" i="9" s="1"/>
  <c r="QXE10" i="9" s="1"/>
  <c r="QXG10" i="9" s="1"/>
  <c r="QXI10" i="9" s="1"/>
  <c r="QXK10" i="9" s="1"/>
  <c r="QXM10" i="9" s="1"/>
  <c r="QXO10" i="9" s="1"/>
  <c r="QXQ10" i="9" s="1"/>
  <c r="QXS10" i="9" s="1"/>
  <c r="QXU10" i="9" s="1"/>
  <c r="QXW10" i="9" s="1"/>
  <c r="QXY10" i="9" s="1"/>
  <c r="QYA10" i="9" s="1"/>
  <c r="QYC10" i="9" s="1"/>
  <c r="QYE10" i="9" s="1"/>
  <c r="QYG10" i="9" s="1"/>
  <c r="QYI10" i="9" s="1"/>
  <c r="QYK10" i="9" s="1"/>
  <c r="QYM10" i="9" s="1"/>
  <c r="QYO10" i="9" s="1"/>
  <c r="QYQ10" i="9" s="1"/>
  <c r="QYS10" i="9" s="1"/>
  <c r="QYU10" i="9" s="1"/>
  <c r="QYW10" i="9" s="1"/>
  <c r="QYY10" i="9" s="1"/>
  <c r="QZA10" i="9" s="1"/>
  <c r="QZC10" i="9" s="1"/>
  <c r="QZE10" i="9" s="1"/>
  <c r="QZG10" i="9" s="1"/>
  <c r="QZI10" i="9" s="1"/>
  <c r="QZK10" i="9" s="1"/>
  <c r="QZM10" i="9" s="1"/>
  <c r="QZO10" i="9" s="1"/>
  <c r="QZQ10" i="9" s="1"/>
  <c r="QZS10" i="9" s="1"/>
  <c r="QZU10" i="9" s="1"/>
  <c r="QZW10" i="9" s="1"/>
  <c r="QZY10" i="9" s="1"/>
  <c r="RAA10" i="9" s="1"/>
  <c r="RAC10" i="9" s="1"/>
  <c r="RAE10" i="9" s="1"/>
  <c r="RAG10" i="9" s="1"/>
  <c r="RAI10" i="9" s="1"/>
  <c r="RAK10" i="9" s="1"/>
  <c r="RAM10" i="9" s="1"/>
  <c r="RAO10" i="9" s="1"/>
  <c r="RAQ10" i="9" s="1"/>
  <c r="RAS10" i="9" s="1"/>
  <c r="RAU10" i="9" s="1"/>
  <c r="RAW10" i="9" s="1"/>
  <c r="RAY10" i="9" s="1"/>
  <c r="RBA10" i="9" s="1"/>
  <c r="RBC10" i="9" s="1"/>
  <c r="RBE10" i="9" s="1"/>
  <c r="RBG10" i="9" s="1"/>
  <c r="RBI10" i="9" s="1"/>
  <c r="RBK10" i="9" s="1"/>
  <c r="RBM10" i="9" s="1"/>
  <c r="RBO10" i="9" s="1"/>
  <c r="RBQ10" i="9" s="1"/>
  <c r="RBS10" i="9" s="1"/>
  <c r="RBU10" i="9" s="1"/>
  <c r="RBW10" i="9" s="1"/>
  <c r="RBY10" i="9" s="1"/>
  <c r="RCA10" i="9" s="1"/>
  <c r="RCC10" i="9" s="1"/>
  <c r="RCE10" i="9" s="1"/>
  <c r="RCG10" i="9" s="1"/>
  <c r="RCI10" i="9" s="1"/>
  <c r="RCK10" i="9" s="1"/>
  <c r="RCM10" i="9" s="1"/>
  <c r="RCO10" i="9" s="1"/>
  <c r="RCQ10" i="9" s="1"/>
  <c r="RCS10" i="9" s="1"/>
  <c r="RCU10" i="9" s="1"/>
  <c r="RCW10" i="9" s="1"/>
  <c r="RCY10" i="9" s="1"/>
  <c r="RDA10" i="9" s="1"/>
  <c r="RDC10" i="9" s="1"/>
  <c r="RDE10" i="9" s="1"/>
  <c r="RDG10" i="9" s="1"/>
  <c r="RDI10" i="9" s="1"/>
  <c r="RDK10" i="9" s="1"/>
  <c r="RDM10" i="9" s="1"/>
  <c r="RDO10" i="9" s="1"/>
  <c r="RDQ10" i="9" s="1"/>
  <c r="RDS10" i="9" s="1"/>
  <c r="RDU10" i="9" s="1"/>
  <c r="RDW10" i="9" s="1"/>
  <c r="RDY10" i="9" s="1"/>
  <c r="REA10" i="9" s="1"/>
  <c r="REC10" i="9" s="1"/>
  <c r="REE10" i="9" s="1"/>
  <c r="REG10" i="9" s="1"/>
  <c r="REI10" i="9" s="1"/>
  <c r="REK10" i="9" s="1"/>
  <c r="REM10" i="9" s="1"/>
  <c r="REO10" i="9" s="1"/>
  <c r="REQ10" i="9" s="1"/>
  <c r="RES10" i="9" s="1"/>
  <c r="REU10" i="9" s="1"/>
  <c r="REW10" i="9" s="1"/>
  <c r="REY10" i="9" s="1"/>
  <c r="RFA10" i="9" s="1"/>
  <c r="RFC10" i="9" s="1"/>
  <c r="RFE10" i="9" s="1"/>
  <c r="RFG10" i="9" s="1"/>
  <c r="RFI10" i="9" s="1"/>
  <c r="RFK10" i="9" s="1"/>
  <c r="RFM10" i="9" s="1"/>
  <c r="RFO10" i="9" s="1"/>
  <c r="RFQ10" i="9" s="1"/>
  <c r="RFS10" i="9" s="1"/>
  <c r="RFU10" i="9" s="1"/>
  <c r="RFW10" i="9" s="1"/>
  <c r="RFY10" i="9" s="1"/>
  <c r="RGA10" i="9" s="1"/>
  <c r="RGC10" i="9" s="1"/>
  <c r="RGE10" i="9" s="1"/>
  <c r="RGG10" i="9" s="1"/>
  <c r="RGI10" i="9" s="1"/>
  <c r="RGK10" i="9" s="1"/>
  <c r="RGM10" i="9" s="1"/>
  <c r="RGO10" i="9" s="1"/>
  <c r="RGQ10" i="9" s="1"/>
  <c r="RGS10" i="9" s="1"/>
  <c r="RGU10" i="9" s="1"/>
  <c r="RGW10" i="9" s="1"/>
  <c r="RGY10" i="9" s="1"/>
  <c r="RHA10" i="9" s="1"/>
  <c r="RHC10" i="9" s="1"/>
  <c r="RHE10" i="9" s="1"/>
  <c r="RHG10" i="9" s="1"/>
  <c r="RHI10" i="9" s="1"/>
  <c r="RHK10" i="9" s="1"/>
  <c r="RHM10" i="9" s="1"/>
  <c r="RHO10" i="9" s="1"/>
  <c r="RHQ10" i="9" s="1"/>
  <c r="RHS10" i="9" s="1"/>
  <c r="RHU10" i="9" s="1"/>
  <c r="RHW10" i="9" s="1"/>
  <c r="RHY10" i="9" s="1"/>
  <c r="RIA10" i="9" s="1"/>
  <c r="RIC10" i="9" s="1"/>
  <c r="RIE10" i="9" s="1"/>
  <c r="RIG10" i="9" s="1"/>
  <c r="RII10" i="9" s="1"/>
  <c r="RIK10" i="9" s="1"/>
  <c r="RIM10" i="9" s="1"/>
  <c r="RIO10" i="9" s="1"/>
  <c r="RIQ10" i="9" s="1"/>
  <c r="RIS10" i="9" s="1"/>
  <c r="RIU10" i="9" s="1"/>
  <c r="RIW10" i="9" s="1"/>
  <c r="RIY10" i="9" s="1"/>
  <c r="RJA10" i="9" s="1"/>
  <c r="RJC10" i="9" s="1"/>
  <c r="RJE10" i="9" s="1"/>
  <c r="RJG10" i="9" s="1"/>
  <c r="RJI10" i="9" s="1"/>
  <c r="RJK10" i="9" s="1"/>
  <c r="RJM10" i="9" s="1"/>
  <c r="RJO10" i="9" s="1"/>
  <c r="RJQ10" i="9" s="1"/>
  <c r="RJS10" i="9" s="1"/>
  <c r="RJU10" i="9" s="1"/>
  <c r="RJW10" i="9" s="1"/>
  <c r="RJY10" i="9" s="1"/>
  <c r="RKA10" i="9" s="1"/>
  <c r="RKC10" i="9" s="1"/>
  <c r="RKE10" i="9" s="1"/>
  <c r="RKG10" i="9" s="1"/>
  <c r="RKI10" i="9" s="1"/>
  <c r="RKK10" i="9" s="1"/>
  <c r="RKM10" i="9" s="1"/>
  <c r="RKO10" i="9" s="1"/>
  <c r="RKQ10" i="9" s="1"/>
  <c r="RKS10" i="9" s="1"/>
  <c r="RKU10" i="9" s="1"/>
  <c r="RKW10" i="9" s="1"/>
  <c r="RKY10" i="9" s="1"/>
  <c r="RLA10" i="9" s="1"/>
  <c r="RLC10" i="9" s="1"/>
  <c r="RLE10" i="9" s="1"/>
  <c r="RLG10" i="9" s="1"/>
  <c r="RLI10" i="9" s="1"/>
  <c r="RLK10" i="9" s="1"/>
  <c r="RLM10" i="9" s="1"/>
  <c r="RLO10" i="9" s="1"/>
  <c r="RLQ10" i="9" s="1"/>
  <c r="RLS10" i="9" s="1"/>
  <c r="RLU10" i="9" s="1"/>
  <c r="RLW10" i="9" s="1"/>
  <c r="RLY10" i="9" s="1"/>
  <c r="RMA10" i="9" s="1"/>
  <c r="RMC10" i="9" s="1"/>
  <c r="RME10" i="9" s="1"/>
  <c r="RMG10" i="9" s="1"/>
  <c r="RMI10" i="9" s="1"/>
  <c r="RMK10" i="9" s="1"/>
  <c r="RMM10" i="9" s="1"/>
  <c r="RMO10" i="9" s="1"/>
  <c r="RMQ10" i="9" s="1"/>
  <c r="RMS10" i="9" s="1"/>
  <c r="RMU10" i="9" s="1"/>
  <c r="RMW10" i="9" s="1"/>
  <c r="RMY10" i="9" s="1"/>
  <c r="RNA10" i="9" s="1"/>
  <c r="RNC10" i="9" s="1"/>
  <c r="RNE10" i="9" s="1"/>
  <c r="RNG10" i="9" s="1"/>
  <c r="RNI10" i="9" s="1"/>
  <c r="RNK10" i="9" s="1"/>
  <c r="RNM10" i="9" s="1"/>
  <c r="RNO10" i="9" s="1"/>
  <c r="RNQ10" i="9" s="1"/>
  <c r="RNS10" i="9" s="1"/>
  <c r="RNU10" i="9" s="1"/>
  <c r="RNW10" i="9" s="1"/>
  <c r="RNY10" i="9" s="1"/>
  <c r="ROA10" i="9" s="1"/>
  <c r="ROC10" i="9" s="1"/>
  <c r="ROE10" i="9" s="1"/>
  <c r="ROG10" i="9" s="1"/>
  <c r="ROI10" i="9" s="1"/>
  <c r="ROK10" i="9" s="1"/>
  <c r="ROM10" i="9" s="1"/>
  <c r="ROO10" i="9" s="1"/>
  <c r="ROQ10" i="9" s="1"/>
  <c r="ROS10" i="9" s="1"/>
  <c r="ROU10" i="9" s="1"/>
  <c r="ROW10" i="9" s="1"/>
  <c r="ROY10" i="9" s="1"/>
  <c r="RPA10" i="9" s="1"/>
  <c r="RPC10" i="9" s="1"/>
  <c r="RPE10" i="9" s="1"/>
  <c r="RPG10" i="9" s="1"/>
  <c r="RPI10" i="9" s="1"/>
  <c r="RPK10" i="9" s="1"/>
  <c r="RPM10" i="9" s="1"/>
  <c r="RPO10" i="9" s="1"/>
  <c r="RPQ10" i="9" s="1"/>
  <c r="RPS10" i="9" s="1"/>
  <c r="RPU10" i="9" s="1"/>
  <c r="RPW10" i="9" s="1"/>
  <c r="RPY10" i="9" s="1"/>
  <c r="RQA10" i="9" s="1"/>
  <c r="RQC10" i="9" s="1"/>
  <c r="RQE10" i="9" s="1"/>
  <c r="RQG10" i="9" s="1"/>
  <c r="RQI10" i="9" s="1"/>
  <c r="RQK10" i="9" s="1"/>
  <c r="RQM10" i="9" s="1"/>
  <c r="RQO10" i="9" s="1"/>
  <c r="RQQ10" i="9" s="1"/>
  <c r="RQS10" i="9" s="1"/>
  <c r="RQU10" i="9" s="1"/>
  <c r="RQW10" i="9" s="1"/>
  <c r="RQY10" i="9" s="1"/>
  <c r="RRA10" i="9" s="1"/>
  <c r="RRC10" i="9" s="1"/>
  <c r="RRE10" i="9" s="1"/>
  <c r="RRG10" i="9" s="1"/>
  <c r="RRI10" i="9" s="1"/>
  <c r="RRK10" i="9" s="1"/>
  <c r="RRM10" i="9" s="1"/>
  <c r="RRO10" i="9" s="1"/>
  <c r="RRQ10" i="9" s="1"/>
  <c r="RRS10" i="9" s="1"/>
  <c r="RRU10" i="9" s="1"/>
  <c r="RRW10" i="9" s="1"/>
  <c r="RRY10" i="9" s="1"/>
  <c r="RSA10" i="9" s="1"/>
  <c r="RSC10" i="9" s="1"/>
  <c r="RSE10" i="9" s="1"/>
  <c r="RSG10" i="9" s="1"/>
  <c r="RSI10" i="9" s="1"/>
  <c r="RSK10" i="9" s="1"/>
  <c r="RSM10" i="9" s="1"/>
  <c r="RSO10" i="9" s="1"/>
  <c r="RSQ10" i="9" s="1"/>
  <c r="RSS10" i="9" s="1"/>
  <c r="RSU10" i="9" s="1"/>
  <c r="RSW10" i="9" s="1"/>
  <c r="RSY10" i="9" s="1"/>
  <c r="RTA10" i="9" s="1"/>
  <c r="RTC10" i="9" s="1"/>
  <c r="RTE10" i="9" s="1"/>
  <c r="RTG10" i="9" s="1"/>
  <c r="RTI10" i="9" s="1"/>
  <c r="RTK10" i="9" s="1"/>
  <c r="RTM10" i="9" s="1"/>
  <c r="RTO10" i="9" s="1"/>
  <c r="RTQ10" i="9" s="1"/>
  <c r="RTS10" i="9" s="1"/>
  <c r="RTU10" i="9" s="1"/>
  <c r="RTW10" i="9" s="1"/>
  <c r="RTY10" i="9" s="1"/>
  <c r="RUA10" i="9" s="1"/>
  <c r="RUC10" i="9" s="1"/>
  <c r="RUE10" i="9" s="1"/>
  <c r="RUG10" i="9" s="1"/>
  <c r="RUI10" i="9" s="1"/>
  <c r="RUK10" i="9" s="1"/>
  <c r="RUM10" i="9" s="1"/>
  <c r="RUO10" i="9" s="1"/>
  <c r="RUQ10" i="9" s="1"/>
  <c r="RUS10" i="9" s="1"/>
  <c r="RUU10" i="9" s="1"/>
  <c r="RUW10" i="9" s="1"/>
  <c r="RUY10" i="9" s="1"/>
  <c r="RVA10" i="9" s="1"/>
  <c r="RVC10" i="9" s="1"/>
  <c r="RVE10" i="9" s="1"/>
  <c r="RVG10" i="9" s="1"/>
  <c r="RVI10" i="9" s="1"/>
  <c r="RVK10" i="9" s="1"/>
  <c r="RVM10" i="9" s="1"/>
  <c r="RVO10" i="9" s="1"/>
  <c r="RVQ10" i="9" s="1"/>
  <c r="RVS10" i="9" s="1"/>
  <c r="RVU10" i="9" s="1"/>
  <c r="RVW10" i="9" s="1"/>
  <c r="RVY10" i="9" s="1"/>
  <c r="RWA10" i="9" s="1"/>
  <c r="RWC10" i="9" s="1"/>
  <c r="RWE10" i="9" s="1"/>
  <c r="RWG10" i="9" s="1"/>
  <c r="RWI10" i="9" s="1"/>
  <c r="RWK10" i="9" s="1"/>
  <c r="RWM10" i="9" s="1"/>
  <c r="RWO10" i="9" s="1"/>
  <c r="RWQ10" i="9" s="1"/>
  <c r="RWS10" i="9" s="1"/>
  <c r="RWU10" i="9" s="1"/>
  <c r="RWW10" i="9" s="1"/>
  <c r="RWY10" i="9" s="1"/>
  <c r="RXA10" i="9" s="1"/>
  <c r="RXC10" i="9" s="1"/>
  <c r="RXE10" i="9" s="1"/>
  <c r="RXG10" i="9" s="1"/>
  <c r="RXI10" i="9" s="1"/>
  <c r="RXK10" i="9" s="1"/>
  <c r="RXM10" i="9" s="1"/>
  <c r="RXO10" i="9" s="1"/>
  <c r="RXQ10" i="9" s="1"/>
  <c r="RXS10" i="9" s="1"/>
  <c r="RXU10" i="9" s="1"/>
  <c r="RXW10" i="9" s="1"/>
  <c r="RXY10" i="9" s="1"/>
  <c r="RYA10" i="9" s="1"/>
  <c r="RYC10" i="9" s="1"/>
  <c r="RYE10" i="9" s="1"/>
  <c r="RYG10" i="9" s="1"/>
  <c r="RYI10" i="9" s="1"/>
  <c r="RYK10" i="9" s="1"/>
  <c r="RYM10" i="9" s="1"/>
  <c r="RYO10" i="9" s="1"/>
  <c r="RYQ10" i="9" s="1"/>
  <c r="RYS10" i="9" s="1"/>
  <c r="RYU10" i="9" s="1"/>
  <c r="RYW10" i="9" s="1"/>
  <c r="RYY10" i="9" s="1"/>
  <c r="RZA10" i="9" s="1"/>
  <c r="RZC10" i="9" s="1"/>
  <c r="RZE10" i="9" s="1"/>
  <c r="RZG10" i="9" s="1"/>
  <c r="RZI10" i="9" s="1"/>
  <c r="RZK10" i="9" s="1"/>
  <c r="RZM10" i="9" s="1"/>
  <c r="RZO10" i="9" s="1"/>
  <c r="RZQ10" i="9" s="1"/>
  <c r="RZS10" i="9" s="1"/>
  <c r="RZU10" i="9" s="1"/>
  <c r="RZW10" i="9" s="1"/>
  <c r="RZY10" i="9" s="1"/>
  <c r="SAA10" i="9" s="1"/>
  <c r="SAC10" i="9" s="1"/>
  <c r="SAE10" i="9" s="1"/>
  <c r="SAG10" i="9" s="1"/>
  <c r="SAI10" i="9" s="1"/>
  <c r="SAK10" i="9" s="1"/>
  <c r="SAM10" i="9" s="1"/>
  <c r="SAO10" i="9" s="1"/>
  <c r="SAQ10" i="9" s="1"/>
  <c r="SAS10" i="9" s="1"/>
  <c r="SAU10" i="9" s="1"/>
  <c r="SAW10" i="9" s="1"/>
  <c r="SAY10" i="9" s="1"/>
  <c r="SBA10" i="9" s="1"/>
  <c r="SBC10" i="9" s="1"/>
  <c r="SBE10" i="9" s="1"/>
  <c r="SBG10" i="9" s="1"/>
  <c r="SBI10" i="9" s="1"/>
  <c r="SBK10" i="9" s="1"/>
  <c r="SBM10" i="9" s="1"/>
  <c r="SBO10" i="9" s="1"/>
  <c r="SBQ10" i="9" s="1"/>
  <c r="SBS10" i="9" s="1"/>
  <c r="SBU10" i="9" s="1"/>
  <c r="SBW10" i="9" s="1"/>
  <c r="SBY10" i="9" s="1"/>
  <c r="SCA10" i="9" s="1"/>
  <c r="SCC10" i="9" s="1"/>
  <c r="SCE10" i="9" s="1"/>
  <c r="SCG10" i="9" s="1"/>
  <c r="SCI10" i="9" s="1"/>
  <c r="SCK10" i="9" s="1"/>
  <c r="SCM10" i="9" s="1"/>
  <c r="SCO10" i="9" s="1"/>
  <c r="SCQ10" i="9" s="1"/>
  <c r="SCS10" i="9" s="1"/>
  <c r="SCU10" i="9" s="1"/>
  <c r="SCW10" i="9" s="1"/>
  <c r="SCY10" i="9" s="1"/>
  <c r="SDA10" i="9" s="1"/>
  <c r="SDC10" i="9" s="1"/>
  <c r="SDE10" i="9" s="1"/>
  <c r="SDG10" i="9" s="1"/>
  <c r="SDI10" i="9" s="1"/>
  <c r="SDK10" i="9" s="1"/>
  <c r="SDM10" i="9" s="1"/>
  <c r="SDO10" i="9" s="1"/>
  <c r="SDQ10" i="9" s="1"/>
  <c r="SDS10" i="9" s="1"/>
  <c r="SDU10" i="9" s="1"/>
  <c r="SDW10" i="9" s="1"/>
  <c r="SDY10" i="9" s="1"/>
  <c r="SEA10" i="9" s="1"/>
  <c r="SEC10" i="9" s="1"/>
  <c r="SEE10" i="9" s="1"/>
  <c r="SEG10" i="9" s="1"/>
  <c r="SEI10" i="9" s="1"/>
  <c r="SEK10" i="9" s="1"/>
  <c r="SEM10" i="9" s="1"/>
  <c r="SEO10" i="9" s="1"/>
  <c r="SEQ10" i="9" s="1"/>
  <c r="SES10" i="9" s="1"/>
  <c r="SEU10" i="9" s="1"/>
  <c r="SEW10" i="9" s="1"/>
  <c r="SEY10" i="9" s="1"/>
  <c r="SFA10" i="9" s="1"/>
  <c r="SFC10" i="9" s="1"/>
  <c r="SFE10" i="9" s="1"/>
  <c r="SFG10" i="9" s="1"/>
  <c r="SFI10" i="9" s="1"/>
  <c r="SFK10" i="9" s="1"/>
  <c r="SFM10" i="9" s="1"/>
  <c r="SFO10" i="9" s="1"/>
  <c r="SFQ10" i="9" s="1"/>
  <c r="SFS10" i="9" s="1"/>
  <c r="SFU10" i="9" s="1"/>
  <c r="SFW10" i="9" s="1"/>
  <c r="SFY10" i="9" s="1"/>
  <c r="SGA10" i="9" s="1"/>
  <c r="SGC10" i="9" s="1"/>
  <c r="SGE10" i="9" s="1"/>
  <c r="SGG10" i="9" s="1"/>
  <c r="SGI10" i="9" s="1"/>
  <c r="SGK10" i="9" s="1"/>
  <c r="SGM10" i="9" s="1"/>
  <c r="SGO10" i="9" s="1"/>
  <c r="SGQ10" i="9" s="1"/>
  <c r="SGS10" i="9" s="1"/>
  <c r="SGU10" i="9" s="1"/>
  <c r="SGW10" i="9" s="1"/>
  <c r="SGY10" i="9" s="1"/>
  <c r="SHA10" i="9" s="1"/>
  <c r="SHC10" i="9" s="1"/>
  <c r="SHE10" i="9" s="1"/>
  <c r="SHG10" i="9" s="1"/>
  <c r="SHI10" i="9" s="1"/>
  <c r="SHK10" i="9" s="1"/>
  <c r="SHM10" i="9" s="1"/>
  <c r="SHO10" i="9" s="1"/>
  <c r="SHQ10" i="9" s="1"/>
  <c r="SHS10" i="9" s="1"/>
  <c r="SHU10" i="9" s="1"/>
  <c r="SHW10" i="9" s="1"/>
  <c r="SHY10" i="9" s="1"/>
  <c r="SIA10" i="9" s="1"/>
  <c r="SIC10" i="9" s="1"/>
  <c r="SIE10" i="9" s="1"/>
  <c r="SIG10" i="9" s="1"/>
  <c r="SII10" i="9" s="1"/>
  <c r="SIK10" i="9" s="1"/>
  <c r="SIM10" i="9" s="1"/>
  <c r="SIO10" i="9" s="1"/>
  <c r="SIQ10" i="9" s="1"/>
  <c r="SIS10" i="9" s="1"/>
  <c r="SIU10" i="9" s="1"/>
  <c r="SIW10" i="9" s="1"/>
  <c r="SIY10" i="9" s="1"/>
  <c r="SJA10" i="9" s="1"/>
  <c r="SJC10" i="9" s="1"/>
  <c r="SJE10" i="9" s="1"/>
  <c r="SJG10" i="9" s="1"/>
  <c r="SJI10" i="9" s="1"/>
  <c r="SJK10" i="9" s="1"/>
  <c r="SJM10" i="9" s="1"/>
  <c r="SJO10" i="9" s="1"/>
  <c r="SJQ10" i="9" s="1"/>
  <c r="SJS10" i="9" s="1"/>
  <c r="SJU10" i="9" s="1"/>
  <c r="SJW10" i="9" s="1"/>
  <c r="SJY10" i="9" s="1"/>
  <c r="SKA10" i="9" s="1"/>
  <c r="SKC10" i="9" s="1"/>
  <c r="SKE10" i="9" s="1"/>
  <c r="SKG10" i="9" s="1"/>
  <c r="SKI10" i="9" s="1"/>
  <c r="SKK10" i="9" s="1"/>
  <c r="SKM10" i="9" s="1"/>
  <c r="SKO10" i="9" s="1"/>
  <c r="SKQ10" i="9" s="1"/>
  <c r="SKS10" i="9" s="1"/>
  <c r="SKU10" i="9" s="1"/>
  <c r="SKW10" i="9" s="1"/>
  <c r="SKY10" i="9" s="1"/>
  <c r="SLA10" i="9" s="1"/>
  <c r="SLC10" i="9" s="1"/>
  <c r="SLE10" i="9" s="1"/>
  <c r="SLG10" i="9" s="1"/>
  <c r="SLI10" i="9" s="1"/>
  <c r="SLK10" i="9" s="1"/>
  <c r="SLM10" i="9" s="1"/>
  <c r="SLO10" i="9" s="1"/>
  <c r="SLQ10" i="9" s="1"/>
  <c r="SLS10" i="9" s="1"/>
  <c r="SLU10" i="9" s="1"/>
  <c r="SLW10" i="9" s="1"/>
  <c r="SLY10" i="9" s="1"/>
  <c r="SMA10" i="9" s="1"/>
  <c r="SMC10" i="9" s="1"/>
  <c r="SME10" i="9" s="1"/>
  <c r="SMG10" i="9" s="1"/>
  <c r="SMI10" i="9" s="1"/>
  <c r="SMK10" i="9" s="1"/>
  <c r="SMM10" i="9" s="1"/>
  <c r="SMO10" i="9" s="1"/>
  <c r="SMQ10" i="9" s="1"/>
  <c r="SMS10" i="9" s="1"/>
  <c r="SMU10" i="9" s="1"/>
  <c r="SMW10" i="9" s="1"/>
  <c r="SMY10" i="9" s="1"/>
  <c r="SNA10" i="9" s="1"/>
  <c r="SNC10" i="9" s="1"/>
  <c r="SNE10" i="9" s="1"/>
  <c r="SNG10" i="9" s="1"/>
  <c r="SNI10" i="9" s="1"/>
  <c r="SNK10" i="9" s="1"/>
  <c r="SNM10" i="9" s="1"/>
  <c r="SNO10" i="9" s="1"/>
  <c r="SNQ10" i="9" s="1"/>
  <c r="SNS10" i="9" s="1"/>
  <c r="SNU10" i="9" s="1"/>
  <c r="SNW10" i="9" s="1"/>
  <c r="SNY10" i="9" s="1"/>
  <c r="SOA10" i="9" s="1"/>
  <c r="SOC10" i="9" s="1"/>
  <c r="SOE10" i="9" s="1"/>
  <c r="SOG10" i="9" s="1"/>
  <c r="SOI10" i="9" s="1"/>
  <c r="SOK10" i="9" s="1"/>
  <c r="SOM10" i="9" s="1"/>
  <c r="SOO10" i="9" s="1"/>
  <c r="SOQ10" i="9" s="1"/>
  <c r="SOS10" i="9" s="1"/>
  <c r="SOU10" i="9" s="1"/>
  <c r="SOW10" i="9" s="1"/>
  <c r="SOY10" i="9" s="1"/>
  <c r="SPA10" i="9" s="1"/>
  <c r="SPC10" i="9" s="1"/>
  <c r="SPE10" i="9" s="1"/>
  <c r="SPG10" i="9" s="1"/>
  <c r="SPI10" i="9" s="1"/>
  <c r="SPK10" i="9" s="1"/>
  <c r="SPM10" i="9" s="1"/>
  <c r="SPO10" i="9" s="1"/>
  <c r="SPQ10" i="9" s="1"/>
  <c r="SPS10" i="9" s="1"/>
  <c r="SPU10" i="9" s="1"/>
  <c r="SPW10" i="9" s="1"/>
  <c r="SPY10" i="9" s="1"/>
  <c r="SQA10" i="9" s="1"/>
  <c r="SQC10" i="9" s="1"/>
  <c r="SQE10" i="9" s="1"/>
  <c r="SQG10" i="9" s="1"/>
  <c r="SQI10" i="9" s="1"/>
  <c r="SQK10" i="9" s="1"/>
  <c r="SQM10" i="9" s="1"/>
  <c r="SQO10" i="9" s="1"/>
  <c r="SQQ10" i="9" s="1"/>
  <c r="SQS10" i="9" s="1"/>
  <c r="SQU10" i="9" s="1"/>
  <c r="SQW10" i="9" s="1"/>
  <c r="SQY10" i="9" s="1"/>
  <c r="SRA10" i="9" s="1"/>
  <c r="SRC10" i="9" s="1"/>
  <c r="SRE10" i="9" s="1"/>
  <c r="SRG10" i="9" s="1"/>
  <c r="SRI10" i="9" s="1"/>
  <c r="SRK10" i="9" s="1"/>
  <c r="SRM10" i="9" s="1"/>
  <c r="SRO10" i="9" s="1"/>
  <c r="SRQ10" i="9" s="1"/>
  <c r="SRS10" i="9" s="1"/>
  <c r="SRU10" i="9" s="1"/>
  <c r="SRW10" i="9" s="1"/>
  <c r="SRY10" i="9" s="1"/>
  <c r="SSA10" i="9" s="1"/>
  <c r="SSC10" i="9" s="1"/>
  <c r="SSE10" i="9" s="1"/>
  <c r="SSG10" i="9" s="1"/>
  <c r="SSI10" i="9" s="1"/>
  <c r="SSK10" i="9" s="1"/>
  <c r="SSM10" i="9" s="1"/>
  <c r="SSO10" i="9" s="1"/>
  <c r="SSQ10" i="9" s="1"/>
  <c r="SSS10" i="9" s="1"/>
  <c r="SSU10" i="9" s="1"/>
  <c r="SSW10" i="9" s="1"/>
  <c r="SSY10" i="9" s="1"/>
  <c r="STA10" i="9" s="1"/>
  <c r="STC10" i="9" s="1"/>
  <c r="STE10" i="9" s="1"/>
  <c r="STG10" i="9" s="1"/>
  <c r="STI10" i="9" s="1"/>
  <c r="STK10" i="9" s="1"/>
  <c r="STM10" i="9" s="1"/>
  <c r="STO10" i="9" s="1"/>
  <c r="STQ10" i="9" s="1"/>
  <c r="STS10" i="9" s="1"/>
  <c r="STU10" i="9" s="1"/>
  <c r="STW10" i="9" s="1"/>
  <c r="STY10" i="9" s="1"/>
  <c r="SUA10" i="9" s="1"/>
  <c r="SUC10" i="9" s="1"/>
  <c r="SUE10" i="9" s="1"/>
  <c r="SUG10" i="9" s="1"/>
  <c r="SUI10" i="9" s="1"/>
  <c r="SUK10" i="9" s="1"/>
  <c r="SUM10" i="9" s="1"/>
  <c r="SUO10" i="9" s="1"/>
  <c r="SUQ10" i="9" s="1"/>
  <c r="SUS10" i="9" s="1"/>
  <c r="SUU10" i="9" s="1"/>
  <c r="SUW10" i="9" s="1"/>
  <c r="SUY10" i="9" s="1"/>
  <c r="SVA10" i="9" s="1"/>
  <c r="SVC10" i="9" s="1"/>
  <c r="SVE10" i="9" s="1"/>
  <c r="SVG10" i="9" s="1"/>
  <c r="SVI10" i="9" s="1"/>
  <c r="SVK10" i="9" s="1"/>
  <c r="SVM10" i="9" s="1"/>
  <c r="SVO10" i="9" s="1"/>
  <c r="SVQ10" i="9" s="1"/>
  <c r="SVS10" i="9" s="1"/>
  <c r="SVU10" i="9" s="1"/>
  <c r="SVW10" i="9" s="1"/>
  <c r="SVY10" i="9" s="1"/>
  <c r="SWA10" i="9" s="1"/>
  <c r="SWC10" i="9" s="1"/>
  <c r="SWE10" i="9" s="1"/>
  <c r="SWG10" i="9" s="1"/>
  <c r="SWI10" i="9" s="1"/>
  <c r="SWK10" i="9" s="1"/>
  <c r="SWM10" i="9" s="1"/>
  <c r="SWO10" i="9" s="1"/>
  <c r="SWQ10" i="9" s="1"/>
  <c r="SWS10" i="9" s="1"/>
  <c r="SWU10" i="9" s="1"/>
  <c r="SWW10" i="9" s="1"/>
  <c r="SWY10" i="9" s="1"/>
  <c r="SXA10" i="9" s="1"/>
  <c r="SXC10" i="9" s="1"/>
  <c r="SXE10" i="9" s="1"/>
  <c r="SXG10" i="9" s="1"/>
  <c r="SXI10" i="9" s="1"/>
  <c r="SXK10" i="9" s="1"/>
  <c r="SXM10" i="9" s="1"/>
  <c r="SXO10" i="9" s="1"/>
  <c r="SXQ10" i="9" s="1"/>
  <c r="SXS10" i="9" s="1"/>
  <c r="SXU10" i="9" s="1"/>
  <c r="SXW10" i="9" s="1"/>
  <c r="SXY10" i="9" s="1"/>
  <c r="SYA10" i="9" s="1"/>
  <c r="SYC10" i="9" s="1"/>
  <c r="SYE10" i="9" s="1"/>
  <c r="SYG10" i="9" s="1"/>
  <c r="SYI10" i="9" s="1"/>
  <c r="SYK10" i="9" s="1"/>
  <c r="SYM10" i="9" s="1"/>
  <c r="SYO10" i="9" s="1"/>
  <c r="SYQ10" i="9" s="1"/>
  <c r="SYS10" i="9" s="1"/>
  <c r="SYU10" i="9" s="1"/>
  <c r="SYW10" i="9" s="1"/>
  <c r="SYY10" i="9" s="1"/>
  <c r="SZA10" i="9" s="1"/>
  <c r="SZC10" i="9" s="1"/>
  <c r="SZE10" i="9" s="1"/>
  <c r="SZG10" i="9" s="1"/>
  <c r="SZI10" i="9" s="1"/>
  <c r="SZK10" i="9" s="1"/>
  <c r="SZM10" i="9" s="1"/>
  <c r="SZO10" i="9" s="1"/>
  <c r="SZQ10" i="9" s="1"/>
  <c r="SZS10" i="9" s="1"/>
  <c r="SZU10" i="9" s="1"/>
  <c r="SZW10" i="9" s="1"/>
  <c r="SZY10" i="9" s="1"/>
  <c r="TAA10" i="9" s="1"/>
  <c r="TAC10" i="9" s="1"/>
  <c r="TAE10" i="9" s="1"/>
  <c r="TAG10" i="9" s="1"/>
  <c r="TAI10" i="9" s="1"/>
  <c r="TAK10" i="9" s="1"/>
  <c r="TAM10" i="9" s="1"/>
  <c r="TAO10" i="9" s="1"/>
  <c r="TAQ10" i="9" s="1"/>
  <c r="TAS10" i="9" s="1"/>
  <c r="TAU10" i="9" s="1"/>
  <c r="TAW10" i="9" s="1"/>
  <c r="TAY10" i="9" s="1"/>
  <c r="TBA10" i="9" s="1"/>
  <c r="TBC10" i="9" s="1"/>
  <c r="TBE10" i="9" s="1"/>
  <c r="TBG10" i="9" s="1"/>
  <c r="TBI10" i="9" s="1"/>
  <c r="TBK10" i="9" s="1"/>
  <c r="TBM10" i="9" s="1"/>
  <c r="TBO10" i="9" s="1"/>
  <c r="TBQ10" i="9" s="1"/>
  <c r="TBS10" i="9" s="1"/>
  <c r="TBU10" i="9" s="1"/>
  <c r="TBW10" i="9" s="1"/>
  <c r="TBY10" i="9" s="1"/>
  <c r="TCA10" i="9" s="1"/>
  <c r="TCC10" i="9" s="1"/>
  <c r="TCE10" i="9" s="1"/>
  <c r="TCG10" i="9" s="1"/>
  <c r="TCI10" i="9" s="1"/>
  <c r="TCK10" i="9" s="1"/>
  <c r="TCM10" i="9" s="1"/>
  <c r="TCO10" i="9" s="1"/>
  <c r="TCQ10" i="9" s="1"/>
  <c r="TCS10" i="9" s="1"/>
  <c r="TCU10" i="9" s="1"/>
  <c r="TCW10" i="9" s="1"/>
  <c r="TCY10" i="9" s="1"/>
  <c r="TDA10" i="9" s="1"/>
  <c r="TDC10" i="9" s="1"/>
  <c r="TDE10" i="9" s="1"/>
  <c r="TDG10" i="9" s="1"/>
  <c r="TDI10" i="9" s="1"/>
  <c r="TDK10" i="9" s="1"/>
  <c r="TDM10" i="9" s="1"/>
  <c r="TDO10" i="9" s="1"/>
  <c r="TDQ10" i="9" s="1"/>
  <c r="TDS10" i="9" s="1"/>
  <c r="TDU10" i="9" s="1"/>
  <c r="TDW10" i="9" s="1"/>
  <c r="TDY10" i="9" s="1"/>
  <c r="TEA10" i="9" s="1"/>
  <c r="TEC10" i="9" s="1"/>
  <c r="TEE10" i="9" s="1"/>
  <c r="TEG10" i="9" s="1"/>
  <c r="TEI10" i="9" s="1"/>
  <c r="TEK10" i="9" s="1"/>
  <c r="TEM10" i="9" s="1"/>
  <c r="TEO10" i="9" s="1"/>
  <c r="TEQ10" i="9" s="1"/>
  <c r="TES10" i="9" s="1"/>
  <c r="TEU10" i="9" s="1"/>
  <c r="TEW10" i="9" s="1"/>
  <c r="TEY10" i="9" s="1"/>
  <c r="TFA10" i="9" s="1"/>
  <c r="TFC10" i="9" s="1"/>
  <c r="TFE10" i="9" s="1"/>
  <c r="TFG10" i="9" s="1"/>
  <c r="TFI10" i="9" s="1"/>
  <c r="TFK10" i="9" s="1"/>
  <c r="TFM10" i="9" s="1"/>
  <c r="TFO10" i="9" s="1"/>
  <c r="TFQ10" i="9" s="1"/>
  <c r="TFS10" i="9" s="1"/>
  <c r="TFU10" i="9" s="1"/>
  <c r="TFW10" i="9" s="1"/>
  <c r="TFY10" i="9" s="1"/>
  <c r="TGA10" i="9" s="1"/>
  <c r="TGC10" i="9" s="1"/>
  <c r="TGE10" i="9" s="1"/>
  <c r="TGG10" i="9" s="1"/>
  <c r="TGI10" i="9" s="1"/>
  <c r="TGK10" i="9" s="1"/>
  <c r="TGM10" i="9" s="1"/>
  <c r="TGO10" i="9" s="1"/>
  <c r="TGQ10" i="9" s="1"/>
  <c r="TGS10" i="9" s="1"/>
  <c r="TGU10" i="9" s="1"/>
  <c r="TGW10" i="9" s="1"/>
  <c r="TGY10" i="9" s="1"/>
  <c r="THA10" i="9" s="1"/>
  <c r="THC10" i="9" s="1"/>
  <c r="THE10" i="9" s="1"/>
  <c r="THG10" i="9" s="1"/>
  <c r="THI10" i="9" s="1"/>
  <c r="THK10" i="9" s="1"/>
  <c r="THM10" i="9" s="1"/>
  <c r="THO10" i="9" s="1"/>
  <c r="THQ10" i="9" s="1"/>
  <c r="THS10" i="9" s="1"/>
  <c r="THU10" i="9" s="1"/>
  <c r="THW10" i="9" s="1"/>
  <c r="THY10" i="9" s="1"/>
  <c r="TIA10" i="9" s="1"/>
  <c r="TIC10" i="9" s="1"/>
  <c r="TIE10" i="9" s="1"/>
  <c r="TIG10" i="9" s="1"/>
  <c r="TII10" i="9" s="1"/>
  <c r="TIK10" i="9" s="1"/>
  <c r="TIM10" i="9" s="1"/>
  <c r="TIO10" i="9" s="1"/>
  <c r="TIQ10" i="9" s="1"/>
  <c r="TIS10" i="9" s="1"/>
  <c r="TIU10" i="9" s="1"/>
  <c r="TIW10" i="9" s="1"/>
  <c r="TIY10" i="9" s="1"/>
  <c r="TJA10" i="9" s="1"/>
  <c r="TJC10" i="9" s="1"/>
  <c r="TJE10" i="9" s="1"/>
  <c r="TJG10" i="9" s="1"/>
  <c r="TJI10" i="9" s="1"/>
  <c r="TJK10" i="9" s="1"/>
  <c r="TJM10" i="9" s="1"/>
  <c r="TJO10" i="9" s="1"/>
  <c r="TJQ10" i="9" s="1"/>
  <c r="TJS10" i="9" s="1"/>
  <c r="TJU10" i="9" s="1"/>
  <c r="TJW10" i="9" s="1"/>
  <c r="TJY10" i="9" s="1"/>
  <c r="TKA10" i="9" s="1"/>
  <c r="TKC10" i="9" s="1"/>
  <c r="TKE10" i="9" s="1"/>
  <c r="TKG10" i="9" s="1"/>
  <c r="TKI10" i="9" s="1"/>
  <c r="TKK10" i="9" s="1"/>
  <c r="TKM10" i="9" s="1"/>
  <c r="TKO10" i="9" s="1"/>
  <c r="TKQ10" i="9" s="1"/>
  <c r="TKS10" i="9" s="1"/>
  <c r="TKU10" i="9" s="1"/>
  <c r="TKW10" i="9" s="1"/>
  <c r="TKY10" i="9" s="1"/>
  <c r="TLA10" i="9" s="1"/>
  <c r="TLC10" i="9" s="1"/>
  <c r="TLE10" i="9" s="1"/>
  <c r="TLG10" i="9" s="1"/>
  <c r="TLI10" i="9" s="1"/>
  <c r="TLK10" i="9" s="1"/>
  <c r="TLM10" i="9" s="1"/>
  <c r="TLO10" i="9" s="1"/>
  <c r="TLQ10" i="9" s="1"/>
  <c r="TLS10" i="9" s="1"/>
  <c r="TLU10" i="9" s="1"/>
  <c r="TLW10" i="9" s="1"/>
  <c r="TLY10" i="9" s="1"/>
  <c r="TMA10" i="9" s="1"/>
  <c r="TMC10" i="9" s="1"/>
  <c r="TME10" i="9" s="1"/>
  <c r="TMG10" i="9" s="1"/>
  <c r="TMI10" i="9" s="1"/>
  <c r="TMK10" i="9" s="1"/>
  <c r="TMM10" i="9" s="1"/>
  <c r="TMO10" i="9" s="1"/>
  <c r="TMQ10" i="9" s="1"/>
  <c r="TMS10" i="9" s="1"/>
  <c r="TMU10" i="9" s="1"/>
  <c r="TMW10" i="9" s="1"/>
  <c r="TMY10" i="9" s="1"/>
  <c r="TNA10" i="9" s="1"/>
  <c r="TNC10" i="9" s="1"/>
  <c r="TNE10" i="9" s="1"/>
  <c r="TNG10" i="9" s="1"/>
  <c r="TNI10" i="9" s="1"/>
  <c r="TNK10" i="9" s="1"/>
  <c r="TNM10" i="9" s="1"/>
  <c r="TNO10" i="9" s="1"/>
  <c r="TNQ10" i="9" s="1"/>
  <c r="TNS10" i="9" s="1"/>
  <c r="TNU10" i="9" s="1"/>
  <c r="TNW10" i="9" s="1"/>
  <c r="TNY10" i="9" s="1"/>
  <c r="TOA10" i="9" s="1"/>
  <c r="TOC10" i="9" s="1"/>
  <c r="TOE10" i="9" s="1"/>
  <c r="TOG10" i="9" s="1"/>
  <c r="TOI10" i="9" s="1"/>
  <c r="TOK10" i="9" s="1"/>
  <c r="TOM10" i="9" s="1"/>
  <c r="TOO10" i="9" s="1"/>
  <c r="TOQ10" i="9" s="1"/>
  <c r="TOS10" i="9" s="1"/>
  <c r="TOU10" i="9" s="1"/>
  <c r="TOW10" i="9" s="1"/>
  <c r="TOY10" i="9" s="1"/>
  <c r="TPA10" i="9" s="1"/>
  <c r="TPC10" i="9" s="1"/>
  <c r="TPE10" i="9" s="1"/>
  <c r="TPG10" i="9" s="1"/>
  <c r="TPI10" i="9" s="1"/>
  <c r="TPK10" i="9" s="1"/>
  <c r="TPM10" i="9" s="1"/>
  <c r="TPO10" i="9" s="1"/>
  <c r="TPQ10" i="9" s="1"/>
  <c r="TPS10" i="9" s="1"/>
  <c r="TPU10" i="9" s="1"/>
  <c r="TPW10" i="9" s="1"/>
  <c r="TPY10" i="9" s="1"/>
  <c r="TQA10" i="9" s="1"/>
  <c r="TQC10" i="9" s="1"/>
  <c r="TQE10" i="9" s="1"/>
  <c r="TQG10" i="9" s="1"/>
  <c r="TQI10" i="9" s="1"/>
  <c r="TQK10" i="9" s="1"/>
  <c r="TQM10" i="9" s="1"/>
  <c r="TQO10" i="9" s="1"/>
  <c r="TQQ10" i="9" s="1"/>
  <c r="TQS10" i="9" s="1"/>
  <c r="TQU10" i="9" s="1"/>
  <c r="TQW10" i="9" s="1"/>
  <c r="TQY10" i="9" s="1"/>
  <c r="TRA10" i="9" s="1"/>
  <c r="TRC10" i="9" s="1"/>
  <c r="TRE10" i="9" s="1"/>
  <c r="TRG10" i="9" s="1"/>
  <c r="TRI10" i="9" s="1"/>
  <c r="TRK10" i="9" s="1"/>
  <c r="TRM10" i="9" s="1"/>
  <c r="TRO10" i="9" s="1"/>
  <c r="TRQ10" i="9" s="1"/>
  <c r="TRS10" i="9" s="1"/>
  <c r="TRU10" i="9" s="1"/>
  <c r="TRW10" i="9" s="1"/>
  <c r="TRY10" i="9" s="1"/>
  <c r="TSA10" i="9" s="1"/>
  <c r="TSC10" i="9" s="1"/>
  <c r="TSE10" i="9" s="1"/>
  <c r="TSG10" i="9" s="1"/>
  <c r="TSI10" i="9" s="1"/>
  <c r="TSK10" i="9" s="1"/>
  <c r="TSM10" i="9" s="1"/>
  <c r="TSO10" i="9" s="1"/>
  <c r="TSQ10" i="9" s="1"/>
  <c r="TSS10" i="9" s="1"/>
  <c r="TSU10" i="9" s="1"/>
  <c r="TSW10" i="9" s="1"/>
  <c r="TSY10" i="9" s="1"/>
  <c r="TTA10" i="9" s="1"/>
  <c r="TTC10" i="9" s="1"/>
  <c r="TTE10" i="9" s="1"/>
  <c r="TTG10" i="9" s="1"/>
  <c r="TTI10" i="9" s="1"/>
  <c r="TTK10" i="9" s="1"/>
  <c r="TTM10" i="9" s="1"/>
  <c r="TTO10" i="9" s="1"/>
  <c r="TTQ10" i="9" s="1"/>
  <c r="TTS10" i="9" s="1"/>
  <c r="TTU10" i="9" s="1"/>
  <c r="TTW10" i="9" s="1"/>
  <c r="TTY10" i="9" s="1"/>
  <c r="TUA10" i="9" s="1"/>
  <c r="TUC10" i="9" s="1"/>
  <c r="TUE10" i="9" s="1"/>
  <c r="TUG10" i="9" s="1"/>
  <c r="TUI10" i="9" s="1"/>
  <c r="TUK10" i="9" s="1"/>
  <c r="TUM10" i="9" s="1"/>
  <c r="TUO10" i="9" s="1"/>
  <c r="TUQ10" i="9" s="1"/>
  <c r="TUS10" i="9" s="1"/>
  <c r="TUU10" i="9" s="1"/>
  <c r="TUW10" i="9" s="1"/>
  <c r="TUY10" i="9" s="1"/>
  <c r="TVA10" i="9" s="1"/>
  <c r="TVC10" i="9" s="1"/>
  <c r="TVE10" i="9" s="1"/>
  <c r="TVG10" i="9" s="1"/>
  <c r="TVI10" i="9" s="1"/>
  <c r="TVK10" i="9" s="1"/>
  <c r="TVM10" i="9" s="1"/>
  <c r="TVO10" i="9" s="1"/>
  <c r="TVQ10" i="9" s="1"/>
  <c r="TVS10" i="9" s="1"/>
  <c r="TVU10" i="9" s="1"/>
  <c r="TVW10" i="9" s="1"/>
  <c r="TVY10" i="9" s="1"/>
  <c r="TWA10" i="9" s="1"/>
  <c r="TWC10" i="9" s="1"/>
  <c r="TWE10" i="9" s="1"/>
  <c r="TWG10" i="9" s="1"/>
  <c r="TWI10" i="9" s="1"/>
  <c r="TWK10" i="9" s="1"/>
  <c r="TWM10" i="9" s="1"/>
  <c r="TWO10" i="9" s="1"/>
  <c r="TWQ10" i="9" s="1"/>
  <c r="TWS10" i="9" s="1"/>
  <c r="TWU10" i="9" s="1"/>
  <c r="TWW10" i="9" s="1"/>
  <c r="TWY10" i="9" s="1"/>
  <c r="TXA10" i="9" s="1"/>
  <c r="TXC10" i="9" s="1"/>
  <c r="TXE10" i="9" s="1"/>
  <c r="TXG10" i="9" s="1"/>
  <c r="TXI10" i="9" s="1"/>
  <c r="TXK10" i="9" s="1"/>
  <c r="TXM10" i="9" s="1"/>
  <c r="TXO10" i="9" s="1"/>
  <c r="TXQ10" i="9" s="1"/>
  <c r="TXS10" i="9" s="1"/>
  <c r="TXU10" i="9" s="1"/>
  <c r="TXW10" i="9" s="1"/>
  <c r="TXY10" i="9" s="1"/>
  <c r="TYA10" i="9" s="1"/>
  <c r="TYC10" i="9" s="1"/>
  <c r="TYE10" i="9" s="1"/>
  <c r="TYG10" i="9" s="1"/>
  <c r="TYI10" i="9" s="1"/>
  <c r="TYK10" i="9" s="1"/>
  <c r="TYM10" i="9" s="1"/>
  <c r="TYO10" i="9" s="1"/>
  <c r="TYQ10" i="9" s="1"/>
  <c r="TYS10" i="9" s="1"/>
  <c r="TYU10" i="9" s="1"/>
  <c r="TYW10" i="9" s="1"/>
  <c r="TYY10" i="9" s="1"/>
  <c r="TZA10" i="9" s="1"/>
  <c r="TZC10" i="9" s="1"/>
  <c r="TZE10" i="9" s="1"/>
  <c r="TZG10" i="9" s="1"/>
  <c r="TZI10" i="9" s="1"/>
  <c r="TZK10" i="9" s="1"/>
  <c r="TZM10" i="9" s="1"/>
  <c r="TZO10" i="9" s="1"/>
  <c r="TZQ10" i="9" s="1"/>
  <c r="TZS10" i="9" s="1"/>
  <c r="TZU10" i="9" s="1"/>
  <c r="TZW10" i="9" s="1"/>
  <c r="TZY10" i="9" s="1"/>
  <c r="UAA10" i="9" s="1"/>
  <c r="UAC10" i="9" s="1"/>
  <c r="UAE10" i="9" s="1"/>
  <c r="UAG10" i="9" s="1"/>
  <c r="UAI10" i="9" s="1"/>
  <c r="UAK10" i="9" s="1"/>
  <c r="UAM10" i="9" s="1"/>
  <c r="UAO10" i="9" s="1"/>
  <c r="UAQ10" i="9" s="1"/>
  <c r="UAS10" i="9" s="1"/>
  <c r="UAU10" i="9" s="1"/>
  <c r="UAW10" i="9" s="1"/>
  <c r="UAY10" i="9" s="1"/>
  <c r="UBA10" i="9" s="1"/>
  <c r="UBC10" i="9" s="1"/>
  <c r="UBE10" i="9" s="1"/>
  <c r="UBG10" i="9" s="1"/>
  <c r="UBI10" i="9" s="1"/>
  <c r="UBK10" i="9" s="1"/>
  <c r="UBM10" i="9" s="1"/>
  <c r="UBO10" i="9" s="1"/>
  <c r="UBQ10" i="9" s="1"/>
  <c r="UBS10" i="9" s="1"/>
  <c r="UBU10" i="9" s="1"/>
  <c r="UBW10" i="9" s="1"/>
  <c r="UBY10" i="9" s="1"/>
  <c r="UCA10" i="9" s="1"/>
  <c r="UCC10" i="9" s="1"/>
  <c r="UCE10" i="9" s="1"/>
  <c r="UCG10" i="9" s="1"/>
  <c r="UCI10" i="9" s="1"/>
  <c r="UCK10" i="9" s="1"/>
  <c r="UCM10" i="9" s="1"/>
  <c r="UCO10" i="9" s="1"/>
  <c r="UCQ10" i="9" s="1"/>
  <c r="UCS10" i="9" s="1"/>
  <c r="UCU10" i="9" s="1"/>
  <c r="UCW10" i="9" s="1"/>
  <c r="UCY10" i="9" s="1"/>
  <c r="UDA10" i="9" s="1"/>
  <c r="UDC10" i="9" s="1"/>
  <c r="UDE10" i="9" s="1"/>
  <c r="UDG10" i="9" s="1"/>
  <c r="UDI10" i="9" s="1"/>
  <c r="UDK10" i="9" s="1"/>
  <c r="UDM10" i="9" s="1"/>
  <c r="UDO10" i="9" s="1"/>
  <c r="UDQ10" i="9" s="1"/>
  <c r="UDS10" i="9" s="1"/>
  <c r="UDU10" i="9" s="1"/>
  <c r="UDW10" i="9" s="1"/>
  <c r="UDY10" i="9" s="1"/>
  <c r="UEA10" i="9" s="1"/>
  <c r="UEC10" i="9" s="1"/>
  <c r="UEE10" i="9" s="1"/>
  <c r="UEG10" i="9" s="1"/>
  <c r="UEI10" i="9" s="1"/>
  <c r="UEK10" i="9" s="1"/>
  <c r="UEM10" i="9" s="1"/>
  <c r="UEO10" i="9" s="1"/>
  <c r="UEQ10" i="9" s="1"/>
  <c r="UES10" i="9" s="1"/>
  <c r="UEU10" i="9" s="1"/>
  <c r="UEW10" i="9" s="1"/>
  <c r="UEY10" i="9" s="1"/>
  <c r="UFA10" i="9" s="1"/>
  <c r="UFC10" i="9" s="1"/>
  <c r="UFE10" i="9" s="1"/>
  <c r="UFG10" i="9" s="1"/>
  <c r="UFI10" i="9" s="1"/>
  <c r="UFK10" i="9" s="1"/>
  <c r="UFM10" i="9" s="1"/>
  <c r="UFO10" i="9" s="1"/>
  <c r="UFQ10" i="9" s="1"/>
  <c r="UFS10" i="9" s="1"/>
  <c r="UFU10" i="9" s="1"/>
  <c r="UFW10" i="9" s="1"/>
  <c r="UFY10" i="9" s="1"/>
  <c r="UGA10" i="9" s="1"/>
  <c r="UGC10" i="9" s="1"/>
  <c r="UGE10" i="9" s="1"/>
  <c r="UGG10" i="9" s="1"/>
  <c r="UGI10" i="9" s="1"/>
  <c r="UGK10" i="9" s="1"/>
  <c r="UGM10" i="9" s="1"/>
  <c r="UGO10" i="9" s="1"/>
  <c r="UGQ10" i="9" s="1"/>
  <c r="UGS10" i="9" s="1"/>
  <c r="UGU10" i="9" s="1"/>
  <c r="UGW10" i="9" s="1"/>
  <c r="UGY10" i="9" s="1"/>
  <c r="UHA10" i="9" s="1"/>
  <c r="UHC10" i="9" s="1"/>
  <c r="UHE10" i="9" s="1"/>
  <c r="UHG10" i="9" s="1"/>
  <c r="UHI10" i="9" s="1"/>
  <c r="UHK10" i="9" s="1"/>
  <c r="UHM10" i="9" s="1"/>
  <c r="UHO10" i="9" s="1"/>
  <c r="UHQ10" i="9" s="1"/>
  <c r="UHS10" i="9" s="1"/>
  <c r="UHU10" i="9" s="1"/>
  <c r="UHW10" i="9" s="1"/>
  <c r="UHY10" i="9" s="1"/>
  <c r="UIA10" i="9" s="1"/>
  <c r="UIC10" i="9" s="1"/>
  <c r="UIE10" i="9" s="1"/>
  <c r="UIG10" i="9" s="1"/>
  <c r="UII10" i="9" s="1"/>
  <c r="UIK10" i="9" s="1"/>
  <c r="UIM10" i="9" s="1"/>
  <c r="UIO10" i="9" s="1"/>
  <c r="UIQ10" i="9" s="1"/>
  <c r="UIS10" i="9" s="1"/>
  <c r="UIU10" i="9" s="1"/>
  <c r="UIW10" i="9" s="1"/>
  <c r="UIY10" i="9" s="1"/>
  <c r="UJA10" i="9" s="1"/>
  <c r="UJC10" i="9" s="1"/>
  <c r="UJE10" i="9" s="1"/>
  <c r="UJG10" i="9" s="1"/>
  <c r="UJI10" i="9" s="1"/>
  <c r="UJK10" i="9" s="1"/>
  <c r="UJM10" i="9" s="1"/>
  <c r="UJO10" i="9" s="1"/>
  <c r="UJQ10" i="9" s="1"/>
  <c r="UJS10" i="9" s="1"/>
  <c r="UJU10" i="9" s="1"/>
  <c r="UJW10" i="9" s="1"/>
  <c r="UJY10" i="9" s="1"/>
  <c r="UKA10" i="9" s="1"/>
  <c r="UKC10" i="9" s="1"/>
  <c r="UKE10" i="9" s="1"/>
  <c r="UKG10" i="9" s="1"/>
  <c r="UKI10" i="9" s="1"/>
  <c r="UKK10" i="9" s="1"/>
  <c r="UKM10" i="9" s="1"/>
  <c r="UKO10" i="9" s="1"/>
  <c r="UKQ10" i="9" s="1"/>
  <c r="UKS10" i="9" s="1"/>
  <c r="UKU10" i="9" s="1"/>
  <c r="UKW10" i="9" s="1"/>
  <c r="UKY10" i="9" s="1"/>
  <c r="ULA10" i="9" s="1"/>
  <c r="ULC10" i="9" s="1"/>
  <c r="ULE10" i="9" s="1"/>
  <c r="ULG10" i="9" s="1"/>
  <c r="ULI10" i="9" s="1"/>
  <c r="ULK10" i="9" s="1"/>
  <c r="ULM10" i="9" s="1"/>
  <c r="ULO10" i="9" s="1"/>
  <c r="ULQ10" i="9" s="1"/>
  <c r="ULS10" i="9" s="1"/>
  <c r="ULU10" i="9" s="1"/>
  <c r="ULW10" i="9" s="1"/>
  <c r="ULY10" i="9" s="1"/>
  <c r="UMA10" i="9" s="1"/>
  <c r="UMC10" i="9" s="1"/>
  <c r="UME10" i="9" s="1"/>
  <c r="UMG10" i="9" s="1"/>
  <c r="UMI10" i="9" s="1"/>
  <c r="UMK10" i="9" s="1"/>
  <c r="UMM10" i="9" s="1"/>
  <c r="UMO10" i="9" s="1"/>
  <c r="UMQ10" i="9" s="1"/>
  <c r="UMS10" i="9" s="1"/>
  <c r="UMU10" i="9" s="1"/>
  <c r="UMW10" i="9" s="1"/>
  <c r="UMY10" i="9" s="1"/>
  <c r="UNA10" i="9" s="1"/>
  <c r="UNC10" i="9" s="1"/>
  <c r="UNE10" i="9" s="1"/>
  <c r="UNG10" i="9" s="1"/>
  <c r="UNI10" i="9" s="1"/>
  <c r="UNK10" i="9" s="1"/>
  <c r="UNM10" i="9" s="1"/>
  <c r="UNO10" i="9" s="1"/>
  <c r="UNQ10" i="9" s="1"/>
  <c r="UNS10" i="9" s="1"/>
  <c r="UNU10" i="9" s="1"/>
  <c r="UNW10" i="9" s="1"/>
  <c r="UNY10" i="9" s="1"/>
  <c r="UOA10" i="9" s="1"/>
  <c r="UOC10" i="9" s="1"/>
  <c r="UOE10" i="9" s="1"/>
  <c r="UOG10" i="9" s="1"/>
  <c r="UOI10" i="9" s="1"/>
  <c r="UOK10" i="9" s="1"/>
  <c r="UOM10" i="9" s="1"/>
  <c r="UOO10" i="9" s="1"/>
  <c r="UOQ10" i="9" s="1"/>
  <c r="UOS10" i="9" s="1"/>
  <c r="UOU10" i="9" s="1"/>
  <c r="UOW10" i="9" s="1"/>
  <c r="UOY10" i="9" s="1"/>
  <c r="UPA10" i="9" s="1"/>
  <c r="UPC10" i="9" s="1"/>
  <c r="UPE10" i="9" s="1"/>
  <c r="UPG10" i="9" s="1"/>
  <c r="UPI10" i="9" s="1"/>
  <c r="UPK10" i="9" s="1"/>
  <c r="UPM10" i="9" s="1"/>
  <c r="UPO10" i="9" s="1"/>
  <c r="UPQ10" i="9" s="1"/>
  <c r="UPS10" i="9" s="1"/>
  <c r="UPU10" i="9" s="1"/>
  <c r="UPW10" i="9" s="1"/>
  <c r="UPY10" i="9" s="1"/>
  <c r="UQA10" i="9" s="1"/>
  <c r="UQC10" i="9" s="1"/>
  <c r="UQE10" i="9" s="1"/>
  <c r="UQG10" i="9" s="1"/>
  <c r="UQI10" i="9" s="1"/>
  <c r="UQK10" i="9" s="1"/>
  <c r="UQM10" i="9" s="1"/>
  <c r="UQO10" i="9" s="1"/>
  <c r="UQQ10" i="9" s="1"/>
  <c r="UQS10" i="9" s="1"/>
  <c r="UQU10" i="9" s="1"/>
  <c r="UQW10" i="9" s="1"/>
  <c r="UQY10" i="9" s="1"/>
  <c r="URA10" i="9" s="1"/>
  <c r="URC10" i="9" s="1"/>
  <c r="URE10" i="9" s="1"/>
  <c r="URG10" i="9" s="1"/>
  <c r="URI10" i="9" s="1"/>
  <c r="URK10" i="9" s="1"/>
  <c r="URM10" i="9" s="1"/>
  <c r="URO10" i="9" s="1"/>
  <c r="URQ10" i="9" s="1"/>
  <c r="URS10" i="9" s="1"/>
  <c r="URU10" i="9" s="1"/>
  <c r="URW10" i="9" s="1"/>
  <c r="URY10" i="9" s="1"/>
  <c r="USA10" i="9" s="1"/>
  <c r="USC10" i="9" s="1"/>
  <c r="USE10" i="9" s="1"/>
  <c r="USG10" i="9" s="1"/>
  <c r="USI10" i="9" s="1"/>
  <c r="USK10" i="9" s="1"/>
  <c r="USM10" i="9" s="1"/>
  <c r="USO10" i="9" s="1"/>
  <c r="USQ10" i="9" s="1"/>
  <c r="USS10" i="9" s="1"/>
  <c r="USU10" i="9" s="1"/>
  <c r="USW10" i="9" s="1"/>
  <c r="USY10" i="9" s="1"/>
  <c r="UTA10" i="9" s="1"/>
  <c r="UTC10" i="9" s="1"/>
  <c r="UTE10" i="9" s="1"/>
  <c r="UTG10" i="9" s="1"/>
  <c r="UTI10" i="9" s="1"/>
  <c r="UTK10" i="9" s="1"/>
  <c r="UTM10" i="9" s="1"/>
  <c r="UTO10" i="9" s="1"/>
  <c r="UTQ10" i="9" s="1"/>
  <c r="UTS10" i="9" s="1"/>
  <c r="UTU10" i="9" s="1"/>
  <c r="UTW10" i="9" s="1"/>
  <c r="UTY10" i="9" s="1"/>
  <c r="UUA10" i="9" s="1"/>
  <c r="UUC10" i="9" s="1"/>
  <c r="UUE10" i="9" s="1"/>
  <c r="UUG10" i="9" s="1"/>
  <c r="UUI10" i="9" s="1"/>
  <c r="UUK10" i="9" s="1"/>
  <c r="UUM10" i="9" s="1"/>
  <c r="UUO10" i="9" s="1"/>
  <c r="UUQ10" i="9" s="1"/>
  <c r="UUS10" i="9" s="1"/>
  <c r="UUU10" i="9" s="1"/>
  <c r="UUW10" i="9" s="1"/>
  <c r="UUY10" i="9" s="1"/>
  <c r="UVA10" i="9" s="1"/>
  <c r="UVC10" i="9" s="1"/>
  <c r="UVE10" i="9" s="1"/>
  <c r="UVG10" i="9" s="1"/>
  <c r="UVI10" i="9" s="1"/>
  <c r="UVK10" i="9" s="1"/>
  <c r="UVM10" i="9" s="1"/>
  <c r="UVO10" i="9" s="1"/>
  <c r="UVQ10" i="9" s="1"/>
  <c r="UVS10" i="9" s="1"/>
  <c r="UVU10" i="9" s="1"/>
  <c r="UVW10" i="9" s="1"/>
  <c r="UVY10" i="9" s="1"/>
  <c r="UWA10" i="9" s="1"/>
  <c r="UWC10" i="9" s="1"/>
  <c r="UWE10" i="9" s="1"/>
  <c r="UWG10" i="9" s="1"/>
  <c r="UWI10" i="9" s="1"/>
  <c r="UWK10" i="9" s="1"/>
  <c r="UWM10" i="9" s="1"/>
  <c r="UWO10" i="9" s="1"/>
  <c r="UWQ10" i="9" s="1"/>
  <c r="UWS10" i="9" s="1"/>
  <c r="UWU10" i="9" s="1"/>
  <c r="UWW10" i="9" s="1"/>
  <c r="UWY10" i="9" s="1"/>
  <c r="UXA10" i="9" s="1"/>
  <c r="UXC10" i="9" s="1"/>
  <c r="UXE10" i="9" s="1"/>
  <c r="UXG10" i="9" s="1"/>
  <c r="UXI10" i="9" s="1"/>
  <c r="UXK10" i="9" s="1"/>
  <c r="UXM10" i="9" s="1"/>
  <c r="UXO10" i="9" s="1"/>
  <c r="UXQ10" i="9" s="1"/>
  <c r="UXS10" i="9" s="1"/>
  <c r="UXU10" i="9" s="1"/>
  <c r="UXW10" i="9" s="1"/>
  <c r="UXY10" i="9" s="1"/>
  <c r="UYA10" i="9" s="1"/>
  <c r="UYC10" i="9" s="1"/>
  <c r="UYE10" i="9" s="1"/>
  <c r="UYG10" i="9" s="1"/>
  <c r="UYI10" i="9" s="1"/>
  <c r="UYK10" i="9" s="1"/>
  <c r="UYM10" i="9" s="1"/>
  <c r="UYO10" i="9" s="1"/>
  <c r="UYQ10" i="9" s="1"/>
  <c r="UYS10" i="9" s="1"/>
  <c r="UYU10" i="9" s="1"/>
  <c r="UYW10" i="9" s="1"/>
  <c r="UYY10" i="9" s="1"/>
  <c r="UZA10" i="9" s="1"/>
  <c r="UZC10" i="9" s="1"/>
  <c r="UZE10" i="9" s="1"/>
  <c r="UZG10" i="9" s="1"/>
  <c r="UZI10" i="9" s="1"/>
  <c r="UZK10" i="9" s="1"/>
  <c r="UZM10" i="9" s="1"/>
  <c r="UZO10" i="9" s="1"/>
  <c r="UZQ10" i="9" s="1"/>
  <c r="UZS10" i="9" s="1"/>
  <c r="UZU10" i="9" s="1"/>
  <c r="UZW10" i="9" s="1"/>
  <c r="UZY10" i="9" s="1"/>
  <c r="VAA10" i="9" s="1"/>
  <c r="VAC10" i="9" s="1"/>
  <c r="VAE10" i="9" s="1"/>
  <c r="VAG10" i="9" s="1"/>
  <c r="VAI10" i="9" s="1"/>
  <c r="VAK10" i="9" s="1"/>
  <c r="VAM10" i="9" s="1"/>
  <c r="VAO10" i="9" s="1"/>
  <c r="VAQ10" i="9" s="1"/>
  <c r="VAS10" i="9" s="1"/>
  <c r="VAU10" i="9" s="1"/>
  <c r="VAW10" i="9" s="1"/>
  <c r="VAY10" i="9" s="1"/>
  <c r="VBA10" i="9" s="1"/>
  <c r="VBC10" i="9" s="1"/>
  <c r="VBE10" i="9" s="1"/>
  <c r="VBG10" i="9" s="1"/>
  <c r="VBI10" i="9" s="1"/>
  <c r="VBK10" i="9" s="1"/>
  <c r="VBM10" i="9" s="1"/>
  <c r="VBO10" i="9" s="1"/>
  <c r="VBQ10" i="9" s="1"/>
  <c r="VBS10" i="9" s="1"/>
  <c r="VBU10" i="9" s="1"/>
  <c r="VBW10" i="9" s="1"/>
  <c r="VBY10" i="9" s="1"/>
  <c r="VCA10" i="9" s="1"/>
  <c r="VCC10" i="9" s="1"/>
  <c r="VCE10" i="9" s="1"/>
  <c r="VCG10" i="9" s="1"/>
  <c r="VCI10" i="9" s="1"/>
  <c r="VCK10" i="9" s="1"/>
  <c r="VCM10" i="9" s="1"/>
  <c r="VCO10" i="9" s="1"/>
  <c r="VCQ10" i="9" s="1"/>
  <c r="VCS10" i="9" s="1"/>
  <c r="VCU10" i="9" s="1"/>
  <c r="VCW10" i="9" s="1"/>
  <c r="VCY10" i="9" s="1"/>
  <c r="VDA10" i="9" s="1"/>
  <c r="VDC10" i="9" s="1"/>
  <c r="VDE10" i="9" s="1"/>
  <c r="VDG10" i="9" s="1"/>
  <c r="VDI10" i="9" s="1"/>
  <c r="VDK10" i="9" s="1"/>
  <c r="VDM10" i="9" s="1"/>
  <c r="VDO10" i="9" s="1"/>
  <c r="VDQ10" i="9" s="1"/>
  <c r="VDS10" i="9" s="1"/>
  <c r="VDU10" i="9" s="1"/>
  <c r="VDW10" i="9" s="1"/>
  <c r="VDY10" i="9" s="1"/>
  <c r="VEA10" i="9" s="1"/>
  <c r="VEC10" i="9" s="1"/>
  <c r="VEE10" i="9" s="1"/>
  <c r="VEG10" i="9" s="1"/>
  <c r="VEI10" i="9" s="1"/>
  <c r="VEK10" i="9" s="1"/>
  <c r="VEM10" i="9" s="1"/>
  <c r="VEO10" i="9" s="1"/>
  <c r="VEQ10" i="9" s="1"/>
  <c r="VES10" i="9" s="1"/>
  <c r="VEU10" i="9" s="1"/>
  <c r="VEW10" i="9" s="1"/>
  <c r="VEY10" i="9" s="1"/>
  <c r="VFA10" i="9" s="1"/>
  <c r="VFC10" i="9" s="1"/>
  <c r="VFE10" i="9" s="1"/>
  <c r="VFG10" i="9" s="1"/>
  <c r="VFI10" i="9" s="1"/>
  <c r="VFK10" i="9" s="1"/>
  <c r="VFM10" i="9" s="1"/>
  <c r="VFO10" i="9" s="1"/>
  <c r="VFQ10" i="9" s="1"/>
  <c r="VFS10" i="9" s="1"/>
  <c r="VFU10" i="9" s="1"/>
  <c r="VFW10" i="9" s="1"/>
  <c r="VFY10" i="9" s="1"/>
  <c r="VGA10" i="9" s="1"/>
  <c r="VGC10" i="9" s="1"/>
  <c r="VGE10" i="9" s="1"/>
  <c r="VGG10" i="9" s="1"/>
  <c r="VGI10" i="9" s="1"/>
  <c r="VGK10" i="9" s="1"/>
  <c r="VGM10" i="9" s="1"/>
  <c r="VGO10" i="9" s="1"/>
  <c r="VGQ10" i="9" s="1"/>
  <c r="VGS10" i="9" s="1"/>
  <c r="VGU10" i="9" s="1"/>
  <c r="VGW10" i="9" s="1"/>
  <c r="VGY10" i="9" s="1"/>
  <c r="VHA10" i="9" s="1"/>
  <c r="VHC10" i="9" s="1"/>
  <c r="VHE10" i="9" s="1"/>
  <c r="VHG10" i="9" s="1"/>
  <c r="VHI10" i="9" s="1"/>
  <c r="VHK10" i="9" s="1"/>
  <c r="VHM10" i="9" s="1"/>
  <c r="VHO10" i="9" s="1"/>
  <c r="VHQ10" i="9" s="1"/>
  <c r="VHS10" i="9" s="1"/>
  <c r="VHU10" i="9" s="1"/>
  <c r="VHW10" i="9" s="1"/>
  <c r="VHY10" i="9" s="1"/>
  <c r="VIA10" i="9" s="1"/>
  <c r="VIC10" i="9" s="1"/>
  <c r="VIE10" i="9" s="1"/>
  <c r="VIG10" i="9" s="1"/>
  <c r="VII10" i="9" s="1"/>
  <c r="VIK10" i="9" s="1"/>
  <c r="VIM10" i="9" s="1"/>
  <c r="VIO10" i="9" s="1"/>
  <c r="VIQ10" i="9" s="1"/>
  <c r="VIS10" i="9" s="1"/>
  <c r="VIU10" i="9" s="1"/>
  <c r="VIW10" i="9" s="1"/>
  <c r="VIY10" i="9" s="1"/>
  <c r="VJA10" i="9" s="1"/>
  <c r="VJC10" i="9" s="1"/>
  <c r="VJE10" i="9" s="1"/>
  <c r="VJG10" i="9" s="1"/>
  <c r="VJI10" i="9" s="1"/>
  <c r="VJK10" i="9" s="1"/>
  <c r="VJM10" i="9" s="1"/>
  <c r="VJO10" i="9" s="1"/>
  <c r="VJQ10" i="9" s="1"/>
  <c r="VJS10" i="9" s="1"/>
  <c r="VJU10" i="9" s="1"/>
  <c r="VJW10" i="9" s="1"/>
  <c r="VJY10" i="9" s="1"/>
  <c r="VKA10" i="9" s="1"/>
  <c r="VKC10" i="9" s="1"/>
  <c r="VKE10" i="9" s="1"/>
  <c r="VKG10" i="9" s="1"/>
  <c r="VKI10" i="9" s="1"/>
  <c r="VKK10" i="9" s="1"/>
  <c r="VKM10" i="9" s="1"/>
  <c r="VKO10" i="9" s="1"/>
  <c r="VKQ10" i="9" s="1"/>
  <c r="VKS10" i="9" s="1"/>
  <c r="VKU10" i="9" s="1"/>
  <c r="VKW10" i="9" s="1"/>
  <c r="VKY10" i="9" s="1"/>
  <c r="VLA10" i="9" s="1"/>
  <c r="VLC10" i="9" s="1"/>
  <c r="VLE10" i="9" s="1"/>
  <c r="VLG10" i="9" s="1"/>
  <c r="VLI10" i="9" s="1"/>
  <c r="VLK10" i="9" s="1"/>
  <c r="VLM10" i="9" s="1"/>
  <c r="VLO10" i="9" s="1"/>
  <c r="VLQ10" i="9" s="1"/>
  <c r="VLS10" i="9" s="1"/>
  <c r="VLU10" i="9" s="1"/>
  <c r="VLW10" i="9" s="1"/>
  <c r="VLY10" i="9" s="1"/>
  <c r="VMA10" i="9" s="1"/>
  <c r="VMC10" i="9" s="1"/>
  <c r="VME10" i="9" s="1"/>
  <c r="VMG10" i="9" s="1"/>
  <c r="VMI10" i="9" s="1"/>
  <c r="VMK10" i="9" s="1"/>
  <c r="VMM10" i="9" s="1"/>
  <c r="VMO10" i="9" s="1"/>
  <c r="VMQ10" i="9" s="1"/>
  <c r="VMS10" i="9" s="1"/>
  <c r="VMU10" i="9" s="1"/>
  <c r="VMW10" i="9" s="1"/>
  <c r="VMY10" i="9" s="1"/>
  <c r="VNA10" i="9" s="1"/>
  <c r="VNC10" i="9" s="1"/>
  <c r="VNE10" i="9" s="1"/>
  <c r="VNG10" i="9" s="1"/>
  <c r="VNI10" i="9" s="1"/>
  <c r="VNK10" i="9" s="1"/>
  <c r="VNM10" i="9" s="1"/>
  <c r="VNO10" i="9" s="1"/>
  <c r="VNQ10" i="9" s="1"/>
  <c r="VNS10" i="9" s="1"/>
  <c r="VNU10" i="9" s="1"/>
  <c r="VNW10" i="9" s="1"/>
  <c r="VNY10" i="9" s="1"/>
  <c r="VOA10" i="9" s="1"/>
  <c r="VOC10" i="9" s="1"/>
  <c r="VOE10" i="9" s="1"/>
  <c r="VOG10" i="9" s="1"/>
  <c r="VOI10" i="9" s="1"/>
  <c r="VOK10" i="9" s="1"/>
  <c r="VOM10" i="9" s="1"/>
  <c r="VOO10" i="9" s="1"/>
  <c r="VOQ10" i="9" s="1"/>
  <c r="VOS10" i="9" s="1"/>
  <c r="VOU10" i="9" s="1"/>
  <c r="VOW10" i="9" s="1"/>
  <c r="VOY10" i="9" s="1"/>
  <c r="VPA10" i="9" s="1"/>
  <c r="VPC10" i="9" s="1"/>
  <c r="VPE10" i="9" s="1"/>
  <c r="VPG10" i="9" s="1"/>
  <c r="VPI10" i="9" s="1"/>
  <c r="VPK10" i="9" s="1"/>
  <c r="VPM10" i="9" s="1"/>
  <c r="VPO10" i="9" s="1"/>
  <c r="VPQ10" i="9" s="1"/>
  <c r="VPS10" i="9" s="1"/>
  <c r="VPU10" i="9" s="1"/>
  <c r="VPW10" i="9" s="1"/>
  <c r="VPY10" i="9" s="1"/>
  <c r="VQA10" i="9" s="1"/>
  <c r="VQC10" i="9" s="1"/>
  <c r="VQE10" i="9" s="1"/>
  <c r="VQG10" i="9" s="1"/>
  <c r="VQI10" i="9" s="1"/>
  <c r="VQK10" i="9" s="1"/>
  <c r="VQM10" i="9" s="1"/>
  <c r="VQO10" i="9" s="1"/>
  <c r="VQQ10" i="9" s="1"/>
  <c r="VQS10" i="9" s="1"/>
  <c r="VQU10" i="9" s="1"/>
  <c r="VQW10" i="9" s="1"/>
  <c r="VQY10" i="9" s="1"/>
  <c r="VRA10" i="9" s="1"/>
  <c r="VRC10" i="9" s="1"/>
  <c r="VRE10" i="9" s="1"/>
  <c r="VRG10" i="9" s="1"/>
  <c r="VRI10" i="9" s="1"/>
  <c r="VRK10" i="9" s="1"/>
  <c r="VRM10" i="9" s="1"/>
  <c r="VRO10" i="9" s="1"/>
  <c r="VRQ10" i="9" s="1"/>
  <c r="VRS10" i="9" s="1"/>
  <c r="VRU10" i="9" s="1"/>
  <c r="VRW10" i="9" s="1"/>
  <c r="VRY10" i="9" s="1"/>
  <c r="VSA10" i="9" s="1"/>
  <c r="VSC10" i="9" s="1"/>
  <c r="VSE10" i="9" s="1"/>
  <c r="VSG10" i="9" s="1"/>
  <c r="VSI10" i="9" s="1"/>
  <c r="VSK10" i="9" s="1"/>
  <c r="VSM10" i="9" s="1"/>
  <c r="VSO10" i="9" s="1"/>
  <c r="VSQ10" i="9" s="1"/>
  <c r="VSS10" i="9" s="1"/>
  <c r="VSU10" i="9" s="1"/>
  <c r="VSW10" i="9" s="1"/>
  <c r="VSY10" i="9" s="1"/>
  <c r="VTA10" i="9" s="1"/>
  <c r="VTC10" i="9" s="1"/>
  <c r="VTE10" i="9" s="1"/>
  <c r="VTG10" i="9" s="1"/>
  <c r="VTI10" i="9" s="1"/>
  <c r="VTK10" i="9" s="1"/>
  <c r="VTM10" i="9" s="1"/>
  <c r="VTO10" i="9" s="1"/>
  <c r="VTQ10" i="9" s="1"/>
  <c r="VTS10" i="9" s="1"/>
  <c r="VTU10" i="9" s="1"/>
  <c r="VTW10" i="9" s="1"/>
  <c r="VTY10" i="9" s="1"/>
  <c r="VUA10" i="9" s="1"/>
  <c r="VUC10" i="9" s="1"/>
  <c r="VUE10" i="9" s="1"/>
  <c r="VUG10" i="9" s="1"/>
  <c r="VUI10" i="9" s="1"/>
  <c r="VUK10" i="9" s="1"/>
  <c r="VUM10" i="9" s="1"/>
  <c r="VUO10" i="9" s="1"/>
  <c r="VUQ10" i="9" s="1"/>
  <c r="VUS10" i="9" s="1"/>
  <c r="VUU10" i="9" s="1"/>
  <c r="VUW10" i="9" s="1"/>
  <c r="VUY10" i="9" s="1"/>
  <c r="VVA10" i="9" s="1"/>
  <c r="VVC10" i="9" s="1"/>
  <c r="VVE10" i="9" s="1"/>
  <c r="VVG10" i="9" s="1"/>
  <c r="VVI10" i="9" s="1"/>
  <c r="VVK10" i="9" s="1"/>
  <c r="VVM10" i="9" s="1"/>
  <c r="VVO10" i="9" s="1"/>
  <c r="VVQ10" i="9" s="1"/>
  <c r="VVS10" i="9" s="1"/>
  <c r="VVU10" i="9" s="1"/>
  <c r="VVW10" i="9" s="1"/>
  <c r="VVY10" i="9" s="1"/>
  <c r="VWA10" i="9" s="1"/>
  <c r="VWC10" i="9" s="1"/>
  <c r="VWE10" i="9" s="1"/>
  <c r="VWG10" i="9" s="1"/>
  <c r="VWI10" i="9" s="1"/>
  <c r="VWK10" i="9" s="1"/>
  <c r="VWM10" i="9" s="1"/>
  <c r="VWO10" i="9" s="1"/>
  <c r="VWQ10" i="9" s="1"/>
  <c r="VWS10" i="9" s="1"/>
  <c r="VWU10" i="9" s="1"/>
  <c r="VWW10" i="9" s="1"/>
  <c r="VWY10" i="9" s="1"/>
  <c r="VXA10" i="9" s="1"/>
  <c r="VXC10" i="9" s="1"/>
  <c r="VXE10" i="9" s="1"/>
  <c r="VXG10" i="9" s="1"/>
  <c r="VXI10" i="9" s="1"/>
  <c r="VXK10" i="9" s="1"/>
  <c r="VXM10" i="9" s="1"/>
  <c r="VXO10" i="9" s="1"/>
  <c r="VXQ10" i="9" s="1"/>
  <c r="VXS10" i="9" s="1"/>
  <c r="VXU10" i="9" s="1"/>
  <c r="VXW10" i="9" s="1"/>
  <c r="VXY10" i="9" s="1"/>
  <c r="VYA10" i="9" s="1"/>
  <c r="VYC10" i="9" s="1"/>
  <c r="VYE10" i="9" s="1"/>
  <c r="VYG10" i="9" s="1"/>
  <c r="VYI10" i="9" s="1"/>
  <c r="VYK10" i="9" s="1"/>
  <c r="VYM10" i="9" s="1"/>
  <c r="VYO10" i="9" s="1"/>
  <c r="VYQ10" i="9" s="1"/>
  <c r="VYS10" i="9" s="1"/>
  <c r="VYU10" i="9" s="1"/>
  <c r="VYW10" i="9" s="1"/>
  <c r="VYY10" i="9" s="1"/>
  <c r="VZA10" i="9" s="1"/>
  <c r="VZC10" i="9" s="1"/>
  <c r="VZE10" i="9" s="1"/>
  <c r="VZG10" i="9" s="1"/>
  <c r="VZI10" i="9" s="1"/>
  <c r="VZK10" i="9" s="1"/>
  <c r="VZM10" i="9" s="1"/>
  <c r="VZO10" i="9" s="1"/>
  <c r="VZQ10" i="9" s="1"/>
  <c r="VZS10" i="9" s="1"/>
  <c r="VZU10" i="9" s="1"/>
  <c r="VZW10" i="9" s="1"/>
  <c r="VZY10" i="9" s="1"/>
  <c r="WAA10" i="9" s="1"/>
  <c r="WAC10" i="9" s="1"/>
  <c r="WAE10" i="9" s="1"/>
  <c r="WAG10" i="9" s="1"/>
  <c r="WAI10" i="9" s="1"/>
  <c r="WAK10" i="9" s="1"/>
  <c r="WAM10" i="9" s="1"/>
  <c r="WAO10" i="9" s="1"/>
  <c r="WAQ10" i="9" s="1"/>
  <c r="WAS10" i="9" s="1"/>
  <c r="WAU10" i="9" s="1"/>
  <c r="WAW10" i="9" s="1"/>
  <c r="WAY10" i="9" s="1"/>
  <c r="WBA10" i="9" s="1"/>
  <c r="WBC10" i="9" s="1"/>
  <c r="WBE10" i="9" s="1"/>
  <c r="WBG10" i="9" s="1"/>
  <c r="WBI10" i="9" s="1"/>
  <c r="WBK10" i="9" s="1"/>
  <c r="WBM10" i="9" s="1"/>
  <c r="WBO10" i="9" s="1"/>
  <c r="WBQ10" i="9" s="1"/>
  <c r="WBS10" i="9" s="1"/>
  <c r="WBU10" i="9" s="1"/>
  <c r="WBW10" i="9" s="1"/>
  <c r="WBY10" i="9" s="1"/>
  <c r="WCA10" i="9" s="1"/>
  <c r="WCC10" i="9" s="1"/>
  <c r="WCE10" i="9" s="1"/>
  <c r="WCG10" i="9" s="1"/>
  <c r="WCI10" i="9" s="1"/>
  <c r="WCK10" i="9" s="1"/>
  <c r="WCM10" i="9" s="1"/>
  <c r="WCO10" i="9" s="1"/>
  <c r="WCQ10" i="9" s="1"/>
  <c r="WCS10" i="9" s="1"/>
  <c r="WCU10" i="9" s="1"/>
  <c r="WCW10" i="9" s="1"/>
  <c r="WCY10" i="9" s="1"/>
  <c r="WDA10" i="9" s="1"/>
  <c r="WDC10" i="9" s="1"/>
  <c r="WDE10" i="9" s="1"/>
  <c r="WDG10" i="9" s="1"/>
  <c r="WDI10" i="9" s="1"/>
  <c r="WDK10" i="9" s="1"/>
  <c r="WDM10" i="9" s="1"/>
  <c r="WDO10" i="9" s="1"/>
  <c r="WDQ10" i="9" s="1"/>
  <c r="WDS10" i="9" s="1"/>
  <c r="WDU10" i="9" s="1"/>
  <c r="WDW10" i="9" s="1"/>
  <c r="WDY10" i="9" s="1"/>
  <c r="WEA10" i="9" s="1"/>
  <c r="WEC10" i="9" s="1"/>
  <c r="WEE10" i="9" s="1"/>
  <c r="WEG10" i="9" s="1"/>
  <c r="WEI10" i="9" s="1"/>
  <c r="WEK10" i="9" s="1"/>
  <c r="WEM10" i="9" s="1"/>
  <c r="WEO10" i="9" s="1"/>
  <c r="WEQ10" i="9" s="1"/>
  <c r="WES10" i="9" s="1"/>
  <c r="WEU10" i="9" s="1"/>
  <c r="WEW10" i="9" s="1"/>
  <c r="WEY10" i="9" s="1"/>
  <c r="WFA10" i="9" s="1"/>
  <c r="WFC10" i="9" s="1"/>
  <c r="WFE10" i="9" s="1"/>
  <c r="WFG10" i="9" s="1"/>
  <c r="WFI10" i="9" s="1"/>
  <c r="WFK10" i="9" s="1"/>
  <c r="WFM10" i="9" s="1"/>
  <c r="WFO10" i="9" s="1"/>
  <c r="WFQ10" i="9" s="1"/>
  <c r="WFS10" i="9" s="1"/>
  <c r="WFU10" i="9" s="1"/>
  <c r="WFW10" i="9" s="1"/>
  <c r="WFY10" i="9" s="1"/>
  <c r="WGA10" i="9" s="1"/>
  <c r="WGC10" i="9" s="1"/>
  <c r="WGE10" i="9" s="1"/>
  <c r="WGG10" i="9" s="1"/>
  <c r="WGI10" i="9" s="1"/>
  <c r="WGK10" i="9" s="1"/>
  <c r="WGM10" i="9" s="1"/>
  <c r="WGO10" i="9" s="1"/>
  <c r="WGQ10" i="9" s="1"/>
  <c r="WGS10" i="9" s="1"/>
  <c r="WGU10" i="9" s="1"/>
  <c r="WGW10" i="9" s="1"/>
  <c r="WGY10" i="9" s="1"/>
  <c r="WHA10" i="9" s="1"/>
  <c r="WHC10" i="9" s="1"/>
  <c r="WHE10" i="9" s="1"/>
  <c r="WHG10" i="9" s="1"/>
  <c r="WHI10" i="9" s="1"/>
  <c r="WHK10" i="9" s="1"/>
  <c r="WHM10" i="9" s="1"/>
  <c r="WHO10" i="9" s="1"/>
  <c r="WHQ10" i="9" s="1"/>
  <c r="WHS10" i="9" s="1"/>
  <c r="WHU10" i="9" s="1"/>
  <c r="WHW10" i="9" s="1"/>
  <c r="WHY10" i="9" s="1"/>
  <c r="WIA10" i="9" s="1"/>
  <c r="WIC10" i="9" s="1"/>
  <c r="WIE10" i="9" s="1"/>
  <c r="WIG10" i="9" s="1"/>
  <c r="WII10" i="9" s="1"/>
  <c r="WIK10" i="9" s="1"/>
  <c r="WIM10" i="9" s="1"/>
  <c r="WIO10" i="9" s="1"/>
  <c r="WIQ10" i="9" s="1"/>
  <c r="WIS10" i="9" s="1"/>
  <c r="WIU10" i="9" s="1"/>
  <c r="WIW10" i="9" s="1"/>
  <c r="WIY10" i="9" s="1"/>
  <c r="WJA10" i="9" s="1"/>
  <c r="WJC10" i="9" s="1"/>
  <c r="WJE10" i="9" s="1"/>
  <c r="WJG10" i="9" s="1"/>
  <c r="WJI10" i="9" s="1"/>
  <c r="WJK10" i="9" s="1"/>
  <c r="WJM10" i="9" s="1"/>
  <c r="WJO10" i="9" s="1"/>
  <c r="WJQ10" i="9" s="1"/>
  <c r="WJS10" i="9" s="1"/>
  <c r="WJU10" i="9" s="1"/>
  <c r="WJW10" i="9" s="1"/>
  <c r="WJY10" i="9" s="1"/>
  <c r="WKA10" i="9" s="1"/>
  <c r="WKC10" i="9" s="1"/>
  <c r="WKE10" i="9" s="1"/>
  <c r="WKG10" i="9" s="1"/>
  <c r="WKI10" i="9" s="1"/>
  <c r="WKK10" i="9" s="1"/>
  <c r="WKM10" i="9" s="1"/>
  <c r="WKO10" i="9" s="1"/>
  <c r="WKQ10" i="9" s="1"/>
  <c r="WKS10" i="9" s="1"/>
  <c r="WKU10" i="9" s="1"/>
  <c r="WKW10" i="9" s="1"/>
  <c r="WKY10" i="9" s="1"/>
  <c r="WLA10" i="9" s="1"/>
  <c r="WLC10" i="9" s="1"/>
  <c r="WLE10" i="9" s="1"/>
  <c r="WLG10" i="9" s="1"/>
  <c r="WLI10" i="9" s="1"/>
  <c r="WLK10" i="9" s="1"/>
  <c r="WLM10" i="9" s="1"/>
  <c r="WLO10" i="9" s="1"/>
  <c r="WLQ10" i="9" s="1"/>
  <c r="WLS10" i="9" s="1"/>
  <c r="WLU10" i="9" s="1"/>
  <c r="WLW10" i="9" s="1"/>
  <c r="WLY10" i="9" s="1"/>
  <c r="WMA10" i="9" s="1"/>
  <c r="WMC10" i="9" s="1"/>
  <c r="WME10" i="9" s="1"/>
  <c r="WMG10" i="9" s="1"/>
  <c r="WMI10" i="9" s="1"/>
  <c r="WMK10" i="9" s="1"/>
  <c r="WMM10" i="9" s="1"/>
  <c r="WMO10" i="9" s="1"/>
  <c r="WMQ10" i="9" s="1"/>
  <c r="WMS10" i="9" s="1"/>
  <c r="WMU10" i="9" s="1"/>
  <c r="WMW10" i="9" s="1"/>
  <c r="WMY10" i="9" s="1"/>
  <c r="WNA10" i="9" s="1"/>
  <c r="WNC10" i="9" s="1"/>
  <c r="WNE10" i="9" s="1"/>
  <c r="WNG10" i="9" s="1"/>
  <c r="WNI10" i="9" s="1"/>
  <c r="WNK10" i="9" s="1"/>
  <c r="WNM10" i="9" s="1"/>
  <c r="WNO10" i="9" s="1"/>
  <c r="WNQ10" i="9" s="1"/>
  <c r="WNS10" i="9" s="1"/>
  <c r="WNU10" i="9" s="1"/>
  <c r="WNW10" i="9" s="1"/>
  <c r="WNY10" i="9" s="1"/>
  <c r="WOA10" i="9" s="1"/>
  <c r="WOC10" i="9" s="1"/>
  <c r="WOE10" i="9" s="1"/>
  <c r="WOG10" i="9" s="1"/>
  <c r="WOI10" i="9" s="1"/>
  <c r="WOK10" i="9" s="1"/>
  <c r="WOM10" i="9" s="1"/>
  <c r="WOO10" i="9" s="1"/>
  <c r="WOQ10" i="9" s="1"/>
  <c r="WOS10" i="9" s="1"/>
  <c r="WOU10" i="9" s="1"/>
  <c r="WOW10" i="9" s="1"/>
  <c r="WOY10" i="9" s="1"/>
  <c r="WPA10" i="9" s="1"/>
  <c r="WPC10" i="9" s="1"/>
  <c r="WPE10" i="9" s="1"/>
  <c r="WPG10" i="9" s="1"/>
  <c r="WPI10" i="9" s="1"/>
  <c r="WPK10" i="9" s="1"/>
  <c r="WPM10" i="9" s="1"/>
  <c r="WPO10" i="9" s="1"/>
  <c r="WPQ10" i="9" s="1"/>
  <c r="WPS10" i="9" s="1"/>
  <c r="WPU10" i="9" s="1"/>
  <c r="WPW10" i="9" s="1"/>
  <c r="WPY10" i="9" s="1"/>
  <c r="WQA10" i="9" s="1"/>
  <c r="WQC10" i="9" s="1"/>
  <c r="WQE10" i="9" s="1"/>
  <c r="WQG10" i="9" s="1"/>
  <c r="WQI10" i="9" s="1"/>
  <c r="WQK10" i="9" s="1"/>
  <c r="WQM10" i="9" s="1"/>
  <c r="WQO10" i="9" s="1"/>
  <c r="WQQ10" i="9" s="1"/>
  <c r="WQS10" i="9" s="1"/>
  <c r="WQU10" i="9" s="1"/>
  <c r="WQW10" i="9" s="1"/>
  <c r="WQY10" i="9" s="1"/>
  <c r="WRA10" i="9" s="1"/>
  <c r="WRC10" i="9" s="1"/>
  <c r="WRE10" i="9" s="1"/>
  <c r="WRG10" i="9" s="1"/>
  <c r="WRI10" i="9" s="1"/>
  <c r="WRK10" i="9" s="1"/>
  <c r="WRM10" i="9" s="1"/>
  <c r="WRO10" i="9" s="1"/>
  <c r="WRQ10" i="9" s="1"/>
  <c r="WRS10" i="9" s="1"/>
  <c r="WRU10" i="9" s="1"/>
  <c r="WRW10" i="9" s="1"/>
  <c r="WRY10" i="9" s="1"/>
  <c r="WSA10" i="9" s="1"/>
  <c r="WSC10" i="9" s="1"/>
  <c r="WSE10" i="9" s="1"/>
  <c r="WSG10" i="9" s="1"/>
  <c r="WSI10" i="9" s="1"/>
  <c r="WSK10" i="9" s="1"/>
  <c r="WSM10" i="9" s="1"/>
  <c r="WSO10" i="9" s="1"/>
  <c r="WSQ10" i="9" s="1"/>
  <c r="WSS10" i="9" s="1"/>
  <c r="WSU10" i="9" s="1"/>
  <c r="WSW10" i="9" s="1"/>
  <c r="WSY10" i="9" s="1"/>
  <c r="WTA10" i="9" s="1"/>
  <c r="WTC10" i="9" s="1"/>
  <c r="WTE10" i="9" s="1"/>
  <c r="WTG10" i="9" s="1"/>
  <c r="WTI10" i="9" s="1"/>
  <c r="WTK10" i="9" s="1"/>
  <c r="WTM10" i="9" s="1"/>
  <c r="WTO10" i="9" s="1"/>
  <c r="WTQ10" i="9" s="1"/>
  <c r="WTS10" i="9" s="1"/>
  <c r="WTU10" i="9" s="1"/>
  <c r="WTW10" i="9" s="1"/>
  <c r="WTY10" i="9" s="1"/>
  <c r="WUA10" i="9" s="1"/>
  <c r="WUC10" i="9" s="1"/>
  <c r="WUE10" i="9" s="1"/>
  <c r="WUG10" i="9" s="1"/>
  <c r="WUI10" i="9" s="1"/>
  <c r="WUK10" i="9" s="1"/>
  <c r="WUM10" i="9" s="1"/>
  <c r="WUO10" i="9" s="1"/>
  <c r="WUQ10" i="9" s="1"/>
  <c r="WUS10" i="9" s="1"/>
  <c r="WUU10" i="9" s="1"/>
  <c r="WUW10" i="9" s="1"/>
  <c r="WUY10" i="9" s="1"/>
  <c r="WVA10" i="9" s="1"/>
  <c r="WVC10" i="9" s="1"/>
  <c r="WVE10" i="9" s="1"/>
  <c r="WVG10" i="9" s="1"/>
  <c r="WVI10" i="9" s="1"/>
  <c r="WVK10" i="9" s="1"/>
  <c r="WVM10" i="9" s="1"/>
  <c r="WVO10" i="9" s="1"/>
  <c r="WVQ10" i="9" s="1"/>
  <c r="WVS10" i="9" s="1"/>
  <c r="WVU10" i="9" s="1"/>
  <c r="WVW10" i="9" s="1"/>
  <c r="WVY10" i="9" s="1"/>
  <c r="WWA10" i="9" s="1"/>
  <c r="WWC10" i="9" s="1"/>
  <c r="WWE10" i="9" s="1"/>
  <c r="WWG10" i="9" s="1"/>
  <c r="WWI10" i="9" s="1"/>
  <c r="WWK10" i="9" s="1"/>
  <c r="WWM10" i="9" s="1"/>
  <c r="WWO10" i="9" s="1"/>
  <c r="WWQ10" i="9" s="1"/>
  <c r="WWS10" i="9" s="1"/>
  <c r="WWU10" i="9" s="1"/>
  <c r="WWW10" i="9" s="1"/>
  <c r="WWY10" i="9" s="1"/>
  <c r="WXA10" i="9" s="1"/>
  <c r="WXC10" i="9" s="1"/>
  <c r="WXE10" i="9" s="1"/>
  <c r="WXG10" i="9" s="1"/>
  <c r="WXI10" i="9" s="1"/>
  <c r="WXK10" i="9" s="1"/>
  <c r="WXM10" i="9" s="1"/>
  <c r="WXO10" i="9" s="1"/>
  <c r="WXQ10" i="9" s="1"/>
  <c r="WXS10" i="9" s="1"/>
  <c r="WXU10" i="9" s="1"/>
  <c r="WXW10" i="9" s="1"/>
  <c r="WXY10" i="9" s="1"/>
  <c r="WYA10" i="9" s="1"/>
  <c r="WYC10" i="9" s="1"/>
  <c r="WYE10" i="9" s="1"/>
  <c r="WYG10" i="9" s="1"/>
  <c r="WYI10" i="9" s="1"/>
  <c r="WYK10" i="9" s="1"/>
  <c r="WYM10" i="9" s="1"/>
  <c r="WYO10" i="9" s="1"/>
  <c r="WYQ10" i="9" s="1"/>
  <c r="WYS10" i="9" s="1"/>
  <c r="WYU10" i="9" s="1"/>
  <c r="WYW10" i="9" s="1"/>
  <c r="WYY10" i="9" s="1"/>
  <c r="WZA10" i="9" s="1"/>
  <c r="WZC10" i="9" s="1"/>
  <c r="WZE10" i="9" s="1"/>
  <c r="WZG10" i="9" s="1"/>
  <c r="WZI10" i="9" s="1"/>
  <c r="WZK10" i="9" s="1"/>
  <c r="WZM10" i="9" s="1"/>
  <c r="WZO10" i="9" s="1"/>
  <c r="WZQ10" i="9" s="1"/>
  <c r="WZS10" i="9" s="1"/>
  <c r="WZU10" i="9" s="1"/>
  <c r="WZW10" i="9" s="1"/>
  <c r="WZY10" i="9" s="1"/>
  <c r="XAA10" i="9" s="1"/>
  <c r="XAC10" i="9" s="1"/>
  <c r="XAE10" i="9" s="1"/>
  <c r="XAG10" i="9" s="1"/>
  <c r="XAI10" i="9" s="1"/>
  <c r="XAK10" i="9" s="1"/>
  <c r="XAM10" i="9" s="1"/>
  <c r="XAO10" i="9" s="1"/>
  <c r="XAQ10" i="9" s="1"/>
  <c r="XAS10" i="9" s="1"/>
  <c r="XAU10" i="9" s="1"/>
  <c r="XAW10" i="9" s="1"/>
  <c r="XAY10" i="9" s="1"/>
  <c r="XBA10" i="9" s="1"/>
  <c r="XBC10" i="9" s="1"/>
  <c r="XBE10" i="9" s="1"/>
  <c r="XBG10" i="9" s="1"/>
  <c r="XBI10" i="9" s="1"/>
  <c r="XBK10" i="9" s="1"/>
  <c r="XBM10" i="9" s="1"/>
  <c r="XBO10" i="9" s="1"/>
  <c r="XBQ10" i="9" s="1"/>
  <c r="XBS10" i="9" s="1"/>
  <c r="XBU10" i="9" s="1"/>
  <c r="XBW10" i="9" s="1"/>
  <c r="XBY10" i="9" s="1"/>
  <c r="XCA10" i="9" s="1"/>
  <c r="XCC10" i="9" s="1"/>
  <c r="XCE10" i="9" s="1"/>
  <c r="XCG10" i="9" s="1"/>
  <c r="XCI10" i="9" s="1"/>
  <c r="XCK10" i="9" s="1"/>
  <c r="XCM10" i="9" s="1"/>
  <c r="XCO10" i="9" s="1"/>
  <c r="XCQ10" i="9" s="1"/>
  <c r="XCS10" i="9" s="1"/>
  <c r="XCU10" i="9" s="1"/>
  <c r="XCW10" i="9" s="1"/>
  <c r="XCY10" i="9" s="1"/>
  <c r="XDA10" i="9" s="1"/>
  <c r="XDC10" i="9" s="1"/>
  <c r="XDE10" i="9" s="1"/>
  <c r="XDG10" i="9" s="1"/>
  <c r="XDI10" i="9" s="1"/>
  <c r="XDK10" i="9" s="1"/>
  <c r="XDM10" i="9" s="1"/>
  <c r="XDO10" i="9" s="1"/>
  <c r="XDQ10" i="9" s="1"/>
  <c r="XDS10" i="9" s="1"/>
  <c r="XDU10" i="9" s="1"/>
  <c r="XDW10" i="9" s="1"/>
  <c r="XDY10" i="9" s="1"/>
  <c r="XEA10" i="9" s="1"/>
  <c r="XEC10" i="9" s="1"/>
  <c r="XEE10" i="9" s="1"/>
  <c r="XEG10" i="9" s="1"/>
  <c r="XEI10" i="9" s="1"/>
  <c r="XEK10" i="9" s="1"/>
  <c r="XEM10" i="9" s="1"/>
  <c r="XEO10" i="9" s="1"/>
  <c r="XEQ10" i="9" s="1"/>
  <c r="XES10" i="9" s="1"/>
  <c r="XEU10" i="9" s="1"/>
  <c r="XEW10" i="9" s="1"/>
  <c r="XEY10" i="9" s="1"/>
  <c r="XFA10" i="9" s="1"/>
  <c r="XFC10" i="9" s="1"/>
  <c r="O634" i="3"/>
  <c r="R634" i="3"/>
  <c r="O635" i="3"/>
  <c r="R635" i="3"/>
  <c r="O636" i="3"/>
  <c r="R636" i="3"/>
  <c r="O637" i="3"/>
  <c r="R637" i="3"/>
  <c r="O638" i="3"/>
  <c r="R638" i="3"/>
  <c r="O639" i="3"/>
  <c r="R639" i="3"/>
  <c r="O640" i="3"/>
  <c r="R640" i="3"/>
  <c r="R632" i="3"/>
  <c r="O632" i="3"/>
  <c r="W564" i="3"/>
  <c r="W565" i="3"/>
  <c r="W566" i="3"/>
  <c r="W563" i="3"/>
  <c r="W562" i="3"/>
  <c r="W561" i="3"/>
  <c r="E39" i="9"/>
  <c r="G39" i="9" s="1"/>
  <c r="AA895" i="3"/>
  <c r="AA912" i="3"/>
  <c r="AJ982" i="3"/>
  <c r="AC864" i="3"/>
  <c r="G706" i="3"/>
  <c r="E34" i="4" l="1"/>
  <c r="E35" i="4"/>
  <c r="E36" i="4"/>
  <c r="E37" i="4"/>
  <c r="E46" i="4"/>
  <c r="E47" i="4"/>
  <c r="E48" i="4"/>
  <c r="E49" i="4"/>
  <c r="E50" i="4"/>
  <c r="E51" i="4"/>
  <c r="E52" i="4"/>
  <c r="E56" i="4"/>
  <c r="E57" i="4"/>
  <c r="E58" i="4"/>
  <c r="E59" i="4"/>
  <c r="E60" i="4"/>
  <c r="E65" i="4"/>
  <c r="E66" i="4"/>
  <c r="E67" i="4"/>
  <c r="E72" i="4"/>
  <c r="E73" i="4"/>
  <c r="E74" i="4"/>
  <c r="E83" i="4"/>
  <c r="E84" i="4"/>
  <c r="E85" i="4"/>
  <c r="E86" i="4"/>
  <c r="E87" i="4"/>
  <c r="E88" i="4"/>
  <c r="E89" i="4"/>
  <c r="E90" i="4"/>
  <c r="E91" i="4"/>
  <c r="E92" i="4"/>
  <c r="E93" i="4"/>
  <c r="E94" i="4"/>
  <c r="E82" i="4"/>
  <c r="E79" i="4"/>
  <c r="E78" i="4"/>
  <c r="E71" i="4"/>
  <c r="E64" i="4"/>
  <c r="E55" i="4"/>
  <c r="E45" i="4"/>
  <c r="E43" i="4"/>
  <c r="E41" i="4"/>
  <c r="E29" i="4"/>
  <c r="E13" i="4"/>
  <c r="C40" i="4"/>
  <c r="C68" i="4"/>
  <c r="E68" i="4" s="1"/>
  <c r="AM568" i="3"/>
  <c r="AM569" i="3"/>
  <c r="AM567" i="3"/>
  <c r="C568" i="3"/>
  <c r="C569" i="3"/>
  <c r="C567" i="3"/>
  <c r="AM564" i="3"/>
  <c r="AM565" i="3"/>
  <c r="AM566" i="3"/>
  <c r="AM563" i="3"/>
  <c r="AM561" i="3"/>
  <c r="AM562" i="3"/>
  <c r="C564" i="3"/>
  <c r="C565" i="3"/>
  <c r="C566" i="3"/>
  <c r="C563" i="3"/>
  <c r="C562" i="3"/>
  <c r="C561" i="3"/>
  <c r="E10" i="4"/>
  <c r="E9" i="4"/>
  <c r="E5" i="4"/>
  <c r="E6" i="4"/>
  <c r="E7" i="4"/>
  <c r="C32" i="4"/>
  <c r="E32" i="4" s="1"/>
  <c r="C33" i="4"/>
  <c r="E33" i="4" s="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J30" i="4" s="1"/>
  <c r="K107" i="4"/>
  <c r="K30" i="4" s="1"/>
  <c r="L107" i="4"/>
  <c r="L30" i="4" s="1"/>
  <c r="M107" i="4"/>
  <c r="M30" i="4" s="1"/>
  <c r="N107" i="4"/>
  <c r="N40" i="4" s="1"/>
  <c r="E40" i="4" s="1"/>
  <c r="O107" i="4"/>
  <c r="O98" i="4" s="1"/>
  <c r="E98" i="4" s="1"/>
  <c r="P107" i="4"/>
  <c r="P31" i="4" s="1"/>
  <c r="E31" i="4" s="1"/>
  <c r="Q107" i="4"/>
  <c r="Q75" i="4" s="1"/>
  <c r="I107" i="4"/>
  <c r="I30" i="4" s="1"/>
  <c r="H107" i="4"/>
  <c r="H75" i="4" s="1"/>
  <c r="G107" i="4"/>
  <c r="G30" i="4" s="1"/>
  <c r="F107" i="4"/>
  <c r="F4" i="4" s="1"/>
  <c r="E4" i="4" s="1"/>
  <c r="E107" i="4"/>
  <c r="E75" i="4" l="1"/>
  <c r="E30" i="4"/>
  <c r="B100" i="15"/>
  <c r="C100" i="15"/>
  <c r="E100" i="15" s="1"/>
  <c r="D100" i="15"/>
  <c r="B101" i="15"/>
  <c r="C101" i="15"/>
  <c r="D101" i="15"/>
  <c r="B102" i="15"/>
  <c r="C102" i="15"/>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AJ973" i="3"/>
  <c r="E32" i="15" l="1"/>
  <c r="E18" i="15"/>
  <c r="E26" i="15"/>
  <c r="E94" i="15"/>
  <c r="E86" i="15"/>
  <c r="E80" i="15"/>
  <c r="E93" i="15"/>
  <c r="E102" i="15"/>
  <c r="E103" i="15"/>
  <c r="E76" i="15"/>
  <c r="E85" i="15"/>
  <c r="E24" i="15"/>
  <c r="E20" i="15"/>
  <c r="E60" i="15"/>
  <c r="E66" i="15"/>
  <c r="E74" i="15"/>
  <c r="E25" i="15"/>
  <c r="E49" i="15"/>
  <c r="E75" i="15"/>
  <c r="E38" i="15"/>
  <c r="E68"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I738" i="3" s="1"/>
  <c r="BH731" i="3"/>
  <c r="BH726" i="3"/>
  <c r="BH734" i="3"/>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S36" i="4" s="1"/>
  <c r="E35" i="18" s="1"/>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12" i="4" s="1"/>
  <c r="D26" i="4"/>
  <c r="D38" i="4"/>
  <c r="D42" i="4"/>
  <c r="D53" i="4"/>
  <c r="D61" i="4"/>
  <c r="D69" i="4"/>
  <c r="D76" i="4"/>
  <c r="D80" i="4"/>
  <c r="D95" i="4"/>
  <c r="D103" i="4"/>
  <c r="C8" i="4"/>
  <c r="C11" i="4"/>
  <c r="C26" i="4"/>
  <c r="C38" i="4"/>
  <c r="C42" i="4"/>
  <c r="C53" i="4"/>
  <c r="B53" i="4" s="1"/>
  <c r="C61" i="4"/>
  <c r="C69" i="4"/>
  <c r="C76" i="4"/>
  <c r="C80" i="4"/>
  <c r="B79" i="18" s="1"/>
  <c r="C95" i="4"/>
  <c r="B94" i="18" s="1"/>
  <c r="C103" i="4"/>
  <c r="C65" i="25"/>
  <c r="C66" i="25"/>
  <c r="G67" i="25" s="1"/>
  <c r="Y20" i="5"/>
  <c r="Y22" i="5" s="1"/>
  <c r="AI20" i="5"/>
  <c r="AI22" i="5" s="1"/>
  <c r="S26" i="4"/>
  <c r="F25" i="18"/>
  <c r="F37" i="18"/>
  <c r="F41" i="18"/>
  <c r="F52" i="18"/>
  <c r="F68" i="18"/>
  <c r="F79" i="18"/>
  <c r="F94" i="18"/>
  <c r="F102" i="18"/>
  <c r="T20" i="5"/>
  <c r="T22" i="5" s="1"/>
  <c r="T26" i="4"/>
  <c r="H25" i="18" s="1"/>
  <c r="T38" i="4"/>
  <c r="H37" i="18" s="1"/>
  <c r="T42" i="4"/>
  <c r="T53" i="4"/>
  <c r="H52" i="18" s="1"/>
  <c r="T11" i="4"/>
  <c r="T69" i="4"/>
  <c r="H68" i="18" s="1"/>
  <c r="T80" i="4"/>
  <c r="H79" i="18" s="1"/>
  <c r="T95" i="4"/>
  <c r="T103" i="4"/>
  <c r="H102"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G76" i="4"/>
  <c r="F76" i="4"/>
  <c r="E76" i="4"/>
  <c r="B78" i="18"/>
  <c r="H78" i="18"/>
  <c r="B79" i="4"/>
  <c r="S79" i="4" s="1"/>
  <c r="E78" i="18" s="1"/>
  <c r="B78" i="4"/>
  <c r="S78" i="4" s="1"/>
  <c r="S80" i="4" s="1"/>
  <c r="E79" i="18" s="1"/>
  <c r="R79" i="4"/>
  <c r="R78" i="4"/>
  <c r="AG443" i="3"/>
  <c r="B102" i="4"/>
  <c r="B25" i="18"/>
  <c r="G25" i="18"/>
  <c r="G37" i="18"/>
  <c r="G41" i="18"/>
  <c r="G52" i="18"/>
  <c r="G68" i="18"/>
  <c r="G94" i="18"/>
  <c r="G102" i="18"/>
  <c r="E10" i="7"/>
  <c r="J7" i="7"/>
  <c r="H5" i="10"/>
  <c r="I5" i="10" s="1"/>
  <c r="H6" i="10"/>
  <c r="I6" i="10" s="1"/>
  <c r="H7" i="10"/>
  <c r="I7" i="10" s="1"/>
  <c r="H8" i="10"/>
  <c r="I8" i="10" s="1"/>
  <c r="H9" i="10"/>
  <c r="I9" i="10" s="1"/>
  <c r="H10" i="10"/>
  <c r="I10" i="10" s="1"/>
  <c r="H11" i="10"/>
  <c r="I11" i="10" s="1"/>
  <c r="H12" i="10"/>
  <c r="H13" i="10"/>
  <c r="I13" i="10" s="1"/>
  <c r="H14" i="10"/>
  <c r="H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A6" i="10"/>
  <c r="F6" i="10"/>
  <c r="A7" i="10"/>
  <c r="F7" i="10"/>
  <c r="A8" i="10"/>
  <c r="F8" i="10"/>
  <c r="A9" i="10"/>
  <c r="F9" i="10"/>
  <c r="A10" i="10"/>
  <c r="F10" i="10"/>
  <c r="A11" i="10"/>
  <c r="F11" i="10"/>
  <c r="A12" i="10"/>
  <c r="B12" i="10"/>
  <c r="A13" i="10"/>
  <c r="F13" i="10"/>
  <c r="A14" i="10"/>
  <c r="B14" i="10"/>
  <c r="F14" i="10" s="1"/>
  <c r="A15" i="10"/>
  <c r="B15" i="10"/>
  <c r="F15" i="10" s="1"/>
  <c r="A16" i="10"/>
  <c r="F16" i="10"/>
  <c r="A17" i="10"/>
  <c r="F17" i="10"/>
  <c r="A18" i="10"/>
  <c r="F18" i="10"/>
  <c r="A19" i="10"/>
  <c r="F19" i="10"/>
  <c r="A20" i="10"/>
  <c r="F20" i="10"/>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1" i="18"/>
  <c r="E89" i="18"/>
  <c r="E88" i="18"/>
  <c r="E85" i="18"/>
  <c r="E77" i="18"/>
  <c r="E63" i="18"/>
  <c r="E51" i="18"/>
  <c r="E49" i="18"/>
  <c r="E47" i="18"/>
  <c r="E46" i="18"/>
  <c r="E45" i="18"/>
  <c r="E44" i="18"/>
  <c r="E40" i="18"/>
  <c r="E26" i="18"/>
  <c r="E24" i="18"/>
  <c r="E23" i="18"/>
  <c r="E22" i="18"/>
  <c r="E21" i="18"/>
  <c r="E20" i="18"/>
  <c r="E19" i="18"/>
  <c r="E18" i="18"/>
  <c r="E17" i="18"/>
  <c r="E14" i="18"/>
  <c r="E15"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H94" i="18"/>
  <c r="B41" i="18"/>
  <c r="B61" i="4"/>
  <c r="Z795" i="3"/>
  <c r="E8" i="9" s="1"/>
  <c r="W825" i="3"/>
  <c r="E15" i="9" s="1"/>
  <c r="E16" i="9"/>
  <c r="G16" i="9" s="1"/>
  <c r="I16" i="9" s="1"/>
  <c r="K16" i="9" s="1"/>
  <c r="M16" i="9" s="1"/>
  <c r="O16" i="9" s="1"/>
  <c r="Q16" i="9" s="1"/>
  <c r="S16" i="9" s="1"/>
  <c r="U16" i="9" s="1"/>
  <c r="W16" i="9" s="1"/>
  <c r="Y16" i="9" s="1"/>
  <c r="AA16" i="9" s="1"/>
  <c r="AC16" i="9" s="1"/>
  <c r="AE16" i="9" s="1"/>
  <c r="AG16" i="9" s="1"/>
  <c r="W833" i="3"/>
  <c r="E17" i="9" s="1"/>
  <c r="G17" i="9" s="1"/>
  <c r="I17" i="9" s="1"/>
  <c r="K17" i="9" s="1"/>
  <c r="M17" i="9" s="1"/>
  <c r="O17" i="9" s="1"/>
  <c r="Q17" i="9" s="1"/>
  <c r="S17" i="9" s="1"/>
  <c r="U17" i="9" s="1"/>
  <c r="W17" i="9" s="1"/>
  <c r="Y17" i="9" s="1"/>
  <c r="AA17" i="9" s="1"/>
  <c r="AC17" i="9" s="1"/>
  <c r="AE17" i="9" s="1"/>
  <c r="AG17" i="9" s="1"/>
  <c r="W840" i="3"/>
  <c r="E18" i="9" s="1"/>
  <c r="G18" i="9" s="1"/>
  <c r="I18" i="9" s="1"/>
  <c r="K18" i="9" s="1"/>
  <c r="M18" i="9" s="1"/>
  <c r="O18" i="9" s="1"/>
  <c r="Q18" i="9" s="1"/>
  <c r="S18" i="9" s="1"/>
  <c r="U18" i="9" s="1"/>
  <c r="W18" i="9" s="1"/>
  <c r="Y18" i="9" s="1"/>
  <c r="AA18" i="9" s="1"/>
  <c r="AC18" i="9" s="1"/>
  <c r="AE18" i="9" s="1"/>
  <c r="AG18" i="9" s="1"/>
  <c r="E19" i="9"/>
  <c r="W850" i="3"/>
  <c r="E20" i="9" s="1"/>
  <c r="G20" i="9" s="1"/>
  <c r="I20" i="9" s="1"/>
  <c r="K20" i="9" s="1"/>
  <c r="M20" i="9" s="1"/>
  <c r="O20" i="9" s="1"/>
  <c r="Q20" i="9" s="1"/>
  <c r="S20" i="9" s="1"/>
  <c r="U20" i="9" s="1"/>
  <c r="W20" i="9" s="1"/>
  <c r="Y20" i="9" s="1"/>
  <c r="AA20" i="9" s="1"/>
  <c r="AC20" i="9" s="1"/>
  <c r="AE20" i="9" s="1"/>
  <c r="AG20" i="9" s="1"/>
  <c r="W857" i="3"/>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G2" i="4"/>
  <c r="H2" i="4"/>
  <c r="I2" i="4"/>
  <c r="J2" i="4"/>
  <c r="K2" i="4"/>
  <c r="L2" i="4"/>
  <c r="M2" i="4"/>
  <c r="N2" i="4"/>
  <c r="O2" i="4"/>
  <c r="P2" i="4"/>
  <c r="Q2" i="4"/>
  <c r="B4" i="4"/>
  <c r="B5" i="4"/>
  <c r="B6" i="4"/>
  <c r="B7" i="4"/>
  <c r="E8" i="4"/>
  <c r="E11" i="4"/>
  <c r="F8" i="4"/>
  <c r="G8" i="4"/>
  <c r="H8" i="4"/>
  <c r="H11" i="4"/>
  <c r="B9" i="4"/>
  <c r="B10" i="4"/>
  <c r="F11" i="4"/>
  <c r="G11" i="4"/>
  <c r="O12" i="4"/>
  <c r="B13" i="4"/>
  <c r="S13" i="4" s="1"/>
  <c r="E13" i="18" s="1"/>
  <c r="B14" i="4"/>
  <c r="B17" i="4"/>
  <c r="B18" i="4"/>
  <c r="B19" i="4"/>
  <c r="B20" i="4"/>
  <c r="B21" i="4"/>
  <c r="B22" i="4"/>
  <c r="B23" i="4"/>
  <c r="B25" i="4"/>
  <c r="E26" i="4"/>
  <c r="F26" i="4"/>
  <c r="G26" i="4"/>
  <c r="H26" i="4"/>
  <c r="M103" i="4"/>
  <c r="Q103" i="4"/>
  <c r="B27" i="4"/>
  <c r="B29" i="4"/>
  <c r="S29" i="4" s="1"/>
  <c r="E28" i="18" s="1"/>
  <c r="B30" i="4"/>
  <c r="S30" i="4" s="1"/>
  <c r="E29" i="18" s="1"/>
  <c r="B31" i="4"/>
  <c r="S31" i="4" s="1"/>
  <c r="E30" i="18" s="1"/>
  <c r="B32" i="4"/>
  <c r="S32" i="4" s="1"/>
  <c r="E31" i="18" s="1"/>
  <c r="B33" i="4"/>
  <c r="S33" i="4" s="1"/>
  <c r="E32" i="18" s="1"/>
  <c r="B34" i="4"/>
  <c r="S34" i="4" s="1"/>
  <c r="E33" i="18" s="1"/>
  <c r="B35" i="4"/>
  <c r="S35" i="4" s="1"/>
  <c r="E34" i="18" s="1"/>
  <c r="B37" i="4"/>
  <c r="S37" i="4" s="1"/>
  <c r="E36" i="18" s="1"/>
  <c r="E38" i="4"/>
  <c r="F38" i="4"/>
  <c r="G38" i="4"/>
  <c r="H38" i="4"/>
  <c r="O103" i="4"/>
  <c r="B40" i="4"/>
  <c r="S40" i="4" s="1"/>
  <c r="E39" i="18" s="1"/>
  <c r="B41" i="4"/>
  <c r="E42" i="4"/>
  <c r="F42" i="4"/>
  <c r="G42" i="4"/>
  <c r="H42" i="4"/>
  <c r="B43" i="4"/>
  <c r="S43" i="4" s="1"/>
  <c r="E42" i="18" s="1"/>
  <c r="B45" i="4"/>
  <c r="B46" i="4"/>
  <c r="B47" i="4"/>
  <c r="B48" i="4"/>
  <c r="B49" i="4"/>
  <c r="S49" i="4" s="1"/>
  <c r="S53" i="4" s="1"/>
  <c r="E52" i="18" s="1"/>
  <c r="B50" i="4"/>
  <c r="B51" i="4"/>
  <c r="S51" i="4" s="1"/>
  <c r="E50" i="18" s="1"/>
  <c r="B52" i="4"/>
  <c r="E53" i="4"/>
  <c r="F53" i="4"/>
  <c r="F61" i="4"/>
  <c r="F95" i="4"/>
  <c r="F69" i="4"/>
  <c r="F103" i="4"/>
  <c r="G53" i="4"/>
  <c r="H53" i="4"/>
  <c r="B55" i="4"/>
  <c r="R55" i="4"/>
  <c r="B56" i="4"/>
  <c r="B57" i="4"/>
  <c r="B58" i="4"/>
  <c r="B59" i="4"/>
  <c r="B60" i="4"/>
  <c r="E61" i="4"/>
  <c r="G61" i="4"/>
  <c r="H61" i="4"/>
  <c r="B64" i="4"/>
  <c r="R64" i="4"/>
  <c r="B68" i="4"/>
  <c r="S68" i="4" s="1"/>
  <c r="S69" i="4" s="1"/>
  <c r="E68" i="18" s="1"/>
  <c r="R68" i="4"/>
  <c r="E69" i="4"/>
  <c r="G69" i="4"/>
  <c r="H69" i="4"/>
  <c r="B71" i="4"/>
  <c r="B72" i="4"/>
  <c r="B73" i="4"/>
  <c r="B74" i="4"/>
  <c r="B75" i="4"/>
  <c r="H76" i="4"/>
  <c r="B82" i="4"/>
  <c r="B83" i="4"/>
  <c r="S83" i="4" s="1"/>
  <c r="E82" i="18" s="1"/>
  <c r="B84" i="4"/>
  <c r="S84" i="4" s="1"/>
  <c r="E83" i="18" s="1"/>
  <c r="B85" i="4"/>
  <c r="S85" i="4" s="1"/>
  <c r="E84" i="18" s="1"/>
  <c r="B86" i="4"/>
  <c r="B87" i="4"/>
  <c r="B88" i="4"/>
  <c r="S88" i="4" s="1"/>
  <c r="E87" i="18" s="1"/>
  <c r="B89" i="4"/>
  <c r="B90" i="4"/>
  <c r="B91" i="4"/>
  <c r="S91" i="4" s="1"/>
  <c r="E90" i="18" s="1"/>
  <c r="B92" i="4"/>
  <c r="B93" i="4"/>
  <c r="S93" i="4" s="1"/>
  <c r="E92" i="18" s="1"/>
  <c r="B94" i="4"/>
  <c r="S94" i="4" s="1"/>
  <c r="E93" i="18" s="1"/>
  <c r="E95" i="4"/>
  <c r="G95" i="4"/>
  <c r="H95" i="4"/>
  <c r="B98" i="4"/>
  <c r="S98" i="4" s="1"/>
  <c r="E97" i="18" s="1"/>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BA706" i="3"/>
  <c r="BA707" i="3"/>
  <c r="BA708" i="3"/>
  <c r="BA709" i="3"/>
  <c r="BA710" i="3"/>
  <c r="BA711" i="3"/>
  <c r="BA712" i="3"/>
  <c r="BA713" i="3"/>
  <c r="M810" i="3"/>
  <c r="Q810" i="3"/>
  <c r="U810" i="3"/>
  <c r="Y810" i="3"/>
  <c r="AC810" i="3"/>
  <c r="AG810" i="3"/>
  <c r="Z879" i="3"/>
  <c r="B60" i="18"/>
  <c r="H41" i="18"/>
  <c r="N12" i="4"/>
  <c r="E25" i="18"/>
  <c r="T692" i="6"/>
  <c r="AF692" i="6" s="1"/>
  <c r="B26" i="4"/>
  <c r="B80" i="4"/>
  <c r="B95" i="4" l="1"/>
  <c r="G15" i="9"/>
  <c r="I15" i="9" s="1"/>
  <c r="E21" i="9"/>
  <c r="E34" i="9" s="1"/>
  <c r="S42" i="4"/>
  <c r="E41" i="18" s="1"/>
  <c r="E48" i="18"/>
  <c r="T20" i="26"/>
  <c r="T22" i="26" s="1"/>
  <c r="I15" i="10"/>
  <c r="I30" i="10" s="1"/>
  <c r="S95" i="4"/>
  <c r="E94" i="18" s="1"/>
  <c r="B52" i="18"/>
  <c r="I12" i="10"/>
  <c r="S103" i="4"/>
  <c r="E102" i="18" s="1"/>
  <c r="E67" i="18"/>
  <c r="I14" i="10"/>
  <c r="F12" i="10"/>
  <c r="Z784" i="3"/>
  <c r="S38" i="4"/>
  <c r="E37" i="18" s="1"/>
  <c r="Y20" i="26"/>
  <c r="Y22" i="26" s="1"/>
  <c r="Y20" i="27"/>
  <c r="Y22" i="27" s="1"/>
  <c r="T20" i="27"/>
  <c r="T22" i="27" s="1"/>
  <c r="G12" i="4"/>
  <c r="AI20" i="26"/>
  <c r="AI22" i="26" s="1"/>
  <c r="G98" i="25"/>
  <c r="AD20" i="26"/>
  <c r="AD22" i="26" s="1"/>
  <c r="AI20" i="27"/>
  <c r="AI22" i="27" s="1"/>
  <c r="U69" i="25"/>
  <c r="R80" i="4"/>
  <c r="AD20" i="27"/>
  <c r="AD22" i="27" s="1"/>
  <c r="P12" i="4"/>
  <c r="B43" i="15"/>
  <c r="C43" i="15"/>
  <c r="D43" i="15"/>
  <c r="B104" i="15"/>
  <c r="C104" i="15"/>
  <c r="D104" i="15"/>
  <c r="C39" i="15"/>
  <c r="D39" i="15"/>
  <c r="B39" i="15"/>
  <c r="F12" i="4"/>
  <c r="AC42" i="9"/>
  <c r="B96" i="15"/>
  <c r="C96" i="15"/>
  <c r="D96" i="15"/>
  <c r="C27" i="15"/>
  <c r="B27" i="15"/>
  <c r="D27" i="15"/>
  <c r="B81" i="15"/>
  <c r="D81" i="15"/>
  <c r="C81" i="15"/>
  <c r="B11" i="4"/>
  <c r="B102" i="18"/>
  <c r="B76" i="4"/>
  <c r="B77" i="15"/>
  <c r="C77" i="15"/>
  <c r="D77" i="15"/>
  <c r="B8" i="4"/>
  <c r="T62" i="4"/>
  <c r="T96" i="4" s="1"/>
  <c r="B68" i="18"/>
  <c r="B70" i="15"/>
  <c r="C70" i="15"/>
  <c r="D70" i="15"/>
  <c r="C62" i="15"/>
  <c r="D62" i="15"/>
  <c r="B62" i="15"/>
  <c r="B37" i="18"/>
  <c r="D54" i="15"/>
  <c r="B54" i="15"/>
  <c r="C54"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42" i="9"/>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9" i="9"/>
  <c r="I19" i="9" s="1"/>
  <c r="K19" i="9" s="1"/>
  <c r="M19" i="9" s="1"/>
  <c r="O19" i="9" s="1"/>
  <c r="Q19" i="9" s="1"/>
  <c r="S19" i="9" s="1"/>
  <c r="U19" i="9" s="1"/>
  <c r="W19" i="9" s="1"/>
  <c r="Y19" i="9" s="1"/>
  <c r="AA19" i="9" s="1"/>
  <c r="AC19" i="9" s="1"/>
  <c r="AE19" i="9" s="1"/>
  <c r="AG19" i="9" s="1"/>
  <c r="AD63" i="5"/>
  <c r="AD7" i="5"/>
  <c r="T7" i="5"/>
  <c r="M39" i="9"/>
  <c r="M42" i="9" s="1"/>
  <c r="Y7" i="5"/>
  <c r="Z787" i="3" l="1"/>
  <c r="E6" i="9" s="1"/>
  <c r="L922" i="3"/>
  <c r="L923" i="3" s="1"/>
  <c r="O612" i="6"/>
  <c r="AU578" i="6" s="1"/>
  <c r="S62" i="4"/>
  <c r="S96" i="4" s="1"/>
  <c r="E95" i="18" s="1"/>
  <c r="B12" i="4"/>
  <c r="E27" i="15"/>
  <c r="L921" i="3"/>
  <c r="L920" i="3"/>
  <c r="BI746" i="3"/>
  <c r="AM731" i="3" s="1"/>
  <c r="E39" i="15"/>
  <c r="E43" i="15"/>
  <c r="E54" i="15"/>
  <c r="E70" i="15"/>
  <c r="E77" i="15"/>
  <c r="G53" i="25"/>
  <c r="E81" i="15"/>
  <c r="E96" i="15"/>
  <c r="E104" i="15"/>
  <c r="E62"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5" i="9"/>
  <c r="Y612" i="6" l="1"/>
  <c r="CE532" i="6" s="1"/>
  <c r="CE533" i="6" s="1"/>
  <c r="E61" i="18"/>
  <c r="S104" i="4"/>
  <c r="E103" i="18"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BW530" i="6"/>
  <c r="BW533" i="6" s="1"/>
  <c r="BU534" i="6" s="1"/>
  <c r="BO574" i="6"/>
  <c r="BO579" i="6" s="1"/>
  <c r="O613" i="6"/>
  <c r="CC534" i="6"/>
  <c r="AY543" i="6"/>
  <c r="AU574" i="6"/>
  <c r="BE576" i="6"/>
  <c r="AP586" i="6" s="1"/>
  <c r="Z796" i="3"/>
  <c r="CQ629" i="3"/>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5" i="9"/>
  <c r="K21" i="9"/>
  <c r="K34" i="9" s="1"/>
  <c r="E7" i="9"/>
  <c r="G6" i="9"/>
  <c r="BE578" i="6" l="1"/>
  <c r="AP588" i="6" s="1"/>
  <c r="CH552" i="6"/>
  <c r="E11" i="9"/>
  <c r="E36" i="9" s="1"/>
  <c r="E48" i="9" s="1"/>
  <c r="S106" i="4"/>
  <c r="X1006" i="3" s="1"/>
  <c r="AJ955" i="3"/>
  <c r="AJ1002" i="3" s="1"/>
  <c r="T24" i="5" s="1"/>
  <c r="AJ986" i="3"/>
  <c r="E97" i="15"/>
  <c r="B104" i="4"/>
  <c r="AB46" i="27" s="1"/>
  <c r="AB48" i="27" s="1"/>
  <c r="AB53" i="27" s="1"/>
  <c r="AB54" i="27"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AS544" i="6"/>
  <c r="AX548" i="6"/>
  <c r="AF695" i="6"/>
  <c r="BP590" i="6"/>
  <c r="BN591" i="6" s="1"/>
  <c r="BH590" i="6"/>
  <c r="BF591" i="6" s="1"/>
  <c r="G5" i="9"/>
  <c r="I4" i="9"/>
  <c r="B1013" i="3"/>
  <c r="M8" i="9"/>
  <c r="K9" i="9"/>
  <c r="G7" i="9"/>
  <c r="I6" i="9"/>
  <c r="O15" i="9"/>
  <c r="M21" i="9"/>
  <c r="M34" i="9" s="1"/>
  <c r="E105" i="18" l="1"/>
  <c r="Y11" i="5" s="1"/>
  <c r="Y23" i="5" s="1"/>
  <c r="Y26" i="5" s="1"/>
  <c r="Y28" i="5" s="1"/>
  <c r="G11" i="9"/>
  <c r="G36" i="9" s="1"/>
  <c r="G48" i="9" s="1"/>
  <c r="X1007" i="3"/>
  <c r="D1008" i="3" s="1"/>
  <c r="AC447" i="3"/>
  <c r="AB46" i="5"/>
  <c r="AB48" i="5" s="1"/>
  <c r="AB46" i="26"/>
  <c r="AB48" i="26" s="1"/>
  <c r="AB53" i="26" s="1"/>
  <c r="AB54" i="26" s="1"/>
  <c r="J58" i="25"/>
  <c r="B76" i="25" s="1"/>
  <c r="O76" i="25" s="1"/>
  <c r="BU539" i="6"/>
  <c r="BY535" i="6"/>
  <c r="BY537" i="6"/>
  <c r="E105" i="15"/>
  <c r="BM549" i="6"/>
  <c r="BM552" i="6" s="1"/>
  <c r="CD577" i="6"/>
  <c r="CD579" i="6" s="1"/>
  <c r="BT579" i="6"/>
  <c r="BJ592" i="6"/>
  <c r="AV556" i="6" s="1"/>
  <c r="E44" i="9"/>
  <c r="E47" i="9" s="1"/>
  <c r="K4" i="9"/>
  <c r="I5" i="9"/>
  <c r="M9" i="9"/>
  <c r="O8" i="9"/>
  <c r="T24" i="27"/>
  <c r="T24" i="26"/>
  <c r="Q15" i="9"/>
  <c r="O21" i="9"/>
  <c r="O34" i="9" s="1"/>
  <c r="I7" i="9"/>
  <c r="K6" i="9"/>
  <c r="Y11" i="27" l="1"/>
  <c r="Y23" i="27" s="1"/>
  <c r="Y26" i="27" s="1"/>
  <c r="Y28" i="27" s="1"/>
  <c r="Y63" i="27" s="1"/>
  <c r="Y67" i="27" s="1"/>
  <c r="Y11" i="26"/>
  <c r="Y23" i="26" s="1"/>
  <c r="Y26" i="26" s="1"/>
  <c r="Y28" i="26" s="1"/>
  <c r="Y63" i="26" s="1"/>
  <c r="Y67" i="26" s="1"/>
  <c r="T11" i="27"/>
  <c r="T23" i="27" s="1"/>
  <c r="T26" i="27" s="1"/>
  <c r="T28" i="27" s="1"/>
  <c r="T11" i="26"/>
  <c r="T23" i="26" s="1"/>
  <c r="T26" i="26" s="1"/>
  <c r="T28" i="26" s="1"/>
  <c r="T11" i="5"/>
  <c r="T23" i="5" s="1"/>
  <c r="Q71" i="25" s="1"/>
  <c r="O75" i="25" s="1"/>
  <c r="I11" i="9"/>
  <c r="I36" i="9" s="1"/>
  <c r="I44" i="9" s="1"/>
  <c r="G71" i="25"/>
  <c r="G72" i="25" s="1"/>
  <c r="B75" i="25" s="1"/>
  <c r="BY539" i="6"/>
  <c r="CC536" i="6"/>
  <c r="CC539" i="6" s="1"/>
  <c r="E46" i="9"/>
  <c r="BQ550" i="6"/>
  <c r="BQ552" i="6" s="1"/>
  <c r="E59" i="9"/>
  <c r="E65" i="9" s="1"/>
  <c r="CI578" i="6"/>
  <c r="CI579" i="6" s="1"/>
  <c r="CN579" i="6" s="1"/>
  <c r="BD560" i="6" s="1"/>
  <c r="AT562" i="6" s="1"/>
  <c r="G44" i="9"/>
  <c r="G46" i="9" s="1"/>
  <c r="M4" i="9"/>
  <c r="K5" i="9"/>
  <c r="Q8" i="9"/>
  <c r="O9" i="9"/>
  <c r="M6" i="9"/>
  <c r="K7" i="9"/>
  <c r="S15" i="9"/>
  <c r="Q21" i="9"/>
  <c r="Q34" i="9" s="1"/>
  <c r="T29" i="26" l="1"/>
  <c r="Y38" i="27"/>
  <c r="Y40" i="27" s="1"/>
  <c r="Y41" i="27" s="1"/>
  <c r="AB55" i="27" s="1"/>
  <c r="AB56" i="27" s="1"/>
  <c r="AB58" i="27" s="1"/>
  <c r="AB75" i="27" s="1"/>
  <c r="AB76" i="27" s="1"/>
  <c r="AB77" i="27" s="1"/>
  <c r="AB79" i="27" s="1"/>
  <c r="J80" i="27" s="1"/>
  <c r="Y38" i="26"/>
  <c r="Y40" i="26" s="1"/>
  <c r="BE16" i="28"/>
  <c r="AD38" i="26"/>
  <c r="AD40" i="26" s="1"/>
  <c r="T29" i="27"/>
  <c r="AD38" i="27"/>
  <c r="AD40" i="27" s="1"/>
  <c r="K11" i="9"/>
  <c r="K36" i="9" s="1"/>
  <c r="K44" i="9" s="1"/>
  <c r="R75" i="25"/>
  <c r="T26" i="5"/>
  <c r="T28" i="5" s="1"/>
  <c r="Y63" i="5" s="1"/>
  <c r="Y67" i="5" s="1"/>
  <c r="AD38" i="5"/>
  <c r="AD40" i="5" s="1"/>
  <c r="CG539" i="6"/>
  <c r="E66" i="9"/>
  <c r="E69" i="9" s="1"/>
  <c r="E71" i="9" s="1"/>
  <c r="BU551" i="6"/>
  <c r="BU552" i="6" s="1"/>
  <c r="CC552" i="6" s="1"/>
  <c r="AW564" i="6"/>
  <c r="G59" i="9"/>
  <c r="G47" i="9"/>
  <c r="I48" i="9"/>
  <c r="M5" i="9"/>
  <c r="O4" i="9"/>
  <c r="Q9" i="9"/>
  <c r="S8" i="9"/>
  <c r="I59" i="9"/>
  <c r="I46" i="9"/>
  <c r="I47" i="9"/>
  <c r="U15" i="9"/>
  <c r="S21" i="9"/>
  <c r="S34" i="9" s="1"/>
  <c r="M7" i="9"/>
  <c r="O6" i="9"/>
  <c r="Y41" i="26" l="1"/>
  <c r="AB55" i="26" s="1"/>
  <c r="AB56" i="26" s="1"/>
  <c r="AB58" i="26" s="1"/>
  <c r="F59" i="26" s="1"/>
  <c r="M11" i="9"/>
  <c r="M36" i="9" s="1"/>
  <c r="M48" i="9" s="1"/>
  <c r="Y38" i="5"/>
  <c r="Y40" i="5" s="1"/>
  <c r="AR42" i="5" s="1"/>
  <c r="T29" i="5"/>
  <c r="F59" i="27"/>
  <c r="I68" i="9"/>
  <c r="I61" i="9"/>
  <c r="I65" i="9"/>
  <c r="I67" i="9"/>
  <c r="I66" i="9"/>
  <c r="K48" i="9"/>
  <c r="G68" i="9"/>
  <c r="G67" i="9"/>
  <c r="G66" i="9"/>
  <c r="G61" i="9"/>
  <c r="G65" i="9"/>
  <c r="Q4" i="9"/>
  <c r="O5" i="9"/>
  <c r="U8" i="9"/>
  <c r="S9" i="9"/>
  <c r="Q6" i="9"/>
  <c r="O7" i="9"/>
  <c r="U21" i="9"/>
  <c r="U34" i="9" s="1"/>
  <c r="W15" i="9"/>
  <c r="K59" i="9"/>
  <c r="K46" i="9"/>
  <c r="K47" i="9"/>
  <c r="AB75" i="26" l="1"/>
  <c r="AB76" i="26" s="1"/>
  <c r="AB77" i="26" s="1"/>
  <c r="AB79" i="26" s="1"/>
  <c r="J80" i="26" s="1"/>
  <c r="O11" i="9"/>
  <c r="O36" i="9" s="1"/>
  <c r="O44" i="9" s="1"/>
  <c r="AR43" i="5"/>
  <c r="Y41" i="5" s="1"/>
  <c r="M44" i="9"/>
  <c r="M59" i="9" s="1"/>
  <c r="K66" i="9"/>
  <c r="K65" i="9"/>
  <c r="K61" i="9"/>
  <c r="K68" i="9"/>
  <c r="K67" i="9"/>
  <c r="G69" i="9"/>
  <c r="G71" i="9" s="1"/>
  <c r="I69" i="9"/>
  <c r="I71" i="9" s="1"/>
  <c r="Q5" i="9"/>
  <c r="S4" i="9"/>
  <c r="W8" i="9"/>
  <c r="U9" i="9"/>
  <c r="S6" i="9"/>
  <c r="Q7" i="9"/>
  <c r="W21" i="9"/>
  <c r="W34" i="9" s="1"/>
  <c r="Y15" i="9"/>
  <c r="Q11" i="9" l="1"/>
  <c r="Q36" i="9" s="1"/>
  <c r="Q48" i="9" s="1"/>
  <c r="AB49" i="5"/>
  <c r="AB53" i="5" s="1"/>
  <c r="AB54" i="5" s="1"/>
  <c r="AB55" i="5" s="1"/>
  <c r="M47" i="9"/>
  <c r="M46" i="9"/>
  <c r="O48" i="9"/>
  <c r="M61" i="9"/>
  <c r="M65" i="9"/>
  <c r="M68" i="9"/>
  <c r="M67" i="9"/>
  <c r="M66" i="9"/>
  <c r="K69" i="9"/>
  <c r="K71" i="9" s="1"/>
  <c r="S5" i="9"/>
  <c r="U4" i="9"/>
  <c r="Y8" i="9"/>
  <c r="W9" i="9"/>
  <c r="U6" i="9"/>
  <c r="S7" i="9"/>
  <c r="AA15" i="9"/>
  <c r="Y21" i="9"/>
  <c r="Y34" i="9" s="1"/>
  <c r="O47" i="9"/>
  <c r="O46" i="9"/>
  <c r="O59" i="9"/>
  <c r="S11" i="9" l="1"/>
  <c r="S36" i="9" s="1"/>
  <c r="S48" i="9" s="1"/>
  <c r="M25" i="3"/>
  <c r="P203" i="3" s="1"/>
  <c r="Q22" i="28"/>
  <c r="V33" i="28" s="1"/>
  <c r="V35" i="28" s="1"/>
  <c r="AB56" i="5"/>
  <c r="AB58" i="5" s="1"/>
  <c r="AB75" i="5" s="1"/>
  <c r="AB76" i="5" s="1"/>
  <c r="AB77" i="5" s="1"/>
  <c r="AB79" i="5" s="1"/>
  <c r="J80" i="5" s="1"/>
  <c r="BE15" i="28"/>
  <c r="U17" i="28" s="1"/>
  <c r="Q44" i="9"/>
  <c r="Q47" i="9" s="1"/>
  <c r="M69" i="9"/>
  <c r="M71" i="9" s="1"/>
  <c r="O65" i="9"/>
  <c r="O68" i="9"/>
  <c r="O66" i="9"/>
  <c r="O67" i="9"/>
  <c r="O61" i="9"/>
  <c r="U5" i="9"/>
  <c r="W4" i="9"/>
  <c r="AA8" i="9"/>
  <c r="Y9" i="9"/>
  <c r="W6" i="9"/>
  <c r="U7" i="9"/>
  <c r="AC15" i="9"/>
  <c r="AA21" i="9"/>
  <c r="AA34" i="9" s="1"/>
  <c r="U11" i="9" l="1"/>
  <c r="U36" i="9" s="1"/>
  <c r="U44" i="9" s="1"/>
  <c r="F59" i="5"/>
  <c r="M27" i="3"/>
  <c r="D203" i="3" s="1"/>
  <c r="Q46" i="9"/>
  <c r="Q59" i="9"/>
  <c r="Q68" i="9" s="1"/>
  <c r="S44" i="9"/>
  <c r="S47" i="9" s="1"/>
  <c r="O69" i="9"/>
  <c r="O71" i="9" s="1"/>
  <c r="Y4" i="9"/>
  <c r="W5" i="9"/>
  <c r="AA9" i="9"/>
  <c r="AC8" i="9"/>
  <c r="Y6" i="9"/>
  <c r="W7" i="9"/>
  <c r="AC21" i="9"/>
  <c r="AC34" i="9" s="1"/>
  <c r="AE15" i="9"/>
  <c r="W11" i="9" l="1"/>
  <c r="W36" i="9" s="1"/>
  <c r="W44" i="9" s="1"/>
  <c r="W203" i="3"/>
  <c r="Q61" i="9"/>
  <c r="S59" i="9"/>
  <c r="S68" i="9" s="1"/>
  <c r="S46" i="9"/>
  <c r="Q65" i="9"/>
  <c r="Q66" i="9"/>
  <c r="Q67" i="9"/>
  <c r="U48" i="9"/>
  <c r="AA4" i="9"/>
  <c r="Y5" i="9"/>
  <c r="AE8" i="9"/>
  <c r="AC9" i="9"/>
  <c r="AE21" i="9"/>
  <c r="AE34" i="9" s="1"/>
  <c r="AG15" i="9"/>
  <c r="AG21" i="9" s="1"/>
  <c r="AG34" i="9" s="1"/>
  <c r="U59" i="9"/>
  <c r="U47" i="9"/>
  <c r="U46" i="9"/>
  <c r="Y7" i="9"/>
  <c r="AA6" i="9"/>
  <c r="Y11" i="9" l="1"/>
  <c r="Y36" i="9" s="1"/>
  <c r="Y48" i="9" s="1"/>
  <c r="S66" i="9"/>
  <c r="S67" i="9"/>
  <c r="Q69" i="9"/>
  <c r="Q71" i="9" s="1"/>
  <c r="S65" i="9"/>
  <c r="S61" i="9"/>
  <c r="W48" i="9"/>
  <c r="U68" i="9"/>
  <c r="U67" i="9"/>
  <c r="U66" i="9"/>
  <c r="U65" i="9"/>
  <c r="U61" i="9"/>
  <c r="AA5" i="9"/>
  <c r="AC4" i="9"/>
  <c r="AE9" i="9"/>
  <c r="AG8" i="9"/>
  <c r="AG9" i="9" s="1"/>
  <c r="AC6" i="9"/>
  <c r="AA7" i="9"/>
  <c r="W46" i="9"/>
  <c r="W47" i="9"/>
  <c r="W59" i="9"/>
  <c r="AA11" i="9" l="1"/>
  <c r="AA36" i="9" s="1"/>
  <c r="AA48" i="9" s="1"/>
  <c r="S69" i="9"/>
  <c r="S71" i="9" s="1"/>
  <c r="Y44" i="9"/>
  <c r="Y47" i="9" s="1"/>
  <c r="U69" i="9"/>
  <c r="U71" i="9" s="1"/>
  <c r="W65" i="9"/>
  <c r="W68" i="9"/>
  <c r="W66" i="9"/>
  <c r="W61" i="9"/>
  <c r="W67" i="9"/>
  <c r="AC5" i="9"/>
  <c r="AE4" i="9"/>
  <c r="AE6" i="9"/>
  <c r="AC7" i="9"/>
  <c r="AC11" i="9" l="1"/>
  <c r="AC36" i="9" s="1"/>
  <c r="AC44" i="9" s="1"/>
  <c r="Y46" i="9"/>
  <c r="Y59" i="9"/>
  <c r="Y68" i="9" s="1"/>
  <c r="AA44" i="9"/>
  <c r="AA47" i="9" s="1"/>
  <c r="W69" i="9"/>
  <c r="W71" i="9" s="1"/>
  <c r="AE5" i="9"/>
  <c r="AG4" i="9"/>
  <c r="AE7" i="9"/>
  <c r="AG6" i="9"/>
  <c r="AE11" i="9" l="1"/>
  <c r="AE36" i="9" s="1"/>
  <c r="AE44" i="9" s="1"/>
  <c r="AG5" i="9"/>
  <c r="AC48" i="9"/>
  <c r="AA46" i="9"/>
  <c r="AA59" i="9"/>
  <c r="AA68" i="9" s="1"/>
  <c r="Y66" i="9"/>
  <c r="Y65" i="9"/>
  <c r="Y61" i="9"/>
  <c r="Y67" i="9"/>
  <c r="AG7" i="9"/>
  <c r="AC46" i="9"/>
  <c r="AC59" i="9"/>
  <c r="AC47" i="9"/>
  <c r="AG11" i="9" l="1"/>
  <c r="AG36" i="9" s="1"/>
  <c r="AG44" i="9" s="1"/>
  <c r="AA61" i="9"/>
  <c r="AA65" i="9"/>
  <c r="AA67" i="9"/>
  <c r="AA66" i="9"/>
  <c r="Y69" i="9"/>
  <c r="Y71" i="9" s="1"/>
  <c r="AC61" i="9"/>
  <c r="AC68" i="9"/>
  <c r="AC67" i="9"/>
  <c r="AC66" i="9"/>
  <c r="AC65" i="9"/>
  <c r="AE48" i="9"/>
  <c r="AE46" i="9"/>
  <c r="AE59" i="9"/>
  <c r="AE47" i="9"/>
  <c r="AG48" i="9" l="1"/>
  <c r="AA69" i="9"/>
  <c r="AA71" i="9" s="1"/>
  <c r="AC69" i="9"/>
  <c r="AC71" i="9" s="1"/>
  <c r="AE65" i="9"/>
  <c r="AE68" i="9"/>
  <c r="AE61" i="9"/>
  <c r="AE67" i="9"/>
  <c r="AE66" i="9"/>
  <c r="AG59" i="9"/>
  <c r="AG46" i="9"/>
  <c r="AG47" i="9"/>
  <c r="AE69" i="9" l="1"/>
  <c r="AE71" i="9" s="1"/>
  <c r="AG68" i="9"/>
  <c r="AG67" i="9"/>
  <c r="AG66" i="9"/>
  <c r="AG65" i="9"/>
  <c r="AG61" i="9"/>
  <c r="AG69" i="9" l="1"/>
  <c r="AG71" i="9" s="1"/>
  <c r="G574" i="3" l="1"/>
  <c r="Z574" i="3"/>
  <c r="F2" i="4"/>
  <c r="G64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tc={4F9D0380-8889-5746-9628-00A2E3F6B0D7}</author>
    <author>tc={AD2926F8-A45E-4C43-88F5-72532343A580}</author>
    <author>tc={8438DEF8-98EE-4C4E-93D3-4509D4EB8947}</author>
  </authors>
  <commentList>
    <comment ref="C5" authorId="0" shapeId="0" xr:uid="{4F9D0380-8889-5746-9628-00A2E3F6B0D7}">
      <text>
        <r>
          <rPr>
            <sz val="10"/>
            <rFont val="Arial"/>
          </rPr>
          <t>[Threaded comment]
Your version of Excel allows you to read this threaded comment; however, any edits to it will get removed if the file is opened in a newer version of Excel. Learn more: https://go.microsoft.com/fwlink/?linkid=870924
Comment:
    Blended vacancy rate, please see “Applicant Notes”</t>
        </r>
      </text>
    </comment>
    <comment ref="C7" authorId="1" shapeId="0" xr:uid="{AD2926F8-A45E-4C43-88F5-72532343A580}">
      <text>
        <r>
          <rPr>
            <sz val="10"/>
            <rFont val="Arial"/>
          </rPr>
          <t>[Threaded comment]
Your version of Excel allows you to read this threaded comment; however, any edits to it will get removed if the file is opened in a newer version of Excel. Learn more: https://go.microsoft.com/fwlink/?linkid=870924
Comment:
    Blended vacancy rate, please see “Applicant Notes”</t>
        </r>
      </text>
    </comment>
    <comment ref="C9" authorId="2" shapeId="0" xr:uid="{8438DEF8-98EE-4C4E-93D3-4509D4EB8947}">
      <text>
        <r>
          <rPr>
            <sz val="10"/>
            <rFont val="Arial"/>
          </rPr>
          <t>[Threaded comment]
Your version of Excel allows you to read this threaded comment; however, any edits to it will get removed if the file is opened in a newer version of Excel. Learn more: https://go.microsoft.com/fwlink/?linkid=870924
Comment:
    Blended vacancy rate, please see “Applicant Notes”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<sst xmlns="http://schemas.openxmlformats.org/spreadsheetml/2006/main" count="4834" uniqueCount="2578">
  <si>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</si>
  <si>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</si>
  <si>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</si>
  <si>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</si>
  <si>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</si>
  <si>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</si>
  <si>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</si>
  <si>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</si>
  <si>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</si>
  <si>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</si>
  <si>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</si>
  <si>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</si>
  <si>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</si>
  <si>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</si>
  <si>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</si>
  <si>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</si>
  <si>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</si>
  <si>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</si>
  <si>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</si>
  <si>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</si>
  <si>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</si>
  <si>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</si>
  <si>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</si>
  <si>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</si>
  <si>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</si>
  <si>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</si>
  <si>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</si>
  <si>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</si>
  <si>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</si>
  <si>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</si>
  <si>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</si>
  <si>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</si>
  <si>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</si>
  <si>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</si>
  <si>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</si>
  <si>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</si>
  <si>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</si>
  <si>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</si>
  <si>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</si>
  <si>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</si>
  <si>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</si>
  <si>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</si>
  <si>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</si>
  <si>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</si>
  <si>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</si>
  <si>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</si>
  <si>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</si>
  <si>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</si>
  <si>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</si>
  <si>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</si>
  <si>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</si>
  <si>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</si>
  <si>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</si>
  <si>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</si>
  <si>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</si>
  <si>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</si>
  <si>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</si>
  <si>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</si>
  <si>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</si>
  <si>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</si>
  <si>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</si>
  <si>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</si>
  <si>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</si>
  <si>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</si>
  <si>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</si>
  <si>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</si>
  <si>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</si>
  <si>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</si>
  <si>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</si>
  <si>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</si>
  <si>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</si>
  <si>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</si>
  <si>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</si>
  <si>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</si>
  <si>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</si>
  <si>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</si>
  <si>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</si>
  <si>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</si>
  <si>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</si>
  <si>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</si>
  <si>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</si>
  <si>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</si>
  <si>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</si>
  <si>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</si>
  <si>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</si>
  <si>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</si>
  <si>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</si>
  <si>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</si>
  <si>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</si>
  <si>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</si>
  <si>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</si>
  <si>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</si>
  <si>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</si>
  <si>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</si>
  <si>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</si>
  <si>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</si>
  <si>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</si>
  <si>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</si>
  <si>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</si>
  <si>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</si>
  <si>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</si>
  <si>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</si>
  <si>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</si>
  <si>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</si>
  <si>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</si>
  <si>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</si>
  <si>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</si>
  <si>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</si>
  <si>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</si>
  <si>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</si>
  <si>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</si>
  <si>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</si>
  <si>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</si>
  <si>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</si>
  <si>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</si>
  <si>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</si>
  <si>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</si>
  <si>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</si>
  <si>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</si>
  <si>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</si>
  <si>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</si>
  <si>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</si>
  <si>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</si>
  <si>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</si>
  <si>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</si>
  <si>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</si>
  <si>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</si>
  <si>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</si>
  <si>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</si>
  <si>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</si>
  <si>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</si>
  <si>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</si>
  <si>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</si>
  <si>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</si>
  <si>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</si>
  <si>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</si>
  <si>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</si>
  <si>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</si>
  <si>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</si>
  <si>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</si>
  <si>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</si>
  <si>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</si>
  <si>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</si>
  <si>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</si>
  <si>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</si>
  <si>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</si>
  <si>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</si>
  <si>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</si>
  <si>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</si>
  <si>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</si>
  <si>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</si>
  <si>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</si>
  <si>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</si>
  <si>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</si>
  <si>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</si>
  <si>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</si>
  <si>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</si>
  <si>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</si>
  <si>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</si>
  <si>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</si>
  <si>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</si>
  <si>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</si>
  <si>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</si>
  <si>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</si>
  <si>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</si>
  <si>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</si>
  <si>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</si>
  <si>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</si>
  <si>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</si>
  <si>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</si>
  <si>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</si>
  <si>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</si>
  <si>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</si>
  <si>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</si>
  <si>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</si>
  <si>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</si>
  <si>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</si>
  <si>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</si>
  <si>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</si>
  <si>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</si>
  <si>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</si>
  <si>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</si>
  <si>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</si>
  <si>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</si>
  <si>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</si>
  <si>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</si>
  <si>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</si>
  <si>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</si>
  <si>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</si>
  <si>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</si>
  <si>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</si>
  <si>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</si>
  <si>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</si>
  <si>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</si>
  <si>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</si>
  <si>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</si>
  <si>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</si>
  <si>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</si>
  <si>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</si>
  <si>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</si>
  <si>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</si>
  <si>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</si>
  <si>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</si>
  <si>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</si>
  <si>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</si>
  <si>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</si>
  <si>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</si>
  <si>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</si>
  <si>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</si>
  <si>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</si>
  <si>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</si>
  <si>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</si>
  <si>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</si>
  <si>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</si>
  <si>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</si>
  <si>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</si>
  <si>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</si>
  <si>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</si>
  <si>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</si>
  <si>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</si>
  <si>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</si>
  <si>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</si>
  <si>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</si>
  <si>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</si>
  <si>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</si>
  <si>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</si>
  <si>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</si>
  <si>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</si>
  <si>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</si>
  <si>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</si>
  <si>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</si>
  <si>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</si>
  <si>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</si>
  <si>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</si>
  <si>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</si>
  <si>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</si>
  <si>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</si>
  <si>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</si>
  <si>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</si>
  <si>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</si>
  <si>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</si>
  <si>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</si>
  <si>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</si>
  <si>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</si>
  <si>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</si>
  <si>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</si>
  <si>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</si>
  <si>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</si>
  <si>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</si>
  <si>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</si>
  <si>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</si>
  <si>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</si>
  <si>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</si>
  <si>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</si>
  <si>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</si>
  <si>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</si>
  <si>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</si>
  <si>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</si>
  <si>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</si>
  <si>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</si>
  <si>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</si>
  <si>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</si>
  <si>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</si>
  <si>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</si>
  <si>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</si>
  <si>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</si>
  <si>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</si>
  <si>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</si>
  <si>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</si>
  <si>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</si>
  <si>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</si>
  <si>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</si>
  <si>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</si>
  <si>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</si>
  <si>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</si>
  <si>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</si>
  <si>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</si>
  <si>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</si>
  <si>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</si>
  <si>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</si>
  <si>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</si>
  <si>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</si>
  <si>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</si>
  <si>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</si>
  <si>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</si>
  <si>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</si>
  <si>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</si>
  <si>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</si>
  <si>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</si>
  <si>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</si>
  <si>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</si>
  <si>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</si>
  <si>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</si>
  <si>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</si>
  <si>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</si>
  <si>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</si>
  <si>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</si>
  <si>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</si>
  <si>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</si>
  <si>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</si>
  <si>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</si>
  <si>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</si>
  <si>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</si>
  <si>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</si>
  <si>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</si>
  <si>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</si>
  <si>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</si>
  <si>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</si>
  <si>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</si>
  <si>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</si>
  <si>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</si>
  <si>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</si>
  <si>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</si>
  <si>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</si>
  <si>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</si>
  <si>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</si>
  <si>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</si>
  <si>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</si>
  <si>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</si>
  <si>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</si>
  <si>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</si>
  <si>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</si>
  <si>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</si>
  <si>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</si>
  <si>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</si>
  <si>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</si>
  <si>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</si>
  <si>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</si>
  <si>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</si>
  <si>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</si>
  <si>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</si>
  <si>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</si>
  <si>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</si>
  <si>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</si>
  <si>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</si>
  <si>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</si>
  <si>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</si>
  <si>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</si>
  <si>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</si>
  <si>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</si>
  <si>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</si>
  <si>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</si>
  <si>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</si>
  <si>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</si>
  <si>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</si>
  <si>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</si>
  <si>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</si>
  <si>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</si>
  <si>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</si>
  <si>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</si>
  <si>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</si>
  <si>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</si>
  <si>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</si>
  <si>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</si>
  <si>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</si>
  <si>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</si>
  <si>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</si>
  <si>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</si>
  <si>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</si>
  <si>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</si>
  <si>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</si>
  <si>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</si>
  <si>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</si>
  <si>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</si>
  <si>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</si>
  <si>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</si>
  <si>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</si>
  <si>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</si>
  <si>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</si>
  <si>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</si>
  <si>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</si>
  <si>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</si>
  <si>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</si>
  <si>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</si>
  <si>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</si>
  <si>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</si>
  <si>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</si>
  <si>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</si>
  <si>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</si>
  <si>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</si>
  <si>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</si>
  <si>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</si>
  <si>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</si>
  <si>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</si>
  <si>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</si>
  <si>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</si>
  <si>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</si>
  <si>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</si>
  <si>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</si>
  <si>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</si>
  <si>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</si>
  <si>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</si>
  <si>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</si>
  <si>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</si>
  <si>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</si>
  <si>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</si>
  <si>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</si>
  <si>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</si>
  <si>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</si>
  <si>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</si>
  <si>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</si>
  <si>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</si>
  <si>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</si>
  <si>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</si>
  <si>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</si>
  <si>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</si>
  <si>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</si>
  <si>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</si>
  <si>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</si>
  <si>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</si>
  <si>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</si>
  <si>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</si>
  <si>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</si>
  <si>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</si>
  <si>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</si>
  <si>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</si>
  <si>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</si>
  <si>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</si>
  <si>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</si>
  <si>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</si>
  <si>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</si>
  <si>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</si>
  <si>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</si>
  <si>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</si>
  <si>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</si>
  <si>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</si>
  <si>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</si>
  <si>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</si>
  <si>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</si>
  <si>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</si>
  <si>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</si>
  <si>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</si>
  <si>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</si>
  <si>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</si>
  <si>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</si>
  <si>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</si>
  <si>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</si>
  <si>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</si>
  <si>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</si>
  <si>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</si>
  <si>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</si>
  <si>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</si>
  <si>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</si>
  <si>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</si>
  <si>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</si>
  <si>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</si>
  <si>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</si>
  <si>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</si>
  <si>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</si>
  <si>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</si>
  <si>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</si>
  <si>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</si>
  <si>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</si>
  <si>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</si>
  <si>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</si>
  <si>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</si>
  <si>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</si>
  <si>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</si>
  <si>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</si>
  <si>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</si>
  <si>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</si>
  <si>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</si>
  <si>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</si>
  <si>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</si>
  <si>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</si>
  <si>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</si>
  <si>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</si>
  <si>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</si>
  <si>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</si>
  <si>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</si>
  <si>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</si>
  <si>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</si>
  <si>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</si>
  <si>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</si>
  <si>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</si>
  <si>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</si>
  <si>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</si>
  <si>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</si>
  <si>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</si>
  <si>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</si>
  <si>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</si>
  <si>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</si>
  <si>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</si>
  <si>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</si>
  <si>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</si>
  <si>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</si>
  <si>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</si>
  <si>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</si>
  <si>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</si>
  <si>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</si>
  <si>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</si>
  <si>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</si>
  <si>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</si>
  <si>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</si>
  <si>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</si>
  <si>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</si>
  <si>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</si>
  <si>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</si>
  <si>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</si>
  <si>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</si>
  <si>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</si>
  <si>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</si>
  <si>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</si>
  <si>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</si>
  <si>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</si>
  <si>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</si>
  <si>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</si>
  <si>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</si>
  <si>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</si>
  <si>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</si>
  <si>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</si>
  <si>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</si>
  <si>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</si>
  <si>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</si>
  <si>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</si>
  <si>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</si>
  <si>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</si>
  <si>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</si>
  <si>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</si>
  <si>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</si>
  <si>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</si>
  <si>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</si>
  <si>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</si>
  <si>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</si>
  <si>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</si>
  <si>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</si>
  <si>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</si>
  <si>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</si>
  <si>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</si>
  <si>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</si>
  <si>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</si>
  <si>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</si>
  <si>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</si>
  <si>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</si>
  <si>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</si>
  <si>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</si>
  <si>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</si>
  <si>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</si>
  <si>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</si>
  <si>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</si>
  <si>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</si>
  <si>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</si>
  <si>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</si>
  <si>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</si>
  <si>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</si>
  <si>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</si>
  <si>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</si>
  <si>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</si>
  <si>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</si>
  <si>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</si>
  <si>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</si>
  <si>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</si>
  <si>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</si>
  <si>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</si>
  <si>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</si>
  <si>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</si>
  <si>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</si>
  <si>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</si>
  <si>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</si>
  <si>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</si>
  <si>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</si>
  <si>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</si>
  <si>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</si>
  <si>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</si>
  <si>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</si>
  <si>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</si>
  <si>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</si>
  <si>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</si>
  <si>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</si>
  <si>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</si>
  <si>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</si>
  <si>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</si>
  <si>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</si>
  <si>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</si>
  <si>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</si>
  <si>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</si>
  <si>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</si>
  <si>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</si>
  <si>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</si>
  <si>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</si>
  <si>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</si>
  <si>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</si>
  <si>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</si>
  <si>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</si>
  <si>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</si>
  <si>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</si>
  <si>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</si>
  <si>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</si>
  <si>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</si>
  <si>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</si>
  <si>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</si>
  <si>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</si>
  <si>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</si>
  <si>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</si>
  <si>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</si>
  <si>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</si>
  <si>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</si>
  <si>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</si>
  <si>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</si>
  <si>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</si>
  <si>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</si>
  <si>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</si>
  <si>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</si>
  <si>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</si>
  <si>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</si>
  <si>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</si>
  <si>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</si>
  <si>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</si>
  <si>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</si>
  <si>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</si>
  <si>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</si>
  <si>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</si>
  <si>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</si>
  <si>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</si>
  <si>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</si>
  <si>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</si>
  <si>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</si>
  <si>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</si>
  <si>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</si>
  <si>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</si>
  <si>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</si>
  <si>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</si>
  <si>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</si>
  <si>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</si>
  <si>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</si>
  <si>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</si>
  <si>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</si>
  <si>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</si>
  <si>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</si>
  <si>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</si>
  <si>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</si>
  <si>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</si>
  <si>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</si>
  <si>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</si>
  <si>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</si>
  <si>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</si>
  <si>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</si>
  <si>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</si>
  <si>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</si>
  <si>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</si>
  <si>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</si>
  <si>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</si>
  <si>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</si>
  <si>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</si>
  <si>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</si>
  <si>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</si>
  <si>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</si>
  <si>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</si>
  <si>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</si>
  <si>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</si>
  <si>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</si>
  <si>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</si>
  <si>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</si>
  <si>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</si>
  <si>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</si>
  <si>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</si>
  <si>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</si>
  <si>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</si>
  <si>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</si>
  <si>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</si>
  <si>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</si>
  <si>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</si>
  <si>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</si>
  <si>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</si>
  <si>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</si>
  <si>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</si>
  <si>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</si>
  <si>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</si>
  <si>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</si>
  <si>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</si>
  <si>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</si>
  <si>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</si>
  <si>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</si>
  <si>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</si>
  <si>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</si>
  <si>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</si>
  <si>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</si>
  <si>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</si>
  <si>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</si>
  <si>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</si>
  <si>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</si>
  <si>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</si>
  <si>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</si>
  <si>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</si>
  <si>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</si>
  <si>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</si>
  <si>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</si>
  <si>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</si>
  <si>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</si>
  <si>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</si>
  <si>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</si>
  <si>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</si>
  <si>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</si>
  <si>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</si>
  <si>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</si>
  <si>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</si>
  <si>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</si>
  <si>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</si>
  <si>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</si>
  <si>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</si>
  <si>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</si>
  <si>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</si>
  <si>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</si>
  <si>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</si>
  <si>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</si>
  <si>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</si>
  <si>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</si>
  <si>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</si>
  <si>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</si>
  <si>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</si>
  <si>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</si>
  <si>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</si>
  <si>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</si>
  <si>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</si>
  <si>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</si>
  <si>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</si>
  <si>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</si>
  <si>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</si>
  <si>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</si>
  <si>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</si>
  <si>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</si>
  <si>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</si>
  <si>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</si>
  <si>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</si>
  <si>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</si>
  <si>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</si>
  <si>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</si>
  <si>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</si>
  <si>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</si>
  <si>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</si>
  <si>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</si>
  <si>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</si>
  <si>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</si>
  <si>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</si>
  <si>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</si>
  <si>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</si>
  <si>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</si>
  <si>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</si>
  <si>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</si>
  <si>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</si>
  <si>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</si>
  <si>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</si>
  <si>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</si>
  <si>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</si>
  <si>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</si>
  <si>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</si>
  <si>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</si>
  <si>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</si>
  <si>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</si>
  <si>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</si>
  <si>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</si>
  <si>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</si>
  <si>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</si>
  <si>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</si>
  <si>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</si>
  <si>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</si>
  <si>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</si>
  <si>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</si>
  <si>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</si>
  <si>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</si>
  <si>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</si>
  <si>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</si>
  <si>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</si>
  <si>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</si>
  <si>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</si>
  <si>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</si>
  <si>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</si>
  <si>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</si>
  <si>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</si>
  <si>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</si>
  <si>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</si>
  <si>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</si>
  <si>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</si>
  <si>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</si>
  <si>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</si>
  <si>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</si>
  <si>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</si>
  <si>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</si>
  <si>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</si>
  <si>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</si>
  <si>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</si>
  <si>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</si>
  <si>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</si>
  <si>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</si>
  <si>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</si>
  <si>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</si>
  <si>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</si>
  <si>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</si>
  <si>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</si>
  <si>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</si>
  <si>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</si>
  <si>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</si>
  <si>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</si>
  <si>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</si>
  <si>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</si>
  <si>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</si>
  <si>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</si>
  <si>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</si>
  <si>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</si>
  <si>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</si>
  <si>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</si>
  <si>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</si>
  <si>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</si>
  <si>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</si>
  <si>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</si>
  <si>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</si>
  <si>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</si>
  <si>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</si>
  <si>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</si>
  <si>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</si>
  <si>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</si>
  <si>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</si>
  <si>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</si>
  <si>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</si>
  <si>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</si>
  <si>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</si>
  <si>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</si>
  <si>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</si>
  <si>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</si>
  <si>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</si>
  <si>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</si>
  <si>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</si>
  <si>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</si>
  <si>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</si>
  <si>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</si>
  <si>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</si>
  <si>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</si>
  <si>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</si>
  <si>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</si>
  <si>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</si>
  <si>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</si>
  <si>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</si>
  <si>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</si>
  <si>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</si>
  <si>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</si>
  <si>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</si>
  <si>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</si>
  <si>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</si>
  <si>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</si>
  <si>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</si>
  <si>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</si>
  <si>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</si>
  <si>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</si>
  <si>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</si>
  <si>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</si>
  <si>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</si>
  <si>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</si>
  <si>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</si>
  <si>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</si>
  <si>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</si>
  <si>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</si>
  <si>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</si>
  <si>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</si>
  <si>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</si>
  <si>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</si>
  <si>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</si>
  <si>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</si>
  <si>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</si>
  <si>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</si>
  <si>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</si>
  <si>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</si>
  <si>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</si>
  <si>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</si>
  <si>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</si>
  <si>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</si>
  <si>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</si>
  <si>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</si>
  <si>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</si>
  <si>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</si>
  <si>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</si>
  <si>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</si>
  <si>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</si>
  <si>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</si>
  <si>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</si>
  <si>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</si>
  <si>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</si>
  <si>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</si>
  <si>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</si>
  <si>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</si>
  <si>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</si>
  <si>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</si>
  <si>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</si>
  <si>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</si>
  <si>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</si>
  <si>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</si>
  <si>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</si>
  <si>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</si>
  <si>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</si>
  <si>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</si>
  <si>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</si>
  <si>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</si>
  <si>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</si>
  <si>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</si>
  <si>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</si>
  <si>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</si>
  <si>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</si>
  <si>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</si>
  <si>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</si>
  <si>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</si>
  <si>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</si>
  <si>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</si>
  <si>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</si>
  <si>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</si>
  <si>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</si>
  <si>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</si>
  <si>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</si>
  <si>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</si>
  <si>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</si>
  <si>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</si>
  <si>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</si>
  <si>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</si>
  <si>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</si>
  <si>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</si>
  <si>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</si>
  <si>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</si>
  <si>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</si>
  <si>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</si>
  <si>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</si>
  <si>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</si>
  <si>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</si>
  <si>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</si>
  <si>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</si>
  <si>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</si>
  <si>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</si>
  <si>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</si>
  <si>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</si>
  <si>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</si>
  <si>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</si>
  <si>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</si>
  <si>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</si>
  <si>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</si>
  <si>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</si>
  <si>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</si>
  <si>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</si>
  <si>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</si>
  <si>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</si>
  <si>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</si>
  <si>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</si>
  <si>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</si>
  <si>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</si>
  <si>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</si>
  <si>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</si>
  <si>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</si>
  <si>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</si>
  <si>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</si>
  <si>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</si>
  <si>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</si>
  <si>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</si>
  <si>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</si>
  <si>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</si>
  <si>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</si>
  <si>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</si>
  <si>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</si>
  <si>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</si>
  <si>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</si>
  <si>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</si>
  <si>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</si>
  <si>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</si>
  <si>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</si>
  <si>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</si>
  <si>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</si>
  <si>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</si>
  <si>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</si>
  <si>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</si>
  <si>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</si>
  <si>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</si>
  <si>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</si>
  <si>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</si>
  <si>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</si>
  <si>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</si>
  <si>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</si>
  <si>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</si>
  <si>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</si>
  <si>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</si>
  <si>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</si>
  <si>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</si>
  <si>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</si>
  <si>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</si>
  <si>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</si>
  <si>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</si>
  <si>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</si>
  <si>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</si>
  <si>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</si>
  <si>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</si>
  <si>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</si>
  <si>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</si>
  <si>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</si>
  <si>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</si>
  <si>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</si>
  <si>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</si>
  <si>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</si>
  <si>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</si>
  <si>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</si>
  <si>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</si>
  <si>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</si>
  <si>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</si>
  <si>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</si>
  <si>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</si>
  <si>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</si>
  <si>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</si>
  <si>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</si>
  <si>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</si>
  <si>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</si>
  <si>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</si>
  <si>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</si>
  <si>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</si>
  <si>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</si>
  <si>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</si>
  <si>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</si>
  <si>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</si>
  <si>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</si>
  <si>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</si>
  <si>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</si>
  <si>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</si>
  <si>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</si>
  <si>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</si>
  <si>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</si>
  <si>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</si>
  <si>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</si>
  <si>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</si>
  <si>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</si>
  <si>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</si>
  <si>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</si>
  <si>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</si>
  <si>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</si>
  <si>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</si>
  <si>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</si>
  <si>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</si>
  <si>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</si>
  <si>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</si>
  <si>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</si>
  <si>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</si>
  <si>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</si>
  <si>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</si>
  <si>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</si>
  <si>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</si>
  <si>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</si>
  <si>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</si>
  <si>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</si>
  <si>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</si>
  <si>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</si>
  <si>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</si>
  <si>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</si>
  <si>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</si>
  <si>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</si>
  <si>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</si>
  <si>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</si>
  <si>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</si>
  <si>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</si>
  <si>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</si>
  <si>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</si>
  <si>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</si>
  <si>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</si>
  <si>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</si>
  <si>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</si>
  <si>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</si>
  <si>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</si>
  <si>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</si>
  <si>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</si>
  <si>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</si>
  <si>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</si>
  <si>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</si>
  <si>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</si>
  <si>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</si>
  <si>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</si>
  <si>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</si>
  <si>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</si>
  <si>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</si>
  <si>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</si>
  <si>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</si>
  <si>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</si>
  <si>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</si>
  <si>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</si>
  <si>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</si>
  <si>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</si>
  <si>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</si>
  <si>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</si>
  <si>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</si>
  <si>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</si>
  <si>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</si>
  <si>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</si>
  <si>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</si>
  <si>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</si>
  <si>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</si>
  <si>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</si>
  <si>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</si>
  <si>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</si>
  <si>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</si>
  <si>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</si>
  <si>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</si>
  <si>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</si>
  <si>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</si>
  <si>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</si>
  <si>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</si>
  <si>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</si>
  <si>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</si>
  <si>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</si>
  <si>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</si>
  <si>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</si>
  <si>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</si>
  <si>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</si>
  <si>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</si>
  <si>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</si>
  <si>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</si>
  <si>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</si>
  <si>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</si>
  <si>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</si>
  <si>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</si>
  <si>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</si>
  <si>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</si>
  <si>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</si>
  <si>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</si>
  <si>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</si>
  <si>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</si>
  <si>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</si>
  <si>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</si>
  <si>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</si>
  <si>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</si>
  <si>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</si>
  <si>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</si>
  <si>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</si>
  <si>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</si>
  <si>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</si>
  <si>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</si>
  <si>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</si>
  <si>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</si>
  <si>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</si>
  <si>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</si>
  <si>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</si>
  <si>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</si>
  <si>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</si>
  <si>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</si>
  <si>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</si>
  <si>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</si>
  <si>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</si>
  <si>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</si>
  <si>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</si>
  <si>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</si>
  <si>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</si>
  <si>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</si>
  <si>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</si>
  <si>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</si>
  <si>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</si>
  <si>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</si>
  <si>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</si>
  <si>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</si>
  <si>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</si>
  <si>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</si>
  <si>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</si>
  <si>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</si>
  <si>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</si>
  <si>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</si>
  <si>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</si>
  <si>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</si>
  <si>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</si>
  <si>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</si>
  <si>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</si>
  <si>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</si>
  <si>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</si>
  <si>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</si>
  <si>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</si>
  <si>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</si>
  <si>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</si>
  <si>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</si>
  <si>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</si>
  <si>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</si>
  <si>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</si>
  <si>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</si>
  <si>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</si>
  <si>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</si>
  <si>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</si>
  <si>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</si>
  <si>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</si>
  <si>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</si>
  <si>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</si>
  <si>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</si>
  <si>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</si>
  <si>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</si>
  <si>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</si>
  <si>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</si>
  <si>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</si>
  <si>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</si>
  <si>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</si>
  <si>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</si>
  <si>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</si>
  <si>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</si>
  <si>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</si>
  <si>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</si>
  <si>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</si>
  <si>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</si>
  <si>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</si>
  <si>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</si>
  <si>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</si>
  <si>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</si>
  <si>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</si>
  <si>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</si>
  <si>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</si>
  <si>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</si>
  <si>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</si>
  <si>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</si>
  <si>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</si>
  <si>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</si>
  <si>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</si>
  <si>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</si>
  <si>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</si>
  <si>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</si>
  <si>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</si>
  <si>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</si>
  <si>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</si>
  <si>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</si>
  <si>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</si>
  <si>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</si>
  <si>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</si>
  <si>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</si>
  <si>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</si>
  <si>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</si>
  <si>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</si>
  <si>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</si>
  <si>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</si>
  <si>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</si>
  <si>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</si>
  <si>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</si>
  <si>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</si>
  <si>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</si>
  <si>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</si>
  <si>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</si>
  <si>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</si>
  <si>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</si>
  <si>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</si>
  <si>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</si>
  <si>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</si>
  <si>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</si>
  <si>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</si>
  <si>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</si>
  <si>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</si>
  <si>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</si>
  <si>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</si>
  <si>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</si>
  <si>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</si>
  <si>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</si>
  <si>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</si>
  <si>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</si>
  <si>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</si>
  <si>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</si>
  <si>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</si>
  <si>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</si>
  <si>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</si>
  <si>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</si>
  <si>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</si>
  <si>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</si>
  <si>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</si>
  <si>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</si>
  <si>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</si>
  <si>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</si>
  <si>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</si>
  <si>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</si>
  <si>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</si>
  <si>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</si>
  <si>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</si>
  <si>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</si>
  <si>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</si>
  <si>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</si>
  <si>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</si>
  <si>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</si>
  <si>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</si>
  <si>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</si>
  <si>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</si>
  <si>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</si>
  <si>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</si>
  <si>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</si>
  <si>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</si>
  <si>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</si>
  <si>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</si>
  <si>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</si>
  <si>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</si>
  <si>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</si>
  <si>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</si>
  <si>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</si>
  <si>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</si>
  <si>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</si>
  <si>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</si>
  <si>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</si>
  <si>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</si>
  <si>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</si>
  <si>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</si>
  <si>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</si>
  <si>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</si>
  <si>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</si>
  <si>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</si>
  <si>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</si>
  <si>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</si>
  <si>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</si>
  <si>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</si>
  <si>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</si>
  <si>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</si>
  <si>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</si>
  <si>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</si>
  <si>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</si>
  <si>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</si>
  <si>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</si>
  <si>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</si>
  <si>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</si>
  <si>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</si>
  <si>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</si>
  <si>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</si>
  <si>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</si>
  <si>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</si>
  <si>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</si>
  <si>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</si>
  <si>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</si>
  <si>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</si>
  <si>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</si>
  <si>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</si>
  <si>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</si>
  <si>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</si>
  <si>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</si>
  <si>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</si>
  <si>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</si>
  <si>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</si>
  <si>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</si>
  <si>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</si>
  <si>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</si>
  <si>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</si>
  <si>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</si>
  <si>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</si>
  <si>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</si>
  <si>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</si>
  <si>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</si>
  <si>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</si>
  <si>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</si>
  <si>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</si>
  <si>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</si>
  <si>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</si>
  <si>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</si>
  <si>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</si>
  <si>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</si>
  <si>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</si>
  <si>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</si>
  <si>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</si>
  <si>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</si>
  <si>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</si>
  <si>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</si>
  <si>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</si>
  <si>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</si>
  <si>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</si>
  <si>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</si>
  <si>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</si>
  <si>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</si>
  <si>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</si>
  <si>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</si>
  <si>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</si>
  <si>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</si>
  <si>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</si>
  <si>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</si>
  <si>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</si>
  <si>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</si>
  <si>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</si>
  <si>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</si>
  <si>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</si>
  <si>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</si>
  <si>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</si>
  <si>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</si>
  <si>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</si>
  <si>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</si>
  <si>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</si>
  <si>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</si>
  <si>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</si>
  <si>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</si>
  <si>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</si>
  <si>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</si>
  <si>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</si>
  <si>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</si>
  <si>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</si>
  <si>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</si>
  <si>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</si>
  <si>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</si>
  <si>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</si>
  <si>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</si>
  <si>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</si>
  <si>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</si>
  <si>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</si>
  <si>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</si>
  <si>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</si>
  <si>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</si>
  <si>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</si>
  <si>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</si>
  <si>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</si>
  <si>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</si>
  <si>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</si>
  <si>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</si>
  <si>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</si>
  <si>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</si>
  <si>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</si>
  <si>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</si>
  <si>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</si>
  <si>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</si>
  <si>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</si>
  <si>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</si>
  <si>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</si>
  <si>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</si>
  <si>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</si>
  <si>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</si>
  <si>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</si>
  <si>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</si>
  <si>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</si>
  <si>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</si>
  <si>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</si>
  <si>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</si>
  <si>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</si>
  <si>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</si>
  <si>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</si>
  <si>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</si>
  <si>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</si>
  <si>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</si>
  <si>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</si>
  <si>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</si>
  <si>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</si>
  <si>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</si>
  <si>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</si>
  <si>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</si>
  <si>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</si>
  <si>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</si>
  <si>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</si>
  <si>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</si>
  <si>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</si>
  <si>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</si>
  <si>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</si>
  <si>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</si>
  <si>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</si>
  <si>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</si>
  <si>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</si>
  <si>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</si>
  <si>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</si>
  <si>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</si>
  <si>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</si>
  <si>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</si>
  <si>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</si>
  <si>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</si>
  <si>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</si>
  <si>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</si>
  <si>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</si>
  <si>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</si>
  <si>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</si>
  <si>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</si>
  <si>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</si>
  <si>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</si>
  <si>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</si>
  <si>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</si>
  <si>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</si>
  <si>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</si>
  <si>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</si>
  <si>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</si>
  <si>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</si>
  <si>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</si>
  <si>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</si>
  <si>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</si>
  <si>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</si>
  <si>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</si>
  <si>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</si>
  <si>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</si>
  <si>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</si>
  <si>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</si>
  <si>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</si>
  <si>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</si>
  <si>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</si>
  <si>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</si>
  <si>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</si>
  <si>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</si>
  <si>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</si>
  <si>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</si>
  <si>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</si>
  <si>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</si>
  <si>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</si>
  <si>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</si>
  <si>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</si>
  <si>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</si>
  <si>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</si>
  <si>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</si>
  <si>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</si>
  <si>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</si>
  <si>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</si>
  <si>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</si>
  <si>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</si>
  <si>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</si>
  <si>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</si>
  <si>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</si>
  <si>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</si>
  <si>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</si>
  <si>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</si>
  <si>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</si>
  <si>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</si>
  <si>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</si>
  <si>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</si>
  <si>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</si>
  <si>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</si>
  <si>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</si>
  <si>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</si>
  <si>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</si>
  <si>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</si>
  <si>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</si>
  <si>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</si>
  <si>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</si>
  <si>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</si>
  <si>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</si>
  <si>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</si>
  <si>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</si>
  <si>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</si>
  <si>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</si>
  <si>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</si>
  <si>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</si>
  <si>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</si>
  <si>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</si>
  <si>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</si>
  <si>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</si>
  <si>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</si>
  <si>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</si>
  <si>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</si>
  <si>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</si>
  <si>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</si>
  <si>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</si>
  <si>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</si>
  <si>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</si>
  <si>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</si>
  <si>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</si>
  <si>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</si>
  <si>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</si>
  <si>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</si>
  <si>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</si>
  <si>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</si>
  <si>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</si>
  <si>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</si>
  <si>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</si>
  <si>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</si>
  <si>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</si>
  <si>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</si>
  <si>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</si>
  <si>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</si>
  <si>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</si>
  <si>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</si>
  <si>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</si>
  <si>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</si>
  <si>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</si>
  <si>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</si>
  <si>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</si>
  <si>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</si>
  <si>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</si>
  <si>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</si>
  <si>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</si>
  <si>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</si>
  <si>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</si>
  <si>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</si>
  <si>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</si>
  <si>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</si>
  <si>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</si>
  <si>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</si>
  <si>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</si>
  <si>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</si>
  <si>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</si>
  <si>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</si>
  <si>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</si>
  <si>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</si>
  <si>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</si>
  <si>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</si>
  <si>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</si>
  <si>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</si>
  <si>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</si>
  <si>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</si>
  <si>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</si>
  <si>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</si>
  <si>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</si>
  <si>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</si>
  <si>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</si>
  <si>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</si>
  <si>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</si>
  <si>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</si>
  <si>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</si>
  <si>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</si>
  <si>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</si>
  <si>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</si>
  <si>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</si>
  <si>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</si>
  <si>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</si>
  <si>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</si>
  <si>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</si>
  <si>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</si>
  <si>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</si>
  <si>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</si>
  <si>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</si>
  <si>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</si>
  <si>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</si>
  <si>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</si>
  <si>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</si>
  <si>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</si>
  <si>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</si>
  <si>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</si>
  <si>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</si>
  <si>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</si>
  <si>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</si>
  <si>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</si>
  <si>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</si>
  <si>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</si>
  <si>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</si>
  <si>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</si>
  <si>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</si>
  <si>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</si>
  <si>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</si>
  <si>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</si>
  <si>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</si>
  <si>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</si>
  <si>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</si>
  <si>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</si>
  <si>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</si>
  <si>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</si>
  <si>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</si>
  <si>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</si>
  <si>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</si>
  <si>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</si>
  <si>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</si>
  <si>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</si>
  <si>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</si>
  <si>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</si>
  <si>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</si>
  <si>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</si>
  <si>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</si>
  <si>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</si>
  <si>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</si>
  <si>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</si>
  <si>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</si>
  <si>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</si>
  <si>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</si>
  <si>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</si>
  <si>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</si>
  <si>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</si>
  <si>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</si>
  <si>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</si>
  <si>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</si>
  <si>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</si>
  <si>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</si>
  <si>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</si>
  <si>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</si>
  <si>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</si>
  <si>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</si>
  <si>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</si>
  <si>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</si>
  <si>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</si>
  <si>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</si>
  <si>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</si>
  <si>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</si>
  <si>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</si>
  <si>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</si>
  <si>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</si>
  <si>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</si>
  <si>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</si>
  <si>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</si>
  <si>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</si>
  <si>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</si>
  <si>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</si>
  <si>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</si>
  <si>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</si>
  <si>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</si>
  <si>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</si>
  <si>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</si>
  <si>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</si>
  <si>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</si>
  <si>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</si>
  <si>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</si>
  <si>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</si>
  <si>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</si>
  <si>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</si>
  <si>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</si>
  <si>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</si>
  <si>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</si>
  <si>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</si>
  <si>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</si>
  <si>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</si>
  <si>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</si>
  <si>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</si>
  <si>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</si>
  <si>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</si>
  <si>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</si>
  <si>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</si>
  <si>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</si>
  <si>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</si>
  <si>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</si>
  <si>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</si>
  <si>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</si>
  <si>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</si>
  <si>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</si>
  <si>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</si>
  <si>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</si>
  <si>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</si>
  <si>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</si>
  <si>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</si>
  <si>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</si>
  <si>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</si>
  <si>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</si>
  <si>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</si>
  <si>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</si>
  <si>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</si>
  <si>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</si>
  <si>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</si>
  <si>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</si>
  <si>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</si>
  <si>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</si>
  <si>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</si>
  <si>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</si>
  <si>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</si>
  <si>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</si>
  <si>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</si>
  <si>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</si>
  <si>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</si>
  <si>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</si>
  <si>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</si>
  <si>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</si>
  <si>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</si>
  <si>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</si>
  <si>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</si>
  <si>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</si>
  <si>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</si>
  <si>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</si>
  <si>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</si>
  <si>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</si>
  <si>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</si>
  <si>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</si>
  <si>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</si>
  <si>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</si>
  <si>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</si>
  <si>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</si>
  <si>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</si>
  <si>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</si>
  <si>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</si>
  <si>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</si>
  <si>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</si>
  <si>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</si>
  <si>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</si>
  <si>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</si>
  <si>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</si>
  <si>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</si>
  <si>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</si>
  <si>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</si>
  <si>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</si>
  <si>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</si>
  <si>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</si>
  <si>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</si>
  <si>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</si>
  <si>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</si>
  <si>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</si>
  <si>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</si>
  <si>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</si>
  <si>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</si>
  <si>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</si>
  <si>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</si>
  <si>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</si>
  <si>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</si>
  <si>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</si>
  <si>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</si>
  <si>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</si>
  <si>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</si>
  <si>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</si>
  <si>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</si>
  <si>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</si>
  <si>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</si>
  <si>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</si>
  <si>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</si>
  <si>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</si>
  <si>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</si>
  <si>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</si>
  <si>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</si>
  <si>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</si>
  <si>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</si>
  <si>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</si>
  <si>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</si>
  <si>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</si>
  <si>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</si>
  <si>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</si>
  <si>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</si>
  <si>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</si>
  <si>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</si>
  <si>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</si>
  <si>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</si>
  <si>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</si>
  <si>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</si>
  <si>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</si>
  <si>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</si>
  <si>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</si>
  <si>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</si>
  <si>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</si>
  <si>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</si>
  <si>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</si>
  <si>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</si>
  <si>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</si>
  <si>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</si>
  <si>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</si>
  <si>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</si>
  <si>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</si>
  <si>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</si>
  <si>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</si>
  <si>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</si>
  <si>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</si>
  <si>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</si>
  <si>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</si>
  <si>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</si>
  <si>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</si>
  <si>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</si>
  <si>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</si>
  <si>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</si>
  <si>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</si>
  <si>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</si>
  <si>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</si>
  <si>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</si>
  <si>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</si>
  <si>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</si>
  <si>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</si>
  <si>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</si>
  <si>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</si>
  <si>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</si>
  <si>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</si>
  <si>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</si>
  <si>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</si>
  <si>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</si>
  <si>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</si>
  <si>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</si>
  <si>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</si>
  <si>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</si>
  <si>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</si>
  <si>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</si>
  <si>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</si>
  <si>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</si>
  <si>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</si>
  <si>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</si>
  <si>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</si>
  <si>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</si>
  <si>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</si>
  <si>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</si>
  <si>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</si>
  <si>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</si>
  <si>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</si>
  <si>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</si>
  <si>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</si>
  <si>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</si>
  <si>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</si>
  <si>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</si>
  <si>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</si>
  <si>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</si>
  <si>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</si>
  <si>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</si>
  <si>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</si>
  <si>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</si>
  <si>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</si>
  <si>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</si>
  <si>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</si>
  <si>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</si>
  <si>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</si>
  <si>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</si>
  <si>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</si>
  <si>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</si>
  <si>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</si>
  <si>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</si>
  <si>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</si>
  <si>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</si>
  <si>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</si>
  <si>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</si>
  <si>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</si>
  <si>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</si>
  <si>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</si>
  <si>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</si>
  <si>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</si>
  <si>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</si>
  <si>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</si>
  <si>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</si>
  <si>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</si>
  <si>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</si>
  <si>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</si>
  <si>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</si>
  <si>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</si>
  <si>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</si>
  <si>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</si>
  <si>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</si>
  <si>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</si>
  <si>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</si>
  <si>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</si>
  <si>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</si>
  <si>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</si>
  <si>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</si>
  <si>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</si>
  <si>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</si>
  <si>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</si>
  <si>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</si>
  <si>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</si>
  <si>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</si>
  <si>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</si>
  <si>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</si>
  <si>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</si>
  <si>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</si>
  <si>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</si>
  <si>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</si>
  <si>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</si>
  <si>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</si>
  <si>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</si>
  <si>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</si>
  <si>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</si>
  <si>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</si>
  <si>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</si>
  <si>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</si>
  <si>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</si>
  <si>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</si>
  <si>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</si>
  <si>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</si>
  <si>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</si>
  <si>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</si>
  <si>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</si>
  <si>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</si>
  <si>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</si>
  <si>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</si>
  <si>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</si>
  <si>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</si>
  <si>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</si>
  <si>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</si>
  <si>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</si>
  <si>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</si>
  <si>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</si>
  <si>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</si>
  <si>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</si>
  <si>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</si>
  <si>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</si>
  <si>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</si>
  <si>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</si>
  <si>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</si>
  <si>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</si>
  <si>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</si>
  <si>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</si>
  <si>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</si>
  <si>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</si>
  <si>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</si>
  <si>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</si>
  <si>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</si>
  <si>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</si>
  <si>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</si>
  <si>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</si>
  <si>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</si>
  <si>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</si>
  <si>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</si>
  <si>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</si>
  <si>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</si>
  <si>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</si>
  <si>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</si>
  <si>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</si>
  <si>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</si>
  <si>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</si>
  <si>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</si>
  <si>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</si>
  <si>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</si>
  <si>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</si>
  <si>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</si>
  <si>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</si>
  <si>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</si>
  <si>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</si>
  <si>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</si>
  <si>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</si>
  <si>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</si>
  <si>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</si>
  <si>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</si>
  <si>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</si>
  <si>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</si>
  <si>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</si>
  <si>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</si>
  <si>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</si>
  <si>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</si>
  <si>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</si>
  <si>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</si>
  <si>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</si>
  <si>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</si>
  <si>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</si>
  <si>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</si>
  <si>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</si>
  <si>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</si>
  <si>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</si>
  <si>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</si>
  <si>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</si>
  <si>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</si>
  <si>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</si>
  <si>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</si>
  <si>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</si>
  <si>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</si>
  <si>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</si>
  <si>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</si>
  <si>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</si>
  <si>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</si>
  <si>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</si>
  <si>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</si>
  <si>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</si>
  <si>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</si>
  <si>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</si>
  <si>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</si>
  <si>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</si>
  <si>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</si>
  <si>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</si>
  <si>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</si>
  <si>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</si>
  <si>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</si>
  <si>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</si>
  <si>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</si>
  <si>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</si>
  <si>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</si>
  <si>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</si>
  <si>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</si>
  <si>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</si>
  <si>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</si>
  <si>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</si>
  <si>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</si>
  <si>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</si>
  <si>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</si>
  <si>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</si>
  <si>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</si>
  <si>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</si>
  <si>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</si>
  <si>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</si>
  <si>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</si>
  <si>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</si>
  <si>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</si>
  <si>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</si>
  <si>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</si>
  <si>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</si>
  <si>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</si>
  <si>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</si>
  <si>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</si>
  <si>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</si>
  <si>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</si>
  <si>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</si>
  <si>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</si>
  <si>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</si>
  <si>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</si>
  <si>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</si>
  <si>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</si>
  <si>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</si>
  <si>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</si>
  <si>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</si>
  <si>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</si>
  <si>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</si>
  <si>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</si>
  <si>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</si>
  <si>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</si>
  <si>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</si>
  <si>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</si>
  <si>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</si>
  <si>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</si>
  <si>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</si>
  <si>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</si>
  <si>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</si>
  <si>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</si>
  <si>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</si>
  <si>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</si>
  <si>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</si>
  <si>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</si>
  <si>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</si>
  <si>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</si>
  <si>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</si>
  <si>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</si>
  <si>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</si>
  <si>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</si>
  <si>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</si>
  <si>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</si>
  <si>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</si>
  <si>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</si>
  <si>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</si>
  <si>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</si>
  <si>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</si>
  <si>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</si>
  <si>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</si>
  <si>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</si>
  <si>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</si>
  <si>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</si>
  <si>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</si>
  <si>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</si>
  <si>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</si>
  <si>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</si>
  <si>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</si>
  <si>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</si>
  <si>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</si>
  <si>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</si>
  <si>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</si>
  <si>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</si>
  <si>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</si>
  <si>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</si>
  <si>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</si>
  <si>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</si>
  <si>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</si>
  <si>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</si>
  <si>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</si>
  <si>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</si>
  <si>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</si>
  <si>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</si>
  <si>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</si>
  <si>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</si>
  <si>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</si>
  <si>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</si>
  <si>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</si>
  <si>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</si>
  <si>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</si>
  <si>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</si>
  <si>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</si>
  <si>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</si>
  <si>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</si>
  <si>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</si>
  <si>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</si>
  <si>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</si>
  <si>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</si>
  <si>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</si>
  <si>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</si>
  <si>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</si>
  <si>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</si>
  <si>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</si>
  <si>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</si>
  <si>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</si>
  <si>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</si>
  <si>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</si>
  <si>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</si>
  <si>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</si>
  <si>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</si>
  <si>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</si>
  <si>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</si>
  <si>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</si>
  <si>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</si>
  <si>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</si>
  <si>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</si>
  <si>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</si>
  <si>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</si>
  <si>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</si>
  <si>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</si>
  <si>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</si>
  <si>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</si>
  <si>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</si>
  <si>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</si>
  <si>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</si>
  <si>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</si>
  <si>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</si>
  <si>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</si>
  <si>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</si>
  <si>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</si>
  <si>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</si>
  <si>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</si>
  <si>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</si>
  <si>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</si>
  <si>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</si>
  <si>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</si>
  <si>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</si>
  <si>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</si>
  <si>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</si>
  <si>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</si>
  <si>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</si>
  <si>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</si>
  <si>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</si>
  <si>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</si>
  <si>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</si>
  <si>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</si>
  <si>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</si>
  <si>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</si>
  <si>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</si>
  <si>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</si>
  <si>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</si>
  <si>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</si>
  <si>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</si>
  <si>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</si>
  <si>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</si>
  <si>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</si>
  <si>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</si>
  <si>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</si>
  <si>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</si>
  <si>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</si>
  <si>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</si>
  <si>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</si>
  <si>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</si>
  <si>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</si>
  <si>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</si>
  <si>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</si>
  <si>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</si>
  <si>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</si>
  <si>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</si>
  <si>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</si>
  <si>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</si>
  <si>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</si>
  <si>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</si>
  <si>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</si>
  <si>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</si>
  <si>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</si>
  <si>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</si>
  <si>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</si>
  <si>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</si>
  <si>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</si>
  <si>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</si>
  <si>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</si>
  <si>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</si>
  <si>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</si>
  <si>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</si>
  <si>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</si>
  <si>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</si>
  <si>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</si>
  <si>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</si>
  <si>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</si>
  <si>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</si>
  <si>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</si>
  <si>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</si>
  <si>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</si>
  <si>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</si>
  <si>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</si>
  <si>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</si>
  <si>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</si>
  <si>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</si>
  <si>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</si>
  <si>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</si>
  <si>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</si>
  <si>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</si>
  <si>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</si>
  <si>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</si>
  <si>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</si>
  <si>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</si>
  <si>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</si>
  <si>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</si>
  <si>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</si>
  <si>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</si>
  <si>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</si>
  <si>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</si>
  <si>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</si>
  <si>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</si>
  <si>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</si>
  <si>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</si>
  <si>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</si>
  <si>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</si>
  <si>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</si>
  <si>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</si>
  <si>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</si>
  <si>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</si>
  <si>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</si>
  <si>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</si>
  <si>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</si>
  <si>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</si>
  <si>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</si>
  <si>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</si>
  <si>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</si>
  <si>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</si>
  <si>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</si>
  <si>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</si>
  <si>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</si>
  <si>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</si>
  <si>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</si>
  <si>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</si>
  <si>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</si>
  <si>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</si>
  <si>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</si>
  <si>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</si>
  <si>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</si>
  <si>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</si>
  <si>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</si>
  <si>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</si>
  <si>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</si>
  <si>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</si>
  <si>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</si>
  <si>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</si>
  <si>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</si>
  <si>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</si>
  <si>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</si>
  <si>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</si>
  <si>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</si>
  <si>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</si>
  <si>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</si>
  <si>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</si>
  <si>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</si>
  <si>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</si>
  <si>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</si>
  <si>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</si>
  <si>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</si>
  <si>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</si>
  <si>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</si>
  <si>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</si>
  <si>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</si>
  <si>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</si>
  <si>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</si>
  <si>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</si>
  <si>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</si>
  <si>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</si>
  <si>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</si>
  <si>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</si>
  <si>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</si>
  <si>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</si>
  <si>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</si>
  <si>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</si>
  <si>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</si>
  <si>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</si>
  <si>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</si>
  <si>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</si>
  <si>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</si>
  <si>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</si>
  <si>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</si>
  <si>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</si>
  <si>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</si>
  <si>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</si>
  <si>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</si>
  <si>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</si>
  <si>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</si>
  <si>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</si>
  <si>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</si>
  <si>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</si>
  <si>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</si>
  <si>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</si>
  <si>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</si>
  <si>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</si>
  <si>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</si>
  <si>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</si>
  <si>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</si>
  <si>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</si>
  <si>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</si>
  <si>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</si>
  <si>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</si>
  <si>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</si>
  <si>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</si>
  <si>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</si>
  <si>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</si>
  <si>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</si>
  <si>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</si>
  <si>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</si>
  <si>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</si>
  <si>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</si>
  <si>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</si>
  <si>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</si>
  <si>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</si>
  <si>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</si>
  <si>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</si>
  <si>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</si>
  <si>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</si>
  <si>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</si>
  <si>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</si>
  <si>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</si>
  <si>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</si>
  <si>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</si>
  <si>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</si>
  <si>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</si>
  <si>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</si>
  <si>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</si>
  <si>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</si>
  <si>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</si>
  <si>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</si>
  <si>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</si>
  <si>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</si>
  <si>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</si>
  <si>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</si>
  <si>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</si>
  <si>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</si>
  <si>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</si>
  <si>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</si>
  <si>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</si>
  <si>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</si>
  <si>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</si>
  <si>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</si>
  <si>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</si>
  <si>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</si>
  <si>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</si>
  <si>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</si>
  <si>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</si>
  <si>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</si>
  <si>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</si>
  <si>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</si>
  <si>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</si>
  <si>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</si>
  <si>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</si>
  <si>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</si>
  <si>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</si>
  <si>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</si>
  <si>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</si>
  <si>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</si>
  <si>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</si>
  <si>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Burbank Housing Development Corporation</t>
  </si>
  <si>
    <t>Heritage House &amp; Valle Verde</t>
  </si>
  <si>
    <t>June</t>
  </si>
  <si>
    <t>Santa Rosa</t>
  </si>
  <si>
    <t>Lawrance Florin</t>
  </si>
  <si>
    <t>Chief Executive Officer</t>
  </si>
  <si>
    <t>City of Napa</t>
  </si>
  <si>
    <t>Steve Potter</t>
  </si>
  <si>
    <t>City Hall, 955 School Street</t>
  </si>
  <si>
    <t>707-257-9501</t>
  </si>
  <si>
    <t>spotter@cityofnapa.org</t>
  </si>
  <si>
    <t>707-257-9534</t>
  </si>
  <si>
    <t>3700 and 3710 Valle Verde Drive</t>
  </si>
  <si>
    <t>APN 038-170-042; APN 038-170-043 and -046</t>
  </si>
  <si>
    <t>1425 Corporate Center Parkway</t>
  </si>
  <si>
    <t>CA</t>
  </si>
  <si>
    <t>Jocelyn Lin</t>
  </si>
  <si>
    <t>707-303-0590</t>
  </si>
  <si>
    <t>jlin@burbankhousing.org</t>
  </si>
  <si>
    <t>Allied Housing, Inc.</t>
  </si>
  <si>
    <t>Managing GP</t>
  </si>
  <si>
    <t>Administrative GP</t>
  </si>
  <si>
    <t>40849 Fremont Blvd</t>
  </si>
  <si>
    <t>Fremont</t>
  </si>
  <si>
    <t>Jon White</t>
  </si>
  <si>
    <t>510-415-6049</t>
  </si>
  <si>
    <t>jwhite@alliedhousing.org</t>
  </si>
  <si>
    <t>Applicant/General Partner</t>
  </si>
  <si>
    <t>Santa Rosa, CA 95407</t>
  </si>
  <si>
    <t>Gubb &amp; Barshay LLP</t>
  </si>
  <si>
    <t>505 14th Street, Suite 450</t>
  </si>
  <si>
    <t>Oakland, CA 94105</t>
  </si>
  <si>
    <t>Nicole Kline</t>
  </si>
  <si>
    <t>415-781-6600</t>
  </si>
  <si>
    <t>415-781-6967</t>
  </si>
  <si>
    <t>707-303-1055</t>
  </si>
  <si>
    <t>nkline@gubbandbarshay.com</t>
  </si>
  <si>
    <t>Lindquist, von Husen &amp; Joyce LLP</t>
  </si>
  <si>
    <t>301 Howard Street, Suite 850</t>
  </si>
  <si>
    <t>San Francisco, CA 94105</t>
  </si>
  <si>
    <t>Scott Smith</t>
  </si>
  <si>
    <t>415-905-5487</t>
  </si>
  <si>
    <t>415-957-1629</t>
  </si>
  <si>
    <t>ssmith@lvhj.com</t>
  </si>
  <si>
    <t>California Housing Partnership</t>
  </si>
  <si>
    <t>369 Pine Street, Suite 300</t>
  </si>
  <si>
    <t>San Francisco, CA 94104</t>
  </si>
  <si>
    <t>Claire Parisa</t>
  </si>
  <si>
    <t>415-433-6804</t>
  </si>
  <si>
    <t>cparisa@chpc.net</t>
  </si>
  <si>
    <t>Colliers International</t>
  </si>
  <si>
    <t>7485 N. Palm Avenue, Suite 110</t>
  </si>
  <si>
    <t>Fresno, CA 93711</t>
  </si>
  <si>
    <t>John Larson</t>
  </si>
  <si>
    <t>916-712-7780</t>
  </si>
  <si>
    <t>john.larson@colliers.com</t>
  </si>
  <si>
    <t>Gunkel Architecture</t>
  </si>
  <si>
    <t>1295 59th Street</t>
  </si>
  <si>
    <t>Emeryville, CA 94608</t>
  </si>
  <si>
    <t>Brianne Steinhauser</t>
  </si>
  <si>
    <t>510-984-1112</t>
  </si>
  <si>
    <t>brianne@gunkelarchitecture.com</t>
  </si>
  <si>
    <t>Midstate Construction</t>
  </si>
  <si>
    <t>1180 Holm Road</t>
  </si>
  <si>
    <t>Petaluma, CA 94954</t>
  </si>
  <si>
    <t>Monica Nelson</t>
  </si>
  <si>
    <t>707-559-2325</t>
  </si>
  <si>
    <t>707-762-0700</t>
  </si>
  <si>
    <t>Gilleran Energy Management, Inc.</t>
  </si>
  <si>
    <t>750 Davis Street</t>
  </si>
  <si>
    <t>Santa Rosa, CA 95401</t>
  </si>
  <si>
    <t>Kevin Gilleran</t>
  </si>
  <si>
    <t>707-528-7318</t>
  </si>
  <si>
    <t>707-978-3906</t>
  </si>
  <si>
    <t>U.S. Bancorp</t>
  </si>
  <si>
    <t>1307 Washington Ave, Suite 300</t>
  </si>
  <si>
    <t>St. Louis, MO 63103</t>
  </si>
  <si>
    <t>Jennifer Craig</t>
  </si>
  <si>
    <t>314-662-7533</t>
  </si>
  <si>
    <t>jennifer.craig@usbank.com</t>
  </si>
  <si>
    <t>Raney Planning &amp; Management</t>
  </si>
  <si>
    <t>1501 Sports Drive, Suite A</t>
  </si>
  <si>
    <t>Sacramento, CA 95834</t>
  </si>
  <si>
    <t>Stefanie Williams</t>
  </si>
  <si>
    <t>916-372-6100</t>
  </si>
  <si>
    <t>916-419-6108</t>
  </si>
  <si>
    <t>swilliams@laurinassociates.com</t>
  </si>
  <si>
    <t>Burbank Housing Management Corporation</t>
  </si>
  <si>
    <t>Annie McNeany</t>
  </si>
  <si>
    <t>707-303-1006</t>
  </si>
  <si>
    <t>amcneany@burbankhousing.org</t>
  </si>
  <si>
    <t>The Gasser Foundation</t>
  </si>
  <si>
    <t>Nancy Watt</t>
  </si>
  <si>
    <t>433 Soscol Avenue, Ste A-120, Napa, CA 94559</t>
  </si>
  <si>
    <t>707-255-1646</t>
  </si>
  <si>
    <t>Secured by Fee Interest</t>
  </si>
  <si>
    <t>Other (Specify below)</t>
  </si>
  <si>
    <t xml:space="preserve">32 of 44 units will be NPLH-Assisted </t>
  </si>
  <si>
    <t>Density Bonus</t>
  </si>
  <si>
    <t>Design Review</t>
  </si>
  <si>
    <t>MFR Multi-Family Residential</t>
  </si>
  <si>
    <t>RM Multi-Family Residential, 25 DUA</t>
  </si>
  <si>
    <t>RM Multi-Family Residential, 19.9 DUA</t>
  </si>
  <si>
    <t>35 feet</t>
  </si>
  <si>
    <t>SRO 0.5/unit, 1BR 1.4/unit, 2BR 1.6/unit, 3BR 1.8/unit, Guest 0.25/unit</t>
  </si>
  <si>
    <t>City of Napa Housing Trust Fund</t>
  </si>
  <si>
    <t>County of Napa Whole Person Care</t>
  </si>
  <si>
    <t>St. Joseph Queen of the Valley</t>
  </si>
  <si>
    <t>HCD No Place Like Home</t>
  </si>
  <si>
    <t>Partnership Health</t>
  </si>
  <si>
    <t>Multi-Family 3-Story Apartment Buildings</t>
  </si>
  <si>
    <t>Other: Acquisition Title/Recording</t>
  </si>
  <si>
    <t>OtherPayment &amp; Performance Bond</t>
  </si>
  <si>
    <t>Seller Carryback Loan</t>
  </si>
  <si>
    <t>Fixed</t>
  </si>
  <si>
    <t>City of Napa - HTF Loan</t>
  </si>
  <si>
    <t>County of Napa</t>
  </si>
  <si>
    <t>County of Napa - Whole Person Care</t>
  </si>
  <si>
    <t>Sponsor Loan (Queen of the Valley)</t>
  </si>
  <si>
    <t>NPLH - Non-competitive</t>
  </si>
  <si>
    <t>GP Equity: Partnership Health Grant</t>
  </si>
  <si>
    <t>LP Equity During Construction</t>
  </si>
  <si>
    <t>Costs Deferred Until Conversion</t>
  </si>
  <si>
    <t>Construction Loan</t>
  </si>
  <si>
    <t>Variable</t>
  </si>
  <si>
    <t>Other: Construction Lender Expenses</t>
  </si>
  <si>
    <t>Other: Owner Legal</t>
  </si>
  <si>
    <t>Other: Security during Construction</t>
  </si>
  <si>
    <t>No Place Like Home</t>
  </si>
  <si>
    <t>Janitorial</t>
  </si>
  <si>
    <t>Various Local Sources (see above)</t>
  </si>
  <si>
    <t>Philanthropy</t>
  </si>
  <si>
    <t>Draw from NPLH COSR</t>
  </si>
  <si>
    <t>HCD No Place Like Home (Capital)</t>
  </si>
  <si>
    <t>20</t>
  </si>
  <si>
    <t>Project-based vouchers (PBVs)</t>
  </si>
  <si>
    <t>40%/60%</t>
  </si>
  <si>
    <t>Safeway</t>
  </si>
  <si>
    <t>3375 Jefferson Street</t>
  </si>
  <si>
    <t>Napa, CA 94558</t>
  </si>
  <si>
    <t>local.safeway.com/safeway/ca/napa/3375-jefferson-st.html</t>
  </si>
  <si>
    <t>Providence Queen of the Valley Medical Center</t>
  </si>
  <si>
    <t>1000 Trancas Street</t>
  </si>
  <si>
    <t>providence.org/locations/norcal/queen-of-the-valley</t>
  </si>
  <si>
    <t>Garfield Park</t>
  </si>
  <si>
    <t>80 Garfield Lane</t>
  </si>
  <si>
    <t>City of Napa Parks &amp; Rec</t>
  </si>
  <si>
    <t>cityofnapa.org/facilities</t>
  </si>
  <si>
    <t>Trancas Crossing Park</t>
  </si>
  <si>
    <t>610 Trancas Street</t>
  </si>
  <si>
    <t>Vine Transit</t>
  </si>
  <si>
    <t>625 Burnell Street</t>
  </si>
  <si>
    <t>Napa, CA 94559</t>
  </si>
  <si>
    <t>vinetransit.com</t>
  </si>
  <si>
    <t>78 spaces proposed (77 required based on parking ratios)</t>
  </si>
  <si>
    <t>Housing Authority of the City of Napa</t>
  </si>
  <si>
    <t>1307 Washington Ave, Ste 300</t>
  </si>
  <si>
    <t>2020 W El Camino Ave</t>
  </si>
  <si>
    <t>Sacramento, CA 94252</t>
  </si>
  <si>
    <t xml:space="preserve">(916) 263-2771 </t>
  </si>
  <si>
    <t>Soft Loan</t>
  </si>
  <si>
    <t>1115 Seminary Street</t>
  </si>
  <si>
    <t>Lark Ferrell</t>
  </si>
  <si>
    <t>707-257-9543</t>
  </si>
  <si>
    <t>1195 Third Street, Suite 310</t>
  </si>
  <si>
    <t>Jennifer Palmer</t>
  </si>
  <si>
    <t>707-253-4421</t>
  </si>
  <si>
    <t>Aaron New</t>
  </si>
  <si>
    <t>Sponsor Loan of Grant</t>
  </si>
  <si>
    <t>Seller Carryback</t>
  </si>
  <si>
    <t>GP Equity Contribution</t>
  </si>
  <si>
    <t>LP Equity Contribution</t>
  </si>
  <si>
    <t>Deferred Costs</t>
  </si>
  <si>
    <t>916-263-2771</t>
  </si>
  <si>
    <t>Sponsor Loan from Grant</t>
  </si>
  <si>
    <t xml:space="preserve">A blended vacancy rate is being used in the cash flow for both the rental income and voucher income that reflects the ratio of special needs unit income: non-SN unit income (where special needs units are 10% vacancy and non-SN units are 5% vacancy). </t>
  </si>
  <si>
    <t>HCD No Place Like Home (NPLH) - Capital</t>
  </si>
  <si>
    <t>HCD No Place Like Home (NPLH) - COSR</t>
  </si>
  <si>
    <t>Operation/COSR</t>
  </si>
  <si>
    <t>Abode Services</t>
  </si>
  <si>
    <t>MOU</t>
  </si>
  <si>
    <t>Services Staff Supervision</t>
  </si>
  <si>
    <t>Fringe Benefits</t>
  </si>
  <si>
    <t>Operational Costs</t>
  </si>
  <si>
    <t>84 hrs/yr</t>
  </si>
  <si>
    <t>Included</t>
  </si>
  <si>
    <t>Connected Community Solutions</t>
  </si>
  <si>
    <t>3307 Evergreen Way, STE 707 PMB 315</t>
  </si>
  <si>
    <t>Washougal, WA 98671</t>
  </si>
  <si>
    <t>Dave Cannard</t>
  </si>
  <si>
    <t>US Bank Construction Loan</t>
  </si>
  <si>
    <t>Other: NPLH Capitalized Operating Subsidy Reserve HCD Required Transition Reserve</t>
  </si>
  <si>
    <t>0%</t>
  </si>
  <si>
    <t>Section 8 Project-Based Vouchers and CDBG-Disaster Relief</t>
  </si>
  <si>
    <t>1 FTE</t>
  </si>
  <si>
    <t>1.25 FTE</t>
  </si>
  <si>
    <t>0.3 FTE</t>
  </si>
  <si>
    <t>Misc Admin</t>
  </si>
  <si>
    <t>Sponsor Loan: CDBG-DR</t>
  </si>
  <si>
    <t>Sponsor Loan: NPLH - Technical Assistance</t>
  </si>
  <si>
    <t>Interest only</t>
  </si>
  <si>
    <t>None</t>
  </si>
  <si>
    <t>CVS Pharmacy</t>
  </si>
  <si>
    <t>675 Trancas Street</t>
  </si>
  <si>
    <t>cvs.com/store-locator/napa-ca-pharmacies/675-trancas-st-napa-ca-94558/storeid=1804</t>
  </si>
  <si>
    <t>Care Network at Queen of the Valley</t>
  </si>
  <si>
    <t>3448 Villa Lane #102</t>
  </si>
  <si>
    <t>providence.org/locations/norcal/queen-of-the-valley/community-outreach/care-network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</si>
</sst>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12" fillId="7" borderId="5" xfId="273" applyNumberFormat="1" applyFont="1" applyFill="1" applyBorder="1"/>
    <xf numFmtId="173" fontId="12"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0" fontId="73" fillId="51" borderId="0" xfId="273" applyNumberFormat="1" applyFont="1" applyFill="1" applyAlignment="1">
      <alignment horizontal="center"/>
    </xf>
    <xf numFmtId="0" fontId="8" fillId="51" borderId="0" xfId="273" applyFont="1" applyFill="1"/>
    <xf numFmtId="3" fontId="72" fillId="0" borderId="0" xfId="273" applyNumberFormat="1" applyFont="1" applyBorder="1"/>
    <xf numFmtId="10" fontId="130" fillId="0" borderId="0" xfId="273" applyNumberFormat="1" applyFont="1" applyFill="1" applyAlignment="1">
      <alignment horizontal="center"/>
    </xf>
    <xf numFmtId="3" fontId="102" fillId="51" borderId="0" xfId="273" applyNumberFormat="1" applyFont="1" applyFill="1" applyBorder="1"/>
    <xf numFmtId="3" fontId="102" fillId="51" borderId="0" xfId="273" applyNumberFormat="1" applyFont="1" applyFill="1"/>
    <xf numFmtId="2" fontId="12" fillId="51" borderId="12" xfId="273" applyNumberFormat="1" applyFont="1" applyFill="1" applyBorder="1" applyAlignment="1">
      <alignment horizontal="center"/>
    </xf>
    <xf numFmtId="2" fontId="12" fillId="51" borderId="0" xfId="273" applyNumberFormat="1" applyFont="1" applyFill="1" applyAlignment="1">
      <alignment horizontal="center"/>
    </xf>
    <xf numFmtId="10" fontId="35" fillId="51" borderId="0" xfId="273" applyNumberFormat="1" applyFont="1" applyFill="1" applyAlignment="1">
      <alignment horizontal="center"/>
    </xf>
    <xf numFmtId="0" fontId="3" fillId="51" borderId="0" xfId="0" applyFont="1" applyFill="1" applyProtection="1">
      <protection locked="0"/>
    </xf>
    <xf numFmtId="0" fontId="0" fillId="51" borderId="0" xfId="0" applyFill="1" applyProtection="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0" borderId="12" xfId="0" applyFont="1" applyFill="1" applyBorder="1" applyAlignment="1" applyProtection="1">
      <alignment horizontal="center" vertical="top" wrapText="1"/>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2" fontId="3" fillId="0" borderId="12" xfId="546" applyNumberFormat="1" applyFont="1" applyBorder="1" applyAlignment="1" applyProtection="1">
      <alignment horizontal="center"/>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49" fontId="12" fillId="7" borderId="5" xfId="273" applyNumberForma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12" fillId="7" borderId="5" xfId="0"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79" fontId="3" fillId="7" borderId="4" xfId="0" applyNumberFormat="1" applyFont="1" applyFill="1" applyBorder="1" applyAlignment="1" applyProtection="1">
      <alignment horizontal="righ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2" fillId="0" borderId="3" xfId="0" applyFont="1" applyBorder="1" applyAlignment="1" applyProtection="1">
      <alignment horizontal="left"/>
    </xf>
    <xf numFmtId="0" fontId="0" fillId="0" borderId="4" xfId="0" applyBorder="1" applyAlignment="1" applyProtection="1">
      <alignment horizontal="left"/>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0" borderId="4" xfId="0" applyFont="1" applyBorder="1" applyAlignment="1" applyProtection="1">
      <alignment horizontal="left"/>
    </xf>
    <xf numFmtId="0" fontId="12" fillId="0" borderId="8" xfId="0" applyFont="1" applyBorder="1" applyAlignment="1" applyProtection="1">
      <alignment horizontal="left"/>
    </xf>
    <xf numFmtId="169" fontId="3" fillId="7" borderId="5" xfId="0" applyNumberFormat="1" applyFont="1" applyFill="1" applyBorder="1" applyAlignment="1" applyProtection="1">
      <alignment horizontal="right"/>
      <protection locked="0"/>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2" fontId="0" fillId="7" borderId="5" xfId="0" applyNumberForma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0" fontId="10" fillId="0" borderId="5" xfId="0" applyFont="1" applyBorder="1" applyAlignment="1" applyProtection="1">
      <alignment horizontal="right"/>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1" fontId="3" fillId="53" borderId="3" xfId="0" applyNumberFormat="1" applyFont="1" applyFill="1" applyBorder="1" applyAlignment="1" applyProtection="1">
      <alignment horizontal="center"/>
      <protection locked="0"/>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76" fontId="26" fillId="7" borderId="3" xfId="0" quotePrefix="1" applyNumberFormat="1" applyFont="1" applyFill="1" applyBorder="1" applyAlignment="1" applyProtection="1">
      <alignment horizontal="center"/>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7" borderId="12" xfId="0" applyFont="1" applyFill="1" applyBorder="1" applyAlignment="1" applyProtection="1">
      <alignment horizontal="center"/>
      <protection locked="0"/>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0" fillId="53" borderId="5" xfId="0" applyFill="1" applyBorder="1" applyAlignment="1" applyProtection="1">
      <alignment horizontal="left"/>
      <protection locked="0"/>
    </xf>
    <xf numFmtId="169" fontId="0" fillId="53" borderId="5" xfId="0" applyNumberFormat="1" applyFill="1" applyBorder="1" applyAlignment="1" applyProtection="1">
      <alignment horizontal="right"/>
      <protection locked="0"/>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12" xfId="0" applyNumberFormat="1" applyFont="1" applyFill="1" applyBorder="1" applyAlignment="1" applyProtection="1">
      <alignment horizontal="center"/>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10" fillId="0" borderId="8" xfId="0" applyFont="1" applyFill="1" applyBorder="1" applyAlignment="1" applyProtection="1">
      <alignment horizontal="center"/>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12" fillId="0" borderId="12"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3" xfId="0" applyFont="1" applyBorder="1" applyAlignment="1" applyProtection="1">
      <alignment horizontal="left"/>
    </xf>
    <xf numFmtId="0" fontId="0" fillId="0" borderId="8" xfId="0" applyBorder="1" applyAlignment="1" applyProtection="1">
      <alignment horizontal="left"/>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0" fontId="0" fillId="0" borderId="3" xfId="0" applyBorder="1" applyAlignment="1" applyProtection="1">
      <alignment horizontal="left"/>
    </xf>
    <xf numFmtId="1" fontId="3" fillId="7" borderId="5" xfId="0" applyNumberFormat="1" applyFont="1" applyFill="1" applyBorder="1" applyAlignment="1" applyProtection="1">
      <alignment horizontal="right"/>
      <protection locked="0"/>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7" borderId="12" xfId="0" applyFont="1" applyFill="1" applyBorder="1" applyAlignment="1" applyProtection="1">
      <alignment horizontal="center"/>
      <protection locked="0"/>
    </xf>
    <xf numFmtId="1" fontId="3" fillId="0" borderId="0" xfId="546" applyNumberFormat="1" applyFont="1" applyAlignment="1" applyProtection="1">
      <alignment horizontal="center"/>
    </xf>
    <xf numFmtId="169" fontId="0" fillId="0" borderId="12" xfId="0" applyNumberFormat="1" applyFill="1" applyBorder="1" applyAlignment="1" applyProtection="1"/>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17" fontId="0" fillId="7" borderId="3" xfId="0" applyNumberFormat="1" applyFill="1" applyBorder="1" applyAlignment="1" applyProtection="1">
      <alignment horizontal="right"/>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sheetName val="Instructions-Electronic Submit"/>
      <sheetName val="Checklist Items "/>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 val="Instructions-App Completion "/>
      <sheetName val="Instructions-Electronic Submit"/>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Claire Parisa" id="{0744611A-E146-724B-9368-7A6E36C91637}" userId="S::cparisa@chpc.net::521b48e8-8943-4cf7-a892-066cf09c478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5" dT="2021-06-29T00:26:26.57" personId="{0744611A-E146-724B-9368-7A6E36C91637}" id="{4F9D0380-8889-5746-9628-00A2E3F6B0D7}">
    <text>Blended vacancy rate, please see “Applicant Notes”</text>
  </threadedComment>
  <threadedComment ref="C7" dT="2021-06-29T00:26:48.29" personId="{0744611A-E146-724B-9368-7A6E36C91637}" id="{AD2926F8-A45E-4C43-88F5-72532343A580}">
    <text>Blended vacancy rate, please see “Applicant Notes”</text>
  </threadedComment>
  <threadedComment ref="C9" dT="2021-06-29T00:27:04.87" personId="{0744611A-E146-724B-9368-7A6E36C91637}" id="{8438DEF8-98EE-4C4E-93D3-4509D4EB8947}">
    <text>Blended vacancy rate, please see “Applicant Notes”</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3.2" zeroHeight="1"/>
  <cols>
    <col min="1" max="38" width="2.44140625" customWidth="1"/>
    <col min="39" max="16384" width="8.6640625" style="272" hidden="1"/>
  </cols>
  <sheetData>
    <row r="1" spans="1:38">
      <c r="A1" s="1554" t="s">
        <v>2131</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5"/>
    </row>
    <row r="2" spans="1:38" ht="13.8" thickBot="1">
      <c r="A2" s="1556"/>
      <c r="B2" s="1556"/>
      <c r="C2" s="1556"/>
      <c r="D2" s="1556"/>
      <c r="E2" s="1556"/>
      <c r="F2" s="1556"/>
      <c r="G2" s="1556"/>
      <c r="H2" s="1556"/>
      <c r="I2" s="1556"/>
      <c r="J2" s="1556"/>
      <c r="K2" s="1556"/>
      <c r="L2" s="1556"/>
      <c r="M2" s="1556"/>
      <c r="N2" s="1556"/>
      <c r="O2" s="1556"/>
      <c r="P2" s="1556"/>
      <c r="Q2" s="1556"/>
      <c r="R2" s="1556"/>
      <c r="S2" s="1556"/>
      <c r="T2" s="1556"/>
      <c r="U2" s="1556"/>
      <c r="V2" s="1556"/>
      <c r="W2" s="1556"/>
      <c r="X2" s="1556"/>
      <c r="Y2" s="1556"/>
      <c r="Z2" s="1556"/>
      <c r="AA2" s="1556"/>
      <c r="AB2" s="1556"/>
      <c r="AC2" s="1556"/>
      <c r="AD2" s="1556"/>
      <c r="AE2" s="1556"/>
      <c r="AF2" s="1556"/>
      <c r="AG2" s="1556"/>
      <c r="AH2" s="1556"/>
      <c r="AI2" s="1556"/>
      <c r="AJ2" s="1556"/>
      <c r="AK2" s="1556"/>
      <c r="AL2" s="1557"/>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3" t="s">
        <v>796</v>
      </c>
      <c r="C4" s="1063"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95" customHeight="1">
      <c r="A7" s="283"/>
      <c r="B7" s="1"/>
      <c r="C7" s="358"/>
      <c r="D7" s="1558" t="s">
        <v>2135</v>
      </c>
      <c r="E7" s="1558"/>
      <c r="F7" s="1558"/>
      <c r="G7" s="1558"/>
      <c r="H7" s="1558"/>
      <c r="I7" s="1558"/>
      <c r="J7" s="1558"/>
      <c r="K7" s="1558"/>
      <c r="L7" s="1558"/>
      <c r="M7" s="1558"/>
      <c r="N7" s="1558"/>
      <c r="O7" s="1558"/>
      <c r="P7" s="1558"/>
      <c r="Q7" s="1558"/>
      <c r="R7" s="1558"/>
      <c r="S7" s="1558"/>
      <c r="T7" s="1558"/>
      <c r="U7" s="1558"/>
      <c r="V7" s="1558"/>
      <c r="W7" s="1558"/>
      <c r="X7" s="1558"/>
      <c r="Y7" s="1558"/>
      <c r="Z7" s="1558"/>
      <c r="AA7" s="1558"/>
      <c r="AB7" s="1558"/>
      <c r="AC7" s="1558"/>
      <c r="AD7" s="1558"/>
      <c r="AE7" s="1558"/>
      <c r="AF7" s="1558"/>
      <c r="AG7" s="1558"/>
      <c r="AH7" s="1558"/>
      <c r="AI7" s="1558"/>
      <c r="AJ7" s="1558"/>
      <c r="AK7" s="1558"/>
      <c r="AL7" s="1"/>
    </row>
    <row r="8" spans="1:38">
      <c r="A8" s="283"/>
      <c r="B8" s="1"/>
      <c r="C8" s="358"/>
      <c r="D8" s="1558"/>
      <c r="E8" s="1558"/>
      <c r="F8" s="1558"/>
      <c r="G8" s="1558"/>
      <c r="H8" s="1558"/>
      <c r="I8" s="1558"/>
      <c r="J8" s="1558"/>
      <c r="K8" s="1558"/>
      <c r="L8" s="1558"/>
      <c r="M8" s="1558"/>
      <c r="N8" s="1558"/>
      <c r="O8" s="1558"/>
      <c r="P8" s="1558"/>
      <c r="Q8" s="1558"/>
      <c r="R8" s="1558"/>
      <c r="S8" s="1558"/>
      <c r="T8" s="1558"/>
      <c r="U8" s="1558"/>
      <c r="V8" s="1558"/>
      <c r="W8" s="1558"/>
      <c r="X8" s="1558"/>
      <c r="Y8" s="1558"/>
      <c r="Z8" s="1558"/>
      <c r="AA8" s="1558"/>
      <c r="AB8" s="1558"/>
      <c r="AC8" s="1558"/>
      <c r="AD8" s="1558"/>
      <c r="AE8" s="1558"/>
      <c r="AF8" s="1558"/>
      <c r="AG8" s="1558"/>
      <c r="AH8" s="1558"/>
      <c r="AI8" s="1558"/>
      <c r="AJ8" s="1558"/>
      <c r="AK8" s="1558"/>
      <c r="AL8" s="1"/>
    </row>
    <row r="9" spans="1:38">
      <c r="A9" s="283"/>
      <c r="B9" s="1"/>
      <c r="C9" s="358"/>
      <c r="D9" s="1558"/>
      <c r="E9" s="1558"/>
      <c r="F9" s="1558"/>
      <c r="G9" s="1558"/>
      <c r="H9" s="1558"/>
      <c r="I9" s="1558"/>
      <c r="J9" s="1558"/>
      <c r="K9" s="1558"/>
      <c r="L9" s="1558"/>
      <c r="M9" s="1558"/>
      <c r="N9" s="1558"/>
      <c r="O9" s="1558"/>
      <c r="P9" s="1558"/>
      <c r="Q9" s="1558"/>
      <c r="R9" s="1558"/>
      <c r="S9" s="1558"/>
      <c r="T9" s="1558"/>
      <c r="U9" s="1558"/>
      <c r="V9" s="1558"/>
      <c r="W9" s="1558"/>
      <c r="X9" s="1558"/>
      <c r="Y9" s="1558"/>
      <c r="Z9" s="1558"/>
      <c r="AA9" s="1558"/>
      <c r="AB9" s="1558"/>
      <c r="AC9" s="1558"/>
      <c r="AD9" s="1558"/>
      <c r="AE9" s="1558"/>
      <c r="AF9" s="1558"/>
      <c r="AG9" s="1558"/>
      <c r="AH9" s="1558"/>
      <c r="AI9" s="1558"/>
      <c r="AJ9" s="1558"/>
      <c r="AK9" s="1558"/>
      <c r="AL9" s="1"/>
    </row>
    <row r="10" spans="1:38">
      <c r="A10" s="283"/>
      <c r="B10" s="1"/>
      <c r="C10" s="358"/>
      <c r="D10" s="1558"/>
      <c r="E10" s="1558"/>
      <c r="F10" s="1558"/>
      <c r="G10" s="1558"/>
      <c r="H10" s="1558"/>
      <c r="I10" s="1558"/>
      <c r="J10" s="1558"/>
      <c r="K10" s="1558"/>
      <c r="L10" s="1558"/>
      <c r="M10" s="1558"/>
      <c r="N10" s="1558"/>
      <c r="O10" s="1558"/>
      <c r="P10" s="1558"/>
      <c r="Q10" s="1558"/>
      <c r="R10" s="1558"/>
      <c r="S10" s="1558"/>
      <c r="T10" s="1558"/>
      <c r="U10" s="1558"/>
      <c r="V10" s="1558"/>
      <c r="W10" s="1558"/>
      <c r="X10" s="1558"/>
      <c r="Y10" s="1558"/>
      <c r="Z10" s="1558"/>
      <c r="AA10" s="1558"/>
      <c r="AB10" s="1558"/>
      <c r="AC10" s="1558"/>
      <c r="AD10" s="1558"/>
      <c r="AE10" s="1558"/>
      <c r="AF10" s="1558"/>
      <c r="AG10" s="1558"/>
      <c r="AH10" s="1558"/>
      <c r="AI10" s="1558"/>
      <c r="AJ10" s="1558"/>
      <c r="AK10" s="1558"/>
      <c r="AL10" s="1"/>
    </row>
    <row r="11" spans="1:38">
      <c r="A11" s="283"/>
      <c r="B11" s="1"/>
      <c r="C11" s="358"/>
      <c r="D11" s="1558"/>
      <c r="E11" s="1558"/>
      <c r="F11" s="1558"/>
      <c r="G11" s="1558"/>
      <c r="H11" s="1558"/>
      <c r="I11" s="1558"/>
      <c r="J11" s="1558"/>
      <c r="K11" s="1558"/>
      <c r="L11" s="1558"/>
      <c r="M11" s="1558"/>
      <c r="N11" s="1558"/>
      <c r="O11" s="1558"/>
      <c r="P11" s="1558"/>
      <c r="Q11" s="1558"/>
      <c r="R11" s="1558"/>
      <c r="S11" s="1558"/>
      <c r="T11" s="1558"/>
      <c r="U11" s="1558"/>
      <c r="V11" s="1558"/>
      <c r="W11" s="1558"/>
      <c r="X11" s="1558"/>
      <c r="Y11" s="1558"/>
      <c r="Z11" s="1558"/>
      <c r="AA11" s="1558"/>
      <c r="AB11" s="1558"/>
      <c r="AC11" s="1558"/>
      <c r="AD11" s="1558"/>
      <c r="AE11" s="1558"/>
      <c r="AF11" s="1558"/>
      <c r="AG11" s="1558"/>
      <c r="AH11" s="1558"/>
      <c r="AI11" s="1558"/>
      <c r="AJ11" s="1558"/>
      <c r="AK11" s="1558"/>
      <c r="AL11" s="1"/>
    </row>
    <row r="12" spans="1:38">
      <c r="A12" s="283"/>
      <c r="B12" s="1"/>
      <c r="C12" s="3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c r="AD12" s="1558"/>
      <c r="AE12" s="1558"/>
      <c r="AF12" s="1558"/>
      <c r="AG12" s="1558"/>
      <c r="AH12" s="1558"/>
      <c r="AI12" s="1558"/>
      <c r="AJ12" s="1558"/>
      <c r="AK12" s="1558"/>
      <c r="AL12" s="1"/>
    </row>
    <row r="13" spans="1:38">
      <c r="A13" s="283"/>
      <c r="B13" s="1"/>
      <c r="C13" s="358"/>
      <c r="D13" s="1558"/>
      <c r="E13" s="1558"/>
      <c r="F13" s="1558"/>
      <c r="G13" s="1558"/>
      <c r="H13" s="1558"/>
      <c r="I13" s="1558"/>
      <c r="J13" s="1558"/>
      <c r="K13" s="1558"/>
      <c r="L13" s="1558"/>
      <c r="M13" s="1558"/>
      <c r="N13" s="1558"/>
      <c r="O13" s="1558"/>
      <c r="P13" s="1558"/>
      <c r="Q13" s="1558"/>
      <c r="R13" s="1558"/>
      <c r="S13" s="1558"/>
      <c r="T13" s="1558"/>
      <c r="U13" s="1558"/>
      <c r="V13" s="1558"/>
      <c r="W13" s="1558"/>
      <c r="X13" s="1558"/>
      <c r="Y13" s="1558"/>
      <c r="Z13" s="1558"/>
      <c r="AA13" s="1558"/>
      <c r="AB13" s="1558"/>
      <c r="AC13" s="1558"/>
      <c r="AD13" s="1558"/>
      <c r="AE13" s="1558"/>
      <c r="AF13" s="1558"/>
      <c r="AG13" s="1558"/>
      <c r="AH13" s="1558"/>
      <c r="AI13" s="1558"/>
      <c r="AJ13" s="1558"/>
      <c r="AK13" s="1558"/>
      <c r="AL13" s="1"/>
    </row>
    <row r="14" spans="1:38">
      <c r="A14" s="283"/>
      <c r="B14" s="1"/>
      <c r="C14" s="358"/>
      <c r="D14" s="1558"/>
      <c r="E14" s="1558"/>
      <c r="F14" s="1558"/>
      <c r="G14" s="1558"/>
      <c r="H14" s="1558"/>
      <c r="I14" s="1558"/>
      <c r="J14" s="1558"/>
      <c r="K14" s="1558"/>
      <c r="L14" s="1558"/>
      <c r="M14" s="1558"/>
      <c r="N14" s="1558"/>
      <c r="O14" s="1558"/>
      <c r="P14" s="1558"/>
      <c r="Q14" s="1558"/>
      <c r="R14" s="1558"/>
      <c r="S14" s="1558"/>
      <c r="T14" s="1558"/>
      <c r="U14" s="1558"/>
      <c r="V14" s="1558"/>
      <c r="W14" s="1558"/>
      <c r="X14" s="1558"/>
      <c r="Y14" s="1558"/>
      <c r="Z14" s="1558"/>
      <c r="AA14" s="1558"/>
      <c r="AB14" s="1558"/>
      <c r="AC14" s="1558"/>
      <c r="AD14" s="1558"/>
      <c r="AE14" s="1558"/>
      <c r="AF14" s="1558"/>
      <c r="AG14" s="1558"/>
      <c r="AH14" s="1558"/>
      <c r="AI14" s="1558"/>
      <c r="AJ14" s="1558"/>
      <c r="AK14" s="1558"/>
      <c r="AL14" s="1"/>
    </row>
    <row r="15" spans="1:38">
      <c r="A15" s="283"/>
      <c r="B15" s="1"/>
      <c r="C15" s="358"/>
      <c r="D15" s="1558"/>
      <c r="E15" s="1558"/>
      <c r="F15" s="1558"/>
      <c r="G15" s="1558"/>
      <c r="H15" s="1558"/>
      <c r="I15" s="1558"/>
      <c r="J15" s="1558"/>
      <c r="K15" s="1558"/>
      <c r="L15" s="1558"/>
      <c r="M15" s="1558"/>
      <c r="N15" s="1558"/>
      <c r="O15" s="1558"/>
      <c r="P15" s="1558"/>
      <c r="Q15" s="1558"/>
      <c r="R15" s="1558"/>
      <c r="S15" s="1558"/>
      <c r="T15" s="1558"/>
      <c r="U15" s="1558"/>
      <c r="V15" s="1558"/>
      <c r="W15" s="1558"/>
      <c r="X15" s="1558"/>
      <c r="Y15" s="1558"/>
      <c r="Z15" s="1558"/>
      <c r="AA15" s="1558"/>
      <c r="AB15" s="1558"/>
      <c r="AC15" s="1558"/>
      <c r="AD15" s="1558"/>
      <c r="AE15" s="1558"/>
      <c r="AF15" s="1558"/>
      <c r="AG15" s="1558"/>
      <c r="AH15" s="1558"/>
      <c r="AI15" s="1558"/>
      <c r="AJ15" s="1558"/>
      <c r="AK15" s="1558"/>
      <c r="AL15" s="1"/>
    </row>
    <row r="16" spans="1:38">
      <c r="A16" s="283"/>
      <c r="B16" s="1"/>
      <c r="C16" s="358"/>
      <c r="D16" s="1558"/>
      <c r="E16" s="1558"/>
      <c r="F16" s="1558"/>
      <c r="G16" s="1558"/>
      <c r="H16" s="1558"/>
      <c r="I16" s="1558"/>
      <c r="J16" s="1558"/>
      <c r="K16" s="1558"/>
      <c r="L16" s="1558"/>
      <c r="M16" s="1558"/>
      <c r="N16" s="1558"/>
      <c r="O16" s="1558"/>
      <c r="P16" s="1558"/>
      <c r="Q16" s="1558"/>
      <c r="R16" s="1558"/>
      <c r="S16" s="1558"/>
      <c r="T16" s="1558"/>
      <c r="U16" s="1558"/>
      <c r="V16" s="1558"/>
      <c r="W16" s="1558"/>
      <c r="X16" s="1558"/>
      <c r="Y16" s="1558"/>
      <c r="Z16" s="1558"/>
      <c r="AA16" s="1558"/>
      <c r="AB16" s="1558"/>
      <c r="AC16" s="1558"/>
      <c r="AD16" s="1558"/>
      <c r="AE16" s="1558"/>
      <c r="AF16" s="1558"/>
      <c r="AG16" s="1558"/>
      <c r="AH16" s="1558"/>
      <c r="AI16" s="1558"/>
      <c r="AJ16" s="1558"/>
      <c r="AK16" s="1558"/>
      <c r="AL16" s="1"/>
    </row>
    <row r="17" spans="1:38">
      <c r="A17" s="283"/>
      <c r="B17" s="1"/>
      <c r="C17" s="358"/>
      <c r="D17" s="1558"/>
      <c r="E17" s="1558"/>
      <c r="F17" s="1558"/>
      <c r="G17" s="1558"/>
      <c r="H17" s="1558"/>
      <c r="I17" s="1558"/>
      <c r="J17" s="1558"/>
      <c r="K17" s="1558"/>
      <c r="L17" s="1558"/>
      <c r="M17" s="1558"/>
      <c r="N17" s="1558"/>
      <c r="O17" s="1558"/>
      <c r="P17" s="1558"/>
      <c r="Q17" s="1558"/>
      <c r="R17" s="1558"/>
      <c r="S17" s="1558"/>
      <c r="T17" s="1558"/>
      <c r="U17" s="1558"/>
      <c r="V17" s="1558"/>
      <c r="W17" s="1558"/>
      <c r="X17" s="1558"/>
      <c r="Y17" s="1558"/>
      <c r="Z17" s="1558"/>
      <c r="AA17" s="1558"/>
      <c r="AB17" s="1558"/>
      <c r="AC17" s="1558"/>
      <c r="AD17" s="1558"/>
      <c r="AE17" s="1558"/>
      <c r="AF17" s="1558"/>
      <c r="AG17" s="1558"/>
      <c r="AH17" s="1558"/>
      <c r="AI17" s="1558"/>
      <c r="AJ17" s="1558"/>
      <c r="AK17" s="1558"/>
      <c r="AL17" s="1"/>
    </row>
    <row r="18" spans="1:38" ht="10.95" customHeight="1">
      <c r="A18" s="283"/>
      <c r="B18" s="1"/>
      <c r="C18" s="358"/>
      <c r="D18" s="1558"/>
      <c r="E18" s="1558"/>
      <c r="F18" s="1558"/>
      <c r="G18" s="1558"/>
      <c r="H18" s="1558"/>
      <c r="I18" s="1558"/>
      <c r="J18" s="1558"/>
      <c r="K18" s="1558"/>
      <c r="L18" s="1558"/>
      <c r="M18" s="1558"/>
      <c r="N18" s="1558"/>
      <c r="O18" s="1558"/>
      <c r="P18" s="1558"/>
      <c r="Q18" s="1558"/>
      <c r="R18" s="1558"/>
      <c r="S18" s="1558"/>
      <c r="T18" s="1558"/>
      <c r="U18" s="1558"/>
      <c r="V18" s="1558"/>
      <c r="W18" s="1558"/>
      <c r="X18" s="1558"/>
      <c r="Y18" s="1558"/>
      <c r="Z18" s="1558"/>
      <c r="AA18" s="1558"/>
      <c r="AB18" s="1558"/>
      <c r="AC18" s="1558"/>
      <c r="AD18" s="1558"/>
      <c r="AE18" s="1558"/>
      <c r="AF18" s="1558"/>
      <c r="AG18" s="1558"/>
      <c r="AH18" s="1558"/>
      <c r="AI18" s="1558"/>
      <c r="AJ18" s="1558"/>
      <c r="AK18" s="1558"/>
      <c r="AL18" s="1"/>
    </row>
    <row r="19" spans="1:38" ht="13.95" customHeight="1">
      <c r="A19" s="283"/>
      <c r="B19" s="1"/>
      <c r="C19" s="358"/>
      <c r="D19" s="1558" t="s">
        <v>2317</v>
      </c>
      <c r="E19" s="1558"/>
      <c r="F19" s="1558"/>
      <c r="G19" s="1558"/>
      <c r="H19" s="1558"/>
      <c r="I19" s="1558"/>
      <c r="J19" s="1558"/>
      <c r="K19" s="1558"/>
      <c r="L19" s="1558"/>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
    </row>
    <row r="20" spans="1:38">
      <c r="A20" s="283"/>
      <c r="B20" s="1"/>
      <c r="C20" s="358"/>
      <c r="D20" s="1558"/>
      <c r="E20" s="1558"/>
      <c r="F20" s="1558"/>
      <c r="G20" s="1558"/>
      <c r="H20" s="1558"/>
      <c r="I20" s="1558"/>
      <c r="J20" s="1558"/>
      <c r="K20" s="1558"/>
      <c r="L20" s="1558"/>
      <c r="M20" s="1558"/>
      <c r="N20" s="1558"/>
      <c r="O20" s="1558"/>
      <c r="P20" s="1558"/>
      <c r="Q20" s="1558"/>
      <c r="R20" s="1558"/>
      <c r="S20" s="1558"/>
      <c r="T20" s="1558"/>
      <c r="U20" s="1558"/>
      <c r="V20" s="1558"/>
      <c r="W20" s="1558"/>
      <c r="X20" s="1558"/>
      <c r="Y20" s="1558"/>
      <c r="Z20" s="1558"/>
      <c r="AA20" s="1558"/>
      <c r="AB20" s="1558"/>
      <c r="AC20" s="1558"/>
      <c r="AD20" s="1558"/>
      <c r="AE20" s="1558"/>
      <c r="AF20" s="1558"/>
      <c r="AG20" s="1558"/>
      <c r="AH20" s="1558"/>
      <c r="AI20" s="1558"/>
      <c r="AJ20" s="1558"/>
      <c r="AK20" s="1558"/>
      <c r="AL20" s="1"/>
    </row>
    <row r="21" spans="1:38">
      <c r="A21" s="283"/>
      <c r="B21" s="1"/>
      <c r="C21" s="358"/>
      <c r="D21" s="1558"/>
      <c r="E21" s="1558"/>
      <c r="F21" s="1558"/>
      <c r="G21" s="1558"/>
      <c r="H21" s="1558"/>
      <c r="I21" s="1558"/>
      <c r="J21" s="1558"/>
      <c r="K21" s="1558"/>
      <c r="L21" s="1558"/>
      <c r="M21" s="1558"/>
      <c r="N21" s="1558"/>
      <c r="O21" s="1558"/>
      <c r="P21" s="1558"/>
      <c r="Q21" s="1558"/>
      <c r="R21" s="1558"/>
      <c r="S21" s="1558"/>
      <c r="T21" s="1558"/>
      <c r="U21" s="1558"/>
      <c r="V21" s="1558"/>
      <c r="W21" s="1558"/>
      <c r="X21" s="1558"/>
      <c r="Y21" s="1558"/>
      <c r="Z21" s="1558"/>
      <c r="AA21" s="1558"/>
      <c r="AB21" s="1558"/>
      <c r="AC21" s="1558"/>
      <c r="AD21" s="1558"/>
      <c r="AE21" s="1558"/>
      <c r="AF21" s="1558"/>
      <c r="AG21" s="1558"/>
      <c r="AH21" s="1558"/>
      <c r="AI21" s="1558"/>
      <c r="AJ21" s="1558"/>
      <c r="AK21" s="1558"/>
      <c r="AL21" s="1"/>
    </row>
    <row r="22" spans="1:38">
      <c r="A22" s="283"/>
      <c r="B22" s="1"/>
      <c r="C22" s="358"/>
      <c r="D22" s="1558"/>
      <c r="E22" s="1558"/>
      <c r="F22" s="1558"/>
      <c r="G22" s="1558"/>
      <c r="H22" s="1558"/>
      <c r="I22" s="1558"/>
      <c r="J22" s="1558"/>
      <c r="K22" s="1558"/>
      <c r="L22" s="1558"/>
      <c r="M22" s="1558"/>
      <c r="N22" s="1558"/>
      <c r="O22" s="1558"/>
      <c r="P22" s="1558"/>
      <c r="Q22" s="1558"/>
      <c r="R22" s="1558"/>
      <c r="S22" s="1558"/>
      <c r="T22" s="1558"/>
      <c r="U22" s="1558"/>
      <c r="V22" s="1558"/>
      <c r="W22" s="1558"/>
      <c r="X22" s="1558"/>
      <c r="Y22" s="1558"/>
      <c r="Z22" s="1558"/>
      <c r="AA22" s="1558"/>
      <c r="AB22" s="1558"/>
      <c r="AC22" s="1558"/>
      <c r="AD22" s="1558"/>
      <c r="AE22" s="1558"/>
      <c r="AF22" s="1558"/>
      <c r="AG22" s="1558"/>
      <c r="AH22" s="1558"/>
      <c r="AI22" s="1558"/>
      <c r="AJ22" s="1558"/>
      <c r="AK22" s="1558"/>
      <c r="AL22" s="1"/>
    </row>
    <row r="23" spans="1:38">
      <c r="A23" s="283"/>
      <c r="B23" s="1"/>
      <c r="C23" s="358"/>
      <c r="D23" s="1558"/>
      <c r="E23" s="1558"/>
      <c r="F23" s="1558"/>
      <c r="G23" s="1558"/>
      <c r="H23" s="1558"/>
      <c r="I23" s="1558"/>
      <c r="J23" s="1558"/>
      <c r="K23" s="1558"/>
      <c r="L23" s="1558"/>
      <c r="M23" s="1558"/>
      <c r="N23" s="1558"/>
      <c r="O23" s="1558"/>
      <c r="P23" s="1558"/>
      <c r="Q23" s="1558"/>
      <c r="R23" s="1558"/>
      <c r="S23" s="1558"/>
      <c r="T23" s="1558"/>
      <c r="U23" s="1558"/>
      <c r="V23" s="1558"/>
      <c r="W23" s="1558"/>
      <c r="X23" s="1558"/>
      <c r="Y23" s="1558"/>
      <c r="Z23" s="1558"/>
      <c r="AA23" s="1558"/>
      <c r="AB23" s="1558"/>
      <c r="AC23" s="1558"/>
      <c r="AD23" s="1558"/>
      <c r="AE23" s="1558"/>
      <c r="AF23" s="1558"/>
      <c r="AG23" s="1558"/>
      <c r="AH23" s="1558"/>
      <c r="AI23" s="1558"/>
      <c r="AJ23" s="1558"/>
      <c r="AK23" s="1558"/>
      <c r="AL23" s="1"/>
    </row>
    <row r="24" spans="1:38">
      <c r="A24" s="283"/>
      <c r="B24" s="1"/>
      <c r="C24" s="358"/>
      <c r="D24" s="1558"/>
      <c r="E24" s="1558"/>
      <c r="F24" s="1558"/>
      <c r="G24" s="1558"/>
      <c r="H24" s="1558"/>
      <c r="I24" s="1558"/>
      <c r="J24" s="1558"/>
      <c r="K24" s="1558"/>
      <c r="L24" s="1558"/>
      <c r="M24" s="1558"/>
      <c r="N24" s="1558"/>
      <c r="O24" s="1558"/>
      <c r="P24" s="1558"/>
      <c r="Q24" s="1558"/>
      <c r="R24" s="1558"/>
      <c r="S24" s="1558"/>
      <c r="T24" s="1558"/>
      <c r="U24" s="1558"/>
      <c r="V24" s="1558"/>
      <c r="W24" s="1558"/>
      <c r="X24" s="1558"/>
      <c r="Y24" s="1558"/>
      <c r="Z24" s="1558"/>
      <c r="AA24" s="1558"/>
      <c r="AB24" s="1558"/>
      <c r="AC24" s="1558"/>
      <c r="AD24" s="1558"/>
      <c r="AE24" s="1558"/>
      <c r="AF24" s="1558"/>
      <c r="AG24" s="1558"/>
      <c r="AH24" s="1558"/>
      <c r="AI24" s="1558"/>
      <c r="AJ24" s="1558"/>
      <c r="AK24" s="1558"/>
      <c r="AL24" s="1"/>
    </row>
    <row r="25" spans="1:38">
      <c r="A25" s="283"/>
      <c r="B25" s="1"/>
      <c r="C25" s="358"/>
      <c r="D25" s="1558"/>
      <c r="E25" s="1558"/>
      <c r="F25" s="1558"/>
      <c r="G25" s="1558"/>
      <c r="H25" s="1558"/>
      <c r="I25" s="1558"/>
      <c r="J25" s="1558"/>
      <c r="K25" s="1558"/>
      <c r="L25" s="1558"/>
      <c r="M25" s="1558"/>
      <c r="N25" s="1558"/>
      <c r="O25" s="1558"/>
      <c r="P25" s="1558"/>
      <c r="Q25" s="1558"/>
      <c r="R25" s="1558"/>
      <c r="S25" s="1558"/>
      <c r="T25" s="1558"/>
      <c r="U25" s="1558"/>
      <c r="V25" s="1558"/>
      <c r="W25" s="1558"/>
      <c r="X25" s="1558"/>
      <c r="Y25" s="1558"/>
      <c r="Z25" s="1558"/>
      <c r="AA25" s="1558"/>
      <c r="AB25" s="1558"/>
      <c r="AC25" s="1558"/>
      <c r="AD25" s="1558"/>
      <c r="AE25" s="1558"/>
      <c r="AF25" s="1558"/>
      <c r="AG25" s="1558"/>
      <c r="AH25" s="1558"/>
      <c r="AI25" s="1558"/>
      <c r="AJ25" s="1558"/>
      <c r="AK25" s="1558"/>
      <c r="AL25" s="1"/>
    </row>
    <row r="26" spans="1:38">
      <c r="A26" s="283"/>
      <c r="B26" s="1"/>
      <c r="C26" s="358"/>
      <c r="D26" s="288"/>
      <c r="E26" s="1569" t="s">
        <v>2318</v>
      </c>
      <c r="F26" s="1569"/>
      <c r="G26" s="1569"/>
      <c r="H26" s="1569"/>
      <c r="I26" s="1569"/>
      <c r="J26" s="1569"/>
      <c r="K26" s="1569"/>
      <c r="L26" s="1569"/>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1"/>
    </row>
    <row r="27" spans="1:38">
      <c r="A27" s="283"/>
      <c r="B27" s="1"/>
      <c r="C27" s="358"/>
      <c r="D27" s="272"/>
      <c r="E27" s="1569" t="s">
        <v>2042</v>
      </c>
      <c r="F27" s="1569"/>
      <c r="G27" s="1569"/>
      <c r="H27" s="1569"/>
      <c r="I27" s="1569"/>
      <c r="J27" s="1569"/>
      <c r="K27" s="1569"/>
      <c r="L27" s="1569"/>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569"/>
      <c r="AK27" s="156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8" t="s">
        <v>2314</v>
      </c>
      <c r="E29" s="1568"/>
      <c r="F29" s="1568"/>
      <c r="G29" s="1568"/>
      <c r="H29" s="1568"/>
      <c r="I29" s="1568"/>
      <c r="J29" s="1568"/>
      <c r="K29" s="1568"/>
      <c r="L29" s="1568"/>
      <c r="M29" s="1568"/>
      <c r="N29" s="1568"/>
      <c r="O29" s="1568"/>
      <c r="P29" s="1568"/>
      <c r="Q29" s="1568"/>
      <c r="R29" s="1568"/>
      <c r="S29" s="1568"/>
      <c r="T29" s="1568"/>
      <c r="U29" s="1568"/>
      <c r="V29" s="1568"/>
      <c r="W29" s="1568"/>
      <c r="X29" s="1568"/>
      <c r="Y29" s="1568"/>
      <c r="Z29" s="1568"/>
      <c r="AA29" s="1568"/>
      <c r="AB29" s="1568"/>
      <c r="AC29" s="1568"/>
      <c r="AD29" s="1568"/>
      <c r="AE29" s="1568"/>
      <c r="AF29" s="1568"/>
      <c r="AG29" s="1568"/>
      <c r="AH29" s="1568"/>
      <c r="AI29" s="1568"/>
      <c r="AJ29" s="1568"/>
      <c r="AK29" s="1568"/>
      <c r="AL29" s="1"/>
    </row>
    <row r="30" spans="1:38">
      <c r="A30" s="283"/>
      <c r="B30" s="1"/>
      <c r="C30" s="1"/>
      <c r="D30" s="1568"/>
      <c r="E30" s="1568"/>
      <c r="F30" s="1568"/>
      <c r="G30" s="1568"/>
      <c r="H30" s="1568"/>
      <c r="I30" s="1568"/>
      <c r="J30" s="1568"/>
      <c r="K30" s="1568"/>
      <c r="L30" s="1568"/>
      <c r="M30" s="1568"/>
      <c r="N30" s="1568"/>
      <c r="O30" s="1568"/>
      <c r="P30" s="1568"/>
      <c r="Q30" s="1568"/>
      <c r="R30" s="1568"/>
      <c r="S30" s="1568"/>
      <c r="T30" s="1568"/>
      <c r="U30" s="1568"/>
      <c r="V30" s="1568"/>
      <c r="W30" s="1568"/>
      <c r="X30" s="1568"/>
      <c r="Y30" s="1568"/>
      <c r="Z30" s="1568"/>
      <c r="AA30" s="1568"/>
      <c r="AB30" s="1568"/>
      <c r="AC30" s="1568"/>
      <c r="AD30" s="1568"/>
      <c r="AE30" s="1568"/>
      <c r="AF30" s="1568"/>
      <c r="AG30" s="1568"/>
      <c r="AH30" s="1568"/>
      <c r="AI30" s="1568"/>
      <c r="AJ30" s="1568"/>
      <c r="AK30" s="1568"/>
      <c r="AL30" s="1"/>
    </row>
    <row r="31" spans="1:38">
      <c r="A31" s="283"/>
      <c r="B31" s="1"/>
      <c r="C31" s="1"/>
      <c r="D31" s="1067"/>
      <c r="E31" s="1570" t="s">
        <v>1422</v>
      </c>
      <c r="F31" s="1570"/>
      <c r="G31" s="1570"/>
      <c r="H31" s="1570"/>
      <c r="I31" s="1570"/>
      <c r="J31" s="1570"/>
      <c r="K31" s="1570"/>
      <c r="L31" s="1570"/>
      <c r="M31" s="1570"/>
      <c r="N31" s="1570"/>
      <c r="O31" s="1570"/>
      <c r="P31" s="1570"/>
      <c r="Q31" s="1570"/>
      <c r="R31" s="1570"/>
      <c r="S31" s="1570"/>
      <c r="T31" s="1570"/>
      <c r="U31" s="1570"/>
      <c r="V31" s="1570"/>
      <c r="W31" s="1570"/>
      <c r="X31" s="1570"/>
      <c r="Y31" s="1570"/>
      <c r="Z31" s="1570"/>
      <c r="AA31" s="1570"/>
      <c r="AB31" s="1570"/>
      <c r="AC31" s="1570"/>
      <c r="AD31" s="1570"/>
      <c r="AE31" s="1570"/>
      <c r="AF31" s="1570"/>
      <c r="AG31" s="1570"/>
      <c r="AH31" s="1570"/>
      <c r="AI31" s="1570"/>
      <c r="AJ31" s="1570"/>
      <c r="AK31" s="1570"/>
      <c r="AL31" s="1"/>
    </row>
    <row r="32" spans="1:38">
      <c r="A32" s="283"/>
      <c r="B32" s="1"/>
      <c r="C32" s="1"/>
      <c r="D32" s="1067"/>
      <c r="E32" s="1570" t="s">
        <v>1266</v>
      </c>
      <c r="F32" s="1570"/>
      <c r="G32" s="1570"/>
      <c r="H32" s="1570"/>
      <c r="I32" s="1570"/>
      <c r="J32" s="1570"/>
      <c r="K32" s="1570"/>
      <c r="L32" s="1570"/>
      <c r="M32" s="1570"/>
      <c r="N32" s="1570"/>
      <c r="O32" s="1570"/>
      <c r="P32" s="1570"/>
      <c r="Q32" s="1570"/>
      <c r="R32" s="1570"/>
      <c r="S32" s="1570"/>
      <c r="T32" s="1570"/>
      <c r="U32" s="1570"/>
      <c r="V32" s="1570"/>
      <c r="W32" s="1570"/>
      <c r="X32" s="1570"/>
      <c r="Y32" s="1570"/>
      <c r="Z32" s="1570"/>
      <c r="AA32" s="1570"/>
      <c r="AB32" s="1570"/>
      <c r="AC32" s="1570"/>
      <c r="AD32" s="1570"/>
      <c r="AE32" s="1570"/>
      <c r="AF32" s="1570"/>
      <c r="AG32" s="1570"/>
      <c r="AH32" s="1570"/>
      <c r="AI32" s="1570"/>
      <c r="AJ32" s="1570"/>
      <c r="AK32" s="157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8" t="s">
        <v>1900</v>
      </c>
      <c r="G36" s="1558"/>
      <c r="H36" s="1558"/>
      <c r="I36" s="1558"/>
      <c r="J36" s="1558"/>
      <c r="K36" s="1558"/>
      <c r="L36" s="1558"/>
      <c r="M36" s="1558"/>
      <c r="N36" s="1558"/>
      <c r="O36" s="1558"/>
      <c r="P36" s="1558"/>
      <c r="Q36" s="1558"/>
      <c r="R36" s="1558"/>
      <c r="S36" s="1558"/>
      <c r="T36" s="1558"/>
      <c r="U36" s="1558"/>
      <c r="V36" s="1558"/>
      <c r="W36" s="1558"/>
      <c r="X36" s="1558"/>
      <c r="Y36" s="1558"/>
      <c r="Z36" s="1558"/>
      <c r="AA36" s="1558"/>
      <c r="AB36" s="1558"/>
      <c r="AC36" s="1558"/>
      <c r="AD36" s="1558"/>
      <c r="AE36" s="1558"/>
      <c r="AF36" s="1558"/>
      <c r="AG36" s="1558"/>
      <c r="AH36" s="1558"/>
      <c r="AI36" s="1558"/>
      <c r="AJ36" s="1558"/>
      <c r="AK36" s="1558"/>
      <c r="AL36" s="1"/>
    </row>
    <row r="37" spans="1:38">
      <c r="A37" s="283"/>
      <c r="B37" s="1"/>
      <c r="C37" s="358"/>
      <c r="D37" s="283"/>
      <c r="E37" s="283"/>
      <c r="F37" s="1558"/>
      <c r="G37" s="1558"/>
      <c r="H37" s="1558"/>
      <c r="I37" s="1558"/>
      <c r="J37" s="1558"/>
      <c r="K37" s="1558"/>
      <c r="L37" s="1558"/>
      <c r="M37" s="1558"/>
      <c r="N37" s="1558"/>
      <c r="O37" s="1558"/>
      <c r="P37" s="1558"/>
      <c r="Q37" s="1558"/>
      <c r="R37" s="1558"/>
      <c r="S37" s="1558"/>
      <c r="T37" s="1558"/>
      <c r="U37" s="1558"/>
      <c r="V37" s="1558"/>
      <c r="W37" s="1558"/>
      <c r="X37" s="1558"/>
      <c r="Y37" s="1558"/>
      <c r="Z37" s="1558"/>
      <c r="AA37" s="1558"/>
      <c r="AB37" s="1558"/>
      <c r="AC37" s="1558"/>
      <c r="AD37" s="1558"/>
      <c r="AE37" s="1558"/>
      <c r="AF37" s="1558"/>
      <c r="AG37" s="1558"/>
      <c r="AH37" s="1558"/>
      <c r="AI37" s="1558"/>
      <c r="AJ37" s="1558"/>
      <c r="AK37" s="1558"/>
      <c r="AL37" s="1"/>
    </row>
    <row r="38" spans="1:38">
      <c r="A38" s="283"/>
      <c r="B38" s="1"/>
      <c r="C38" s="358"/>
      <c r="D38" s="283"/>
      <c r="E38" s="283"/>
      <c r="F38" s="1060"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0"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0"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95" customHeight="1">
      <c r="A42" s="283"/>
      <c r="B42" s="1"/>
      <c r="C42" s="358"/>
      <c r="D42" s="283"/>
      <c r="E42" s="283" t="s">
        <v>594</v>
      </c>
      <c r="F42" s="1558" t="s">
        <v>2130</v>
      </c>
      <c r="G42" s="1558"/>
      <c r="H42" s="1558"/>
      <c r="I42" s="1558"/>
      <c r="J42" s="1558"/>
      <c r="K42" s="1558"/>
      <c r="L42" s="1558"/>
      <c r="M42" s="1558"/>
      <c r="N42" s="1558"/>
      <c r="O42" s="1558"/>
      <c r="P42" s="1558"/>
      <c r="Q42" s="1558"/>
      <c r="R42" s="1558"/>
      <c r="S42" s="1558"/>
      <c r="T42" s="1558"/>
      <c r="U42" s="1558"/>
      <c r="V42" s="1558"/>
      <c r="W42" s="1558"/>
      <c r="X42" s="1558"/>
      <c r="Y42" s="1558"/>
      <c r="Z42" s="1558"/>
      <c r="AA42" s="1558"/>
      <c r="AB42" s="1558"/>
      <c r="AC42" s="1558"/>
      <c r="AD42" s="1558"/>
      <c r="AE42" s="1558"/>
      <c r="AF42" s="1558"/>
      <c r="AG42" s="1558"/>
      <c r="AH42" s="1558"/>
      <c r="AI42" s="1558"/>
      <c r="AJ42" s="1558"/>
      <c r="AK42" s="1558"/>
      <c r="AL42" s="1"/>
    </row>
    <row r="43" spans="1:38">
      <c r="A43" s="283"/>
      <c r="B43" s="1"/>
      <c r="C43" s="358"/>
      <c r="D43" s="283"/>
      <c r="E43" s="283"/>
      <c r="F43" s="1558"/>
      <c r="G43" s="1558"/>
      <c r="H43" s="1558"/>
      <c r="I43" s="1558"/>
      <c r="J43" s="1558"/>
      <c r="K43" s="1558"/>
      <c r="L43" s="1558"/>
      <c r="M43" s="1558"/>
      <c r="N43" s="1558"/>
      <c r="O43" s="1558"/>
      <c r="P43" s="1558"/>
      <c r="Q43" s="1558"/>
      <c r="R43" s="1558"/>
      <c r="S43" s="1558"/>
      <c r="T43" s="1558"/>
      <c r="U43" s="1558"/>
      <c r="V43" s="1558"/>
      <c r="W43" s="1558"/>
      <c r="X43" s="1558"/>
      <c r="Y43" s="1558"/>
      <c r="Z43" s="1558"/>
      <c r="AA43" s="1558"/>
      <c r="AB43" s="1558"/>
      <c r="AC43" s="1558"/>
      <c r="AD43" s="1558"/>
      <c r="AE43" s="1558"/>
      <c r="AF43" s="1558"/>
      <c r="AG43" s="1558"/>
      <c r="AH43" s="1558"/>
      <c r="AI43" s="1558"/>
      <c r="AJ43" s="1558"/>
      <c r="AK43" s="1558"/>
      <c r="AL43" s="1"/>
    </row>
    <row r="44" spans="1:38">
      <c r="A44" s="283"/>
      <c r="B44" s="1"/>
      <c r="C44" s="358"/>
      <c r="D44" s="283"/>
      <c r="E44" s="283"/>
      <c r="F44" s="1558"/>
      <c r="G44" s="1558"/>
      <c r="H44" s="1558"/>
      <c r="I44" s="1558"/>
      <c r="J44" s="1558"/>
      <c r="K44" s="1558"/>
      <c r="L44" s="1558"/>
      <c r="M44" s="1558"/>
      <c r="N44" s="1558"/>
      <c r="O44" s="1558"/>
      <c r="P44" s="1558"/>
      <c r="Q44" s="1558"/>
      <c r="R44" s="1558"/>
      <c r="S44" s="1558"/>
      <c r="T44" s="1558"/>
      <c r="U44" s="1558"/>
      <c r="V44" s="1558"/>
      <c r="W44" s="1558"/>
      <c r="X44" s="1558"/>
      <c r="Y44" s="1558"/>
      <c r="Z44" s="1558"/>
      <c r="AA44" s="1558"/>
      <c r="AB44" s="1558"/>
      <c r="AC44" s="1558"/>
      <c r="AD44" s="1558"/>
      <c r="AE44" s="1558"/>
      <c r="AF44" s="1558"/>
      <c r="AG44" s="1558"/>
      <c r="AH44" s="1558"/>
      <c r="AI44" s="1558"/>
      <c r="AJ44" s="1558"/>
      <c r="AK44" s="155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8"/>
      <c r="K46" s="1068"/>
      <c r="L46" s="1068"/>
      <c r="M46" s="1068"/>
      <c r="N46" s="1068"/>
      <c r="O46" s="1064"/>
      <c r="P46" s="1064"/>
      <c r="Q46" s="1064"/>
      <c r="R46" s="1064"/>
      <c r="S46" s="1064"/>
      <c r="T46" s="1064"/>
      <c r="U46" s="1064"/>
      <c r="V46" s="1064"/>
      <c r="W46" s="1064"/>
      <c r="X46" s="1064"/>
      <c r="Y46" s="1064"/>
      <c r="Z46" s="1064"/>
      <c r="AA46" s="1064"/>
      <c r="AB46" s="1064"/>
      <c r="AC46" s="1064"/>
      <c r="AD46" s="1064"/>
      <c r="AE46" s="1064"/>
      <c r="AF46" s="1064"/>
      <c r="AG46" s="358"/>
      <c r="AH46" s="1"/>
      <c r="AI46" s="1"/>
      <c r="AJ46" s="1"/>
      <c r="AK46" s="1"/>
      <c r="AL46" s="1"/>
    </row>
    <row r="47" spans="1:38">
      <c r="A47" s="283"/>
      <c r="B47" s="1"/>
      <c r="C47" s="358"/>
      <c r="D47" s="358"/>
      <c r="E47" s="283" t="s">
        <v>903</v>
      </c>
      <c r="F47" s="1" t="s">
        <v>838</v>
      </c>
      <c r="G47" s="358"/>
      <c r="H47" s="1064"/>
      <c r="I47" s="1064"/>
      <c r="J47" s="1"/>
      <c r="K47" s="1"/>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358"/>
      <c r="AH47" s="1"/>
      <c r="AI47" s="1"/>
      <c r="AJ47" s="1"/>
      <c r="AK47" s="1"/>
      <c r="AL47" s="1"/>
    </row>
    <row r="48" spans="1:38">
      <c r="A48" s="283"/>
      <c r="B48" s="1"/>
      <c r="C48" s="358"/>
      <c r="D48" s="358"/>
      <c r="E48" s="283"/>
      <c r="F48" s="517" t="s">
        <v>641</v>
      </c>
      <c r="G48" s="1560" t="s">
        <v>2132</v>
      </c>
      <c r="H48" s="1560"/>
      <c r="I48" s="1560"/>
      <c r="J48" s="1560"/>
      <c r="K48" s="1560"/>
      <c r="L48" s="1560"/>
      <c r="M48" s="1560"/>
      <c r="N48" s="1560"/>
      <c r="O48" s="1560"/>
      <c r="P48" s="1560"/>
      <c r="Q48" s="1560"/>
      <c r="R48" s="1560"/>
      <c r="S48" s="1560"/>
      <c r="T48" s="1560"/>
      <c r="U48" s="1560"/>
      <c r="V48" s="1560"/>
      <c r="W48" s="1560"/>
      <c r="X48" s="1560"/>
      <c r="Y48" s="1560"/>
      <c r="Z48" s="1560"/>
      <c r="AA48" s="1560"/>
      <c r="AB48" s="1560"/>
      <c r="AC48" s="1560"/>
      <c r="AD48" s="1560"/>
      <c r="AE48" s="1560"/>
      <c r="AF48" s="1560"/>
      <c r="AG48" s="1560"/>
      <c r="AH48" s="1560"/>
      <c r="AI48" s="1560"/>
      <c r="AJ48" s="1560"/>
      <c r="AK48" s="1560"/>
      <c r="AL48" s="1"/>
    </row>
    <row r="49" spans="1:38">
      <c r="A49" s="283"/>
      <c r="B49" s="1"/>
      <c r="C49" s="358"/>
      <c r="D49" s="358"/>
      <c r="E49" s="283"/>
      <c r="F49" s="517"/>
      <c r="G49" s="1560"/>
      <c r="H49" s="1560"/>
      <c r="I49" s="1560"/>
      <c r="J49" s="1560"/>
      <c r="K49" s="1560"/>
      <c r="L49" s="1560"/>
      <c r="M49" s="1560"/>
      <c r="N49" s="1560"/>
      <c r="O49" s="1560"/>
      <c r="P49" s="1560"/>
      <c r="Q49" s="1560"/>
      <c r="R49" s="1560"/>
      <c r="S49" s="1560"/>
      <c r="T49" s="1560"/>
      <c r="U49" s="1560"/>
      <c r="V49" s="1560"/>
      <c r="W49" s="1560"/>
      <c r="X49" s="1560"/>
      <c r="Y49" s="1560"/>
      <c r="Z49" s="1560"/>
      <c r="AA49" s="1560"/>
      <c r="AB49" s="1560"/>
      <c r="AC49" s="1560"/>
      <c r="AD49" s="1560"/>
      <c r="AE49" s="1560"/>
      <c r="AF49" s="1560"/>
      <c r="AG49" s="1560"/>
      <c r="AH49" s="1560"/>
      <c r="AI49" s="1560"/>
      <c r="AJ49" s="1560"/>
      <c r="AK49" s="1560"/>
      <c r="AL49" s="1"/>
    </row>
    <row r="50" spans="1:38">
      <c r="A50" s="283"/>
      <c r="B50" s="1"/>
      <c r="C50" s="358"/>
      <c r="D50" s="358"/>
      <c r="E50" s="283"/>
      <c r="F50" s="517"/>
      <c r="G50" s="1560"/>
      <c r="H50" s="1560"/>
      <c r="I50" s="1560"/>
      <c r="J50" s="1560"/>
      <c r="K50" s="1560"/>
      <c r="L50" s="1560"/>
      <c r="M50" s="1560"/>
      <c r="N50" s="1560"/>
      <c r="O50" s="1560"/>
      <c r="P50" s="1560"/>
      <c r="Q50" s="1560"/>
      <c r="R50" s="1560"/>
      <c r="S50" s="1560"/>
      <c r="T50" s="1560"/>
      <c r="U50" s="1560"/>
      <c r="V50" s="1560"/>
      <c r="W50" s="1560"/>
      <c r="X50" s="1560"/>
      <c r="Y50" s="1560"/>
      <c r="Z50" s="1560"/>
      <c r="AA50" s="1560"/>
      <c r="AB50" s="1560"/>
      <c r="AC50" s="1560"/>
      <c r="AD50" s="1560"/>
      <c r="AE50" s="1560"/>
      <c r="AF50" s="1560"/>
      <c r="AG50" s="1560"/>
      <c r="AH50" s="1560"/>
      <c r="AI50" s="1560"/>
      <c r="AJ50" s="1560"/>
      <c r="AK50" s="1560"/>
      <c r="AL50" s="1"/>
    </row>
    <row r="51" spans="1:38">
      <c r="A51" s="283"/>
      <c r="B51" s="358"/>
      <c r="C51" s="358"/>
      <c r="D51" s="358"/>
      <c r="E51" s="283"/>
      <c r="F51" s="517" t="s">
        <v>214</v>
      </c>
      <c r="G51" s="1561" t="s">
        <v>1901</v>
      </c>
      <c r="H51" s="1561"/>
      <c r="I51" s="1561"/>
      <c r="J51" s="1561"/>
      <c r="K51" s="1561"/>
      <c r="L51" s="1561"/>
      <c r="M51" s="1561"/>
      <c r="N51" s="1561"/>
      <c r="O51" s="1561"/>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
    </row>
    <row r="52" spans="1:38" s="288" customFormat="1">
      <c r="A52" s="283"/>
      <c r="B52" s="1"/>
      <c r="C52" s="358"/>
      <c r="D52" s="358"/>
      <c r="E52" s="283"/>
      <c r="F52" s="517"/>
      <c r="G52" s="1561"/>
      <c r="H52" s="1561"/>
      <c r="I52" s="1561"/>
      <c r="J52" s="1561"/>
      <c r="K52" s="1561"/>
      <c r="L52" s="1561"/>
      <c r="M52" s="1561"/>
      <c r="N52" s="1561"/>
      <c r="O52" s="1561"/>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
    </row>
    <row r="53" spans="1:38">
      <c r="A53" s="288"/>
      <c r="B53" s="272"/>
      <c r="C53" s="359"/>
      <c r="D53" s="359"/>
      <c r="E53" s="288"/>
      <c r="F53" s="1069"/>
      <c r="G53" s="1561"/>
      <c r="H53" s="1561"/>
      <c r="I53" s="1561"/>
      <c r="J53" s="1561"/>
      <c r="K53" s="1561"/>
      <c r="L53" s="1561"/>
      <c r="M53" s="1561"/>
      <c r="N53" s="1561"/>
      <c r="O53" s="1561"/>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272"/>
    </row>
    <row r="54" spans="1:38">
      <c r="A54" s="283"/>
      <c r="B54" s="1"/>
      <c r="C54" s="358"/>
      <c r="D54" s="358"/>
      <c r="E54" s="283"/>
      <c r="F54" s="358"/>
      <c r="G54" s="358"/>
      <c r="H54" s="1"/>
      <c r="I54" s="358"/>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64"/>
      <c r="AF54" s="1064"/>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8" t="s">
        <v>1904</v>
      </c>
      <c r="H58" s="1558"/>
      <c r="I58" s="1558"/>
      <c r="J58" s="1558"/>
      <c r="K58" s="1558"/>
      <c r="L58" s="1558"/>
      <c r="M58" s="1558"/>
      <c r="N58" s="1558"/>
      <c r="O58" s="1558"/>
      <c r="P58" s="1558"/>
      <c r="Q58" s="1558"/>
      <c r="R58" s="1558"/>
      <c r="S58" s="1558"/>
      <c r="T58" s="1558"/>
      <c r="U58" s="1558"/>
      <c r="V58" s="1558"/>
      <c r="W58" s="1558"/>
      <c r="X58" s="1558"/>
      <c r="Y58" s="1558"/>
      <c r="Z58" s="1558"/>
      <c r="AA58" s="1558"/>
      <c r="AB58" s="1558"/>
      <c r="AC58" s="1558"/>
      <c r="AD58" s="1558"/>
      <c r="AE58" s="1558"/>
      <c r="AF58" s="1558"/>
      <c r="AG58" s="1558"/>
      <c r="AH58" s="1558"/>
      <c r="AI58" s="1558"/>
      <c r="AJ58" s="1558"/>
      <c r="AK58" s="1558"/>
      <c r="AL58" s="1"/>
    </row>
    <row r="59" spans="1:38">
      <c r="A59" s="283"/>
      <c r="B59" s="1"/>
      <c r="C59" s="358"/>
      <c r="D59" s="283"/>
      <c r="E59" s="283"/>
      <c r="F59" s="426"/>
      <c r="G59" s="1558"/>
      <c r="H59" s="1558"/>
      <c r="I59" s="1558"/>
      <c r="J59" s="1558"/>
      <c r="K59" s="1558"/>
      <c r="L59" s="1558"/>
      <c r="M59" s="1558"/>
      <c r="N59" s="1558"/>
      <c r="O59" s="1558"/>
      <c r="P59" s="1558"/>
      <c r="Q59" s="1558"/>
      <c r="R59" s="1558"/>
      <c r="S59" s="1558"/>
      <c r="T59" s="1558"/>
      <c r="U59" s="1558"/>
      <c r="V59" s="1558"/>
      <c r="W59" s="1558"/>
      <c r="X59" s="1558"/>
      <c r="Y59" s="1558"/>
      <c r="Z59" s="1558"/>
      <c r="AA59" s="1558"/>
      <c r="AB59" s="1558"/>
      <c r="AC59" s="1558"/>
      <c r="AD59" s="1558"/>
      <c r="AE59" s="1558"/>
      <c r="AF59" s="1558"/>
      <c r="AG59" s="1558"/>
      <c r="AH59" s="1558"/>
      <c r="AI59" s="1558"/>
      <c r="AJ59" s="1558"/>
      <c r="AK59" s="1558"/>
      <c r="AL59" s="1"/>
    </row>
    <row r="60" spans="1:38">
      <c r="A60" s="283"/>
      <c r="B60" s="1"/>
      <c r="C60" s="358"/>
      <c r="D60" s="283"/>
      <c r="E60" s="283"/>
      <c r="F60" s="426"/>
      <c r="G60" s="1558"/>
      <c r="H60" s="1558"/>
      <c r="I60" s="1558"/>
      <c r="J60" s="1558"/>
      <c r="K60" s="1558"/>
      <c r="L60" s="1558"/>
      <c r="M60" s="1558"/>
      <c r="N60" s="1558"/>
      <c r="O60" s="1558"/>
      <c r="P60" s="1558"/>
      <c r="Q60" s="1558"/>
      <c r="R60" s="1558"/>
      <c r="S60" s="1558"/>
      <c r="T60" s="1558"/>
      <c r="U60" s="1558"/>
      <c r="V60" s="1558"/>
      <c r="W60" s="1558"/>
      <c r="X60" s="1558"/>
      <c r="Y60" s="1558"/>
      <c r="Z60" s="1558"/>
      <c r="AA60" s="1558"/>
      <c r="AB60" s="1558"/>
      <c r="AC60" s="1558"/>
      <c r="AD60" s="1558"/>
      <c r="AE60" s="1558"/>
      <c r="AF60" s="1558"/>
      <c r="AG60" s="1558"/>
      <c r="AH60" s="1558"/>
      <c r="AI60" s="1558"/>
      <c r="AJ60" s="1558"/>
      <c r="AK60" s="1558"/>
      <c r="AL60" s="1"/>
    </row>
    <row r="61" spans="1:38">
      <c r="A61" s="283"/>
      <c r="B61" s="1"/>
      <c r="C61" s="358"/>
      <c r="D61" s="283"/>
      <c r="E61" s="283"/>
      <c r="F61" s="426" t="s">
        <v>214</v>
      </c>
      <c r="G61" s="1558" t="s">
        <v>1903</v>
      </c>
      <c r="H61" s="1558"/>
      <c r="I61" s="1558"/>
      <c r="J61" s="1558"/>
      <c r="K61" s="1558"/>
      <c r="L61" s="1558"/>
      <c r="M61" s="1558"/>
      <c r="N61" s="1558"/>
      <c r="O61" s="1558"/>
      <c r="P61" s="1558"/>
      <c r="Q61" s="1558"/>
      <c r="R61" s="1558"/>
      <c r="S61" s="1558"/>
      <c r="T61" s="1558"/>
      <c r="U61" s="1558"/>
      <c r="V61" s="1558"/>
      <c r="W61" s="1558"/>
      <c r="X61" s="1558"/>
      <c r="Y61" s="1558"/>
      <c r="Z61" s="1558"/>
      <c r="AA61" s="1558"/>
      <c r="AB61" s="1558"/>
      <c r="AC61" s="1558"/>
      <c r="AD61" s="1558"/>
      <c r="AE61" s="1558"/>
      <c r="AF61" s="1558"/>
      <c r="AG61" s="1558"/>
      <c r="AH61" s="1558"/>
      <c r="AI61" s="1558"/>
      <c r="AJ61" s="1558"/>
      <c r="AK61" s="1558"/>
      <c r="AL61" s="1"/>
    </row>
    <row r="62" spans="1:38">
      <c r="A62" s="283"/>
      <c r="B62" s="1"/>
      <c r="C62" s="358"/>
      <c r="D62" s="283"/>
      <c r="E62" s="283"/>
      <c r="F62" s="426"/>
      <c r="G62" s="1558"/>
      <c r="H62" s="1558"/>
      <c r="I62" s="1558"/>
      <c r="J62" s="1558"/>
      <c r="K62" s="1558"/>
      <c r="L62" s="1558"/>
      <c r="M62" s="1558"/>
      <c r="N62" s="1558"/>
      <c r="O62" s="1558"/>
      <c r="P62" s="1558"/>
      <c r="Q62" s="1558"/>
      <c r="R62" s="1558"/>
      <c r="S62" s="1558"/>
      <c r="T62" s="1558"/>
      <c r="U62" s="1558"/>
      <c r="V62" s="1558"/>
      <c r="W62" s="1558"/>
      <c r="X62" s="1558"/>
      <c r="Y62" s="1558"/>
      <c r="Z62" s="1558"/>
      <c r="AA62" s="1558"/>
      <c r="AB62" s="1558"/>
      <c r="AC62" s="1558"/>
      <c r="AD62" s="1558"/>
      <c r="AE62" s="1558"/>
      <c r="AF62" s="1558"/>
      <c r="AG62" s="1558"/>
      <c r="AH62" s="1558"/>
      <c r="AI62" s="1558"/>
      <c r="AJ62" s="1558"/>
      <c r="AK62" s="1558"/>
      <c r="AL62" s="1"/>
    </row>
    <row r="63" spans="1:38">
      <c r="A63" s="283"/>
      <c r="B63" s="1"/>
      <c r="C63" s="358"/>
      <c r="D63" s="283"/>
      <c r="E63" s="283"/>
      <c r="F63" s="1070"/>
      <c r="G63" s="1558"/>
      <c r="H63" s="1558"/>
      <c r="I63" s="1558"/>
      <c r="J63" s="1558"/>
      <c r="K63" s="1558"/>
      <c r="L63" s="1558"/>
      <c r="M63" s="1558"/>
      <c r="N63" s="1558"/>
      <c r="O63" s="1558"/>
      <c r="P63" s="1558"/>
      <c r="Q63" s="1558"/>
      <c r="R63" s="1558"/>
      <c r="S63" s="1558"/>
      <c r="T63" s="1558"/>
      <c r="U63" s="1558"/>
      <c r="V63" s="1558"/>
      <c r="W63" s="1558"/>
      <c r="X63" s="1558"/>
      <c r="Y63" s="1558"/>
      <c r="Z63" s="1558"/>
      <c r="AA63" s="1558"/>
      <c r="AB63" s="1558"/>
      <c r="AC63" s="1558"/>
      <c r="AD63" s="1558"/>
      <c r="AE63" s="1558"/>
      <c r="AF63" s="1558"/>
      <c r="AG63" s="1558"/>
      <c r="AH63" s="1558"/>
      <c r="AI63" s="1558"/>
      <c r="AJ63" s="1558"/>
      <c r="AK63" s="1558"/>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8" t="s">
        <v>1905</v>
      </c>
      <c r="H65" s="1558"/>
      <c r="I65" s="1558"/>
      <c r="J65" s="1558"/>
      <c r="K65" s="1558"/>
      <c r="L65" s="1558"/>
      <c r="M65" s="1558"/>
      <c r="N65" s="1558"/>
      <c r="O65" s="1558"/>
      <c r="P65" s="1558"/>
      <c r="Q65" s="1558"/>
      <c r="R65" s="1558"/>
      <c r="S65" s="1558"/>
      <c r="T65" s="1558"/>
      <c r="U65" s="1558"/>
      <c r="V65" s="1558"/>
      <c r="W65" s="1558"/>
      <c r="X65" s="1558"/>
      <c r="Y65" s="1558"/>
      <c r="Z65" s="1558"/>
      <c r="AA65" s="1558"/>
      <c r="AB65" s="1558"/>
      <c r="AC65" s="1558"/>
      <c r="AD65" s="1558"/>
      <c r="AE65" s="1558"/>
      <c r="AF65" s="1558"/>
      <c r="AG65" s="1558"/>
      <c r="AH65" s="1558"/>
      <c r="AI65" s="1558"/>
      <c r="AJ65" s="1558"/>
      <c r="AK65" s="1558"/>
      <c r="AL65" s="1"/>
    </row>
    <row r="66" spans="1:38">
      <c r="A66" s="283"/>
      <c r="B66" s="1"/>
      <c r="C66" s="358"/>
      <c r="D66" s="283"/>
      <c r="E66" s="283"/>
      <c r="F66" s="517"/>
      <c r="G66" s="1558"/>
      <c r="H66" s="1558"/>
      <c r="I66" s="1558"/>
      <c r="J66" s="1558"/>
      <c r="K66" s="1558"/>
      <c r="L66" s="1558"/>
      <c r="M66" s="1558"/>
      <c r="N66" s="1558"/>
      <c r="O66" s="1558"/>
      <c r="P66" s="1558"/>
      <c r="Q66" s="1558"/>
      <c r="R66" s="1558"/>
      <c r="S66" s="1558"/>
      <c r="T66" s="1558"/>
      <c r="U66" s="1558"/>
      <c r="V66" s="1558"/>
      <c r="W66" s="1558"/>
      <c r="X66" s="1558"/>
      <c r="Y66" s="1558"/>
      <c r="Z66" s="1558"/>
      <c r="AA66" s="1558"/>
      <c r="AB66" s="1558"/>
      <c r="AC66" s="1558"/>
      <c r="AD66" s="1558"/>
      <c r="AE66" s="1558"/>
      <c r="AF66" s="1558"/>
      <c r="AG66" s="1558"/>
      <c r="AH66" s="1558"/>
      <c r="AI66" s="1558"/>
      <c r="AJ66" s="1558"/>
      <c r="AK66" s="1558"/>
      <c r="AL66" s="1"/>
    </row>
    <row r="67" spans="1:38">
      <c r="A67" s="283"/>
      <c r="B67" s="1"/>
      <c r="C67" s="358"/>
      <c r="D67" s="283"/>
      <c r="E67" s="283"/>
      <c r="F67" s="517" t="s">
        <v>214</v>
      </c>
      <c r="G67" s="1558" t="s">
        <v>1906</v>
      </c>
      <c r="H67" s="1558"/>
      <c r="I67" s="1558"/>
      <c r="J67" s="1558"/>
      <c r="K67" s="1558"/>
      <c r="L67" s="1558"/>
      <c r="M67" s="1558"/>
      <c r="N67" s="1558"/>
      <c r="O67" s="1558"/>
      <c r="P67" s="1558"/>
      <c r="Q67" s="1558"/>
      <c r="R67" s="1558"/>
      <c r="S67" s="1558"/>
      <c r="T67" s="1558"/>
      <c r="U67" s="1558"/>
      <c r="V67" s="1558"/>
      <c r="W67" s="1558"/>
      <c r="X67" s="1558"/>
      <c r="Y67" s="1558"/>
      <c r="Z67" s="1558"/>
      <c r="AA67" s="1558"/>
      <c r="AB67" s="1558"/>
      <c r="AC67" s="1558"/>
      <c r="AD67" s="1558"/>
      <c r="AE67" s="1558"/>
      <c r="AF67" s="1558"/>
      <c r="AG67" s="1558"/>
      <c r="AH67" s="1558"/>
      <c r="AI67" s="1558"/>
      <c r="AJ67" s="1558"/>
      <c r="AK67" s="1558"/>
      <c r="AL67" s="1"/>
    </row>
    <row r="68" spans="1:38">
      <c r="A68" s="283"/>
      <c r="B68" s="1"/>
      <c r="C68" s="358"/>
      <c r="D68" s="283"/>
      <c r="E68" s="283"/>
      <c r="F68" s="517"/>
      <c r="G68" s="1558"/>
      <c r="H68" s="1558"/>
      <c r="I68" s="1558"/>
      <c r="J68" s="1558"/>
      <c r="K68" s="1558"/>
      <c r="L68" s="1558"/>
      <c r="M68" s="1558"/>
      <c r="N68" s="1558"/>
      <c r="O68" s="1558"/>
      <c r="P68" s="1558"/>
      <c r="Q68" s="1558"/>
      <c r="R68" s="1558"/>
      <c r="S68" s="1558"/>
      <c r="T68" s="1558"/>
      <c r="U68" s="1558"/>
      <c r="V68" s="1558"/>
      <c r="W68" s="1558"/>
      <c r="X68" s="1558"/>
      <c r="Y68" s="1558"/>
      <c r="Z68" s="1558"/>
      <c r="AA68" s="1558"/>
      <c r="AB68" s="1558"/>
      <c r="AC68" s="1558"/>
      <c r="AD68" s="1558"/>
      <c r="AE68" s="1558"/>
      <c r="AF68" s="1558"/>
      <c r="AG68" s="1558"/>
      <c r="AH68" s="1558"/>
      <c r="AI68" s="1558"/>
      <c r="AJ68" s="1558"/>
      <c r="AK68" s="1558"/>
      <c r="AL68" s="1"/>
    </row>
    <row r="69" spans="1:38">
      <c r="A69" s="283"/>
      <c r="B69" s="1"/>
      <c r="C69" s="358"/>
      <c r="D69" s="283"/>
      <c r="E69" s="283"/>
      <c r="F69" s="517"/>
      <c r="G69" s="1064" t="s">
        <v>520</v>
      </c>
      <c r="H69" s="283"/>
      <c r="I69" s="1"/>
      <c r="J69" s="1064"/>
      <c r="K69" s="1064"/>
      <c r="L69" s="1064"/>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4" t="s">
        <v>1164</v>
      </c>
      <c r="H70" s="1"/>
      <c r="I70" s="1"/>
      <c r="J70" s="1064"/>
      <c r="K70" s="1064"/>
      <c r="L70" s="1064"/>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8" t="s">
        <v>1921</v>
      </c>
      <c r="H75" s="1558"/>
      <c r="I75" s="1558"/>
      <c r="J75" s="1558"/>
      <c r="K75" s="1558"/>
      <c r="L75" s="1558"/>
      <c r="M75" s="1558"/>
      <c r="N75" s="1558"/>
      <c r="O75" s="1558"/>
      <c r="P75" s="1558"/>
      <c r="Q75" s="1558"/>
      <c r="R75" s="1558"/>
      <c r="S75" s="1558"/>
      <c r="T75" s="1558"/>
      <c r="U75" s="1558"/>
      <c r="V75" s="1558"/>
      <c r="W75" s="1558"/>
      <c r="X75" s="1558"/>
      <c r="Y75" s="1558"/>
      <c r="Z75" s="1558"/>
      <c r="AA75" s="1558"/>
      <c r="AB75" s="1558"/>
      <c r="AC75" s="1558"/>
      <c r="AD75" s="1558"/>
      <c r="AE75" s="1558"/>
      <c r="AF75" s="1558"/>
      <c r="AG75" s="1558"/>
      <c r="AH75" s="1558"/>
      <c r="AI75" s="1558"/>
      <c r="AJ75" s="1558"/>
      <c r="AK75" s="1558"/>
      <c r="AL75" s="1"/>
    </row>
    <row r="76" spans="1:38">
      <c r="A76" s="283"/>
      <c r="B76" s="1"/>
      <c r="C76" s="358"/>
      <c r="D76" s="283"/>
      <c r="E76" s="283"/>
      <c r="F76" s="283"/>
      <c r="G76" s="1558"/>
      <c r="H76" s="1558"/>
      <c r="I76" s="1558"/>
      <c r="J76" s="1558"/>
      <c r="K76" s="1558"/>
      <c r="L76" s="1558"/>
      <c r="M76" s="1558"/>
      <c r="N76" s="1558"/>
      <c r="O76" s="1558"/>
      <c r="P76" s="1558"/>
      <c r="Q76" s="1558"/>
      <c r="R76" s="1558"/>
      <c r="S76" s="1558"/>
      <c r="T76" s="1558"/>
      <c r="U76" s="1558"/>
      <c r="V76" s="1558"/>
      <c r="W76" s="1558"/>
      <c r="X76" s="1558"/>
      <c r="Y76" s="1558"/>
      <c r="Z76" s="1558"/>
      <c r="AA76" s="1558"/>
      <c r="AB76" s="1558"/>
      <c r="AC76" s="1558"/>
      <c r="AD76" s="1558"/>
      <c r="AE76" s="1558"/>
      <c r="AF76" s="1558"/>
      <c r="AG76" s="1558"/>
      <c r="AH76" s="1558"/>
      <c r="AI76" s="1558"/>
      <c r="AJ76" s="1558"/>
      <c r="AK76" s="1558"/>
      <c r="AL76" s="1"/>
    </row>
    <row r="77" spans="1:38">
      <c r="A77" s="283"/>
      <c r="B77" s="1"/>
      <c r="C77" s="358"/>
      <c r="D77" s="283"/>
      <c r="E77" s="283"/>
      <c r="F77" s="283"/>
      <c r="G77" s="1558"/>
      <c r="H77" s="1558"/>
      <c r="I77" s="1558"/>
      <c r="J77" s="1558"/>
      <c r="K77" s="1558"/>
      <c r="L77" s="1558"/>
      <c r="M77" s="1558"/>
      <c r="N77" s="1558"/>
      <c r="O77" s="1558"/>
      <c r="P77" s="1558"/>
      <c r="Q77" s="1558"/>
      <c r="R77" s="1558"/>
      <c r="S77" s="1558"/>
      <c r="T77" s="1558"/>
      <c r="U77" s="1558"/>
      <c r="V77" s="1558"/>
      <c r="W77" s="1558"/>
      <c r="X77" s="1558"/>
      <c r="Y77" s="1558"/>
      <c r="Z77" s="1558"/>
      <c r="AA77" s="1558"/>
      <c r="AB77" s="1558"/>
      <c r="AC77" s="1558"/>
      <c r="AD77" s="1558"/>
      <c r="AE77" s="1558"/>
      <c r="AF77" s="1558"/>
      <c r="AG77" s="1558"/>
      <c r="AH77" s="1558"/>
      <c r="AI77" s="1558"/>
      <c r="AJ77" s="1558"/>
      <c r="AK77" s="155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8" t="s">
        <v>1922</v>
      </c>
      <c r="H79" s="1558"/>
      <c r="I79" s="1558"/>
      <c r="J79" s="1558"/>
      <c r="K79" s="1558"/>
      <c r="L79" s="1558"/>
      <c r="M79" s="1558"/>
      <c r="N79" s="1558"/>
      <c r="O79" s="1558"/>
      <c r="P79" s="1558"/>
      <c r="Q79" s="1558"/>
      <c r="R79" s="1558"/>
      <c r="S79" s="1558"/>
      <c r="T79" s="1558"/>
      <c r="U79" s="1558"/>
      <c r="V79" s="1558"/>
      <c r="W79" s="1558"/>
      <c r="X79" s="1558"/>
      <c r="Y79" s="1558"/>
      <c r="Z79" s="1558"/>
      <c r="AA79" s="1558"/>
      <c r="AB79" s="1558"/>
      <c r="AC79" s="1558"/>
      <c r="AD79" s="1558"/>
      <c r="AE79" s="1558"/>
      <c r="AF79" s="1558"/>
      <c r="AG79" s="1558"/>
      <c r="AH79" s="1558"/>
      <c r="AI79" s="1558"/>
      <c r="AJ79" s="1558"/>
      <c r="AK79" s="1558"/>
      <c r="AL79" s="1"/>
    </row>
    <row r="80" spans="1:38">
      <c r="A80" s="283"/>
      <c r="B80" s="1"/>
      <c r="C80" s="358"/>
      <c r="D80" s="283"/>
      <c r="E80" s="283"/>
      <c r="F80" s="283"/>
      <c r="G80" s="1558"/>
      <c r="H80" s="1558"/>
      <c r="I80" s="1558"/>
      <c r="J80" s="1558"/>
      <c r="K80" s="1558"/>
      <c r="L80" s="1558"/>
      <c r="M80" s="1558"/>
      <c r="N80" s="1558"/>
      <c r="O80" s="1558"/>
      <c r="P80" s="1558"/>
      <c r="Q80" s="1558"/>
      <c r="R80" s="1558"/>
      <c r="S80" s="1558"/>
      <c r="T80" s="1558"/>
      <c r="U80" s="1558"/>
      <c r="V80" s="1558"/>
      <c r="W80" s="1558"/>
      <c r="X80" s="1558"/>
      <c r="Y80" s="1558"/>
      <c r="Z80" s="1558"/>
      <c r="AA80" s="1558"/>
      <c r="AB80" s="1558"/>
      <c r="AC80" s="1558"/>
      <c r="AD80" s="1558"/>
      <c r="AE80" s="1558"/>
      <c r="AF80" s="1558"/>
      <c r="AG80" s="1558"/>
      <c r="AH80" s="1558"/>
      <c r="AI80" s="1558"/>
      <c r="AJ80" s="1558"/>
      <c r="AK80" s="1558"/>
      <c r="AL80" s="1"/>
    </row>
    <row r="81" spans="1:38">
      <c r="A81" s="283"/>
      <c r="B81" s="1"/>
      <c r="C81" s="358"/>
      <c r="D81" s="283"/>
      <c r="E81" s="283"/>
      <c r="F81" s="1"/>
      <c r="G81" s="1558"/>
      <c r="H81" s="1558"/>
      <c r="I81" s="1558"/>
      <c r="J81" s="1558"/>
      <c r="K81" s="1558"/>
      <c r="L81" s="1558"/>
      <c r="M81" s="1558"/>
      <c r="N81" s="1558"/>
      <c r="O81" s="1558"/>
      <c r="P81" s="1558"/>
      <c r="Q81" s="1558"/>
      <c r="R81" s="1558"/>
      <c r="S81" s="1558"/>
      <c r="T81" s="1558"/>
      <c r="U81" s="1558"/>
      <c r="V81" s="1558"/>
      <c r="W81" s="1558"/>
      <c r="X81" s="1558"/>
      <c r="Y81" s="1558"/>
      <c r="Z81" s="1558"/>
      <c r="AA81" s="1558"/>
      <c r="AB81" s="1558"/>
      <c r="AC81" s="1558"/>
      <c r="AD81" s="1558"/>
      <c r="AE81" s="1558"/>
      <c r="AF81" s="1558"/>
      <c r="AG81" s="1558"/>
      <c r="AH81" s="1558"/>
      <c r="AI81" s="1558"/>
      <c r="AJ81" s="1558"/>
      <c r="AK81" s="1558"/>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8" t="s">
        <v>1907</v>
      </c>
      <c r="H83" s="1558"/>
      <c r="I83" s="1558"/>
      <c r="J83" s="1558"/>
      <c r="K83" s="1558"/>
      <c r="L83" s="1558"/>
      <c r="M83" s="1558"/>
      <c r="N83" s="1558"/>
      <c r="O83" s="1558"/>
      <c r="P83" s="1558"/>
      <c r="Q83" s="1558"/>
      <c r="R83" s="1558"/>
      <c r="S83" s="1558"/>
      <c r="T83" s="1558"/>
      <c r="U83" s="1558"/>
      <c r="V83" s="1558"/>
      <c r="W83" s="1558"/>
      <c r="X83" s="1558"/>
      <c r="Y83" s="1558"/>
      <c r="Z83" s="1558"/>
      <c r="AA83" s="1558"/>
      <c r="AB83" s="1558"/>
      <c r="AC83" s="1558"/>
      <c r="AD83" s="1558"/>
      <c r="AE83" s="1558"/>
      <c r="AF83" s="1558"/>
      <c r="AG83" s="1558"/>
      <c r="AH83" s="1558"/>
      <c r="AI83" s="1558"/>
      <c r="AJ83" s="1558"/>
      <c r="AK83" s="1558"/>
      <c r="AL83" s="1"/>
    </row>
    <row r="84" spans="1:38">
      <c r="A84" s="283"/>
      <c r="B84" s="1"/>
      <c r="C84" s="358"/>
      <c r="D84" s="283"/>
      <c r="E84" s="283"/>
      <c r="F84" s="1"/>
      <c r="G84" s="1558"/>
      <c r="H84" s="1558"/>
      <c r="I84" s="1558"/>
      <c r="J84" s="1558"/>
      <c r="K84" s="1558"/>
      <c r="L84" s="1558"/>
      <c r="M84" s="1558"/>
      <c r="N84" s="1558"/>
      <c r="O84" s="1558"/>
      <c r="P84" s="1558"/>
      <c r="Q84" s="1558"/>
      <c r="R84" s="1558"/>
      <c r="S84" s="1558"/>
      <c r="T84" s="1558"/>
      <c r="U84" s="1558"/>
      <c r="V84" s="1558"/>
      <c r="W84" s="1558"/>
      <c r="X84" s="1558"/>
      <c r="Y84" s="1558"/>
      <c r="Z84" s="1558"/>
      <c r="AA84" s="1558"/>
      <c r="AB84" s="1558"/>
      <c r="AC84" s="1558"/>
      <c r="AD84" s="1558"/>
      <c r="AE84" s="1558"/>
      <c r="AF84" s="1558"/>
      <c r="AG84" s="1558"/>
      <c r="AH84" s="1558"/>
      <c r="AI84" s="1558"/>
      <c r="AJ84" s="1558"/>
      <c r="AK84" s="155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8" t="s">
        <v>1908</v>
      </c>
      <c r="H86" s="1558"/>
      <c r="I86" s="1558"/>
      <c r="J86" s="1558"/>
      <c r="K86" s="1558"/>
      <c r="L86" s="1558"/>
      <c r="M86" s="1558"/>
      <c r="N86" s="1558"/>
      <c r="O86" s="1558"/>
      <c r="P86" s="1558"/>
      <c r="Q86" s="1558"/>
      <c r="R86" s="1558"/>
      <c r="S86" s="1558"/>
      <c r="T86" s="1558"/>
      <c r="U86" s="1558"/>
      <c r="V86" s="1558"/>
      <c r="W86" s="1558"/>
      <c r="X86" s="1558"/>
      <c r="Y86" s="1558"/>
      <c r="Z86" s="1558"/>
      <c r="AA86" s="1558"/>
      <c r="AB86" s="1558"/>
      <c r="AC86" s="1558"/>
      <c r="AD86" s="1558"/>
      <c r="AE86" s="1558"/>
      <c r="AF86" s="1558"/>
      <c r="AG86" s="1558"/>
      <c r="AH86" s="1558"/>
      <c r="AI86" s="1558"/>
      <c r="AJ86" s="1558"/>
      <c r="AK86" s="1558"/>
      <c r="AL86" s="1"/>
    </row>
    <row r="87" spans="1:38">
      <c r="A87" s="283"/>
      <c r="B87" s="1"/>
      <c r="C87" s="358"/>
      <c r="D87" s="283"/>
      <c r="E87" s="283"/>
      <c r="F87" s="1"/>
      <c r="G87" s="1558"/>
      <c r="H87" s="1558"/>
      <c r="I87" s="1558"/>
      <c r="J87" s="1558"/>
      <c r="K87" s="1558"/>
      <c r="L87" s="1558"/>
      <c r="M87" s="1558"/>
      <c r="N87" s="1558"/>
      <c r="O87" s="1558"/>
      <c r="P87" s="1558"/>
      <c r="Q87" s="1558"/>
      <c r="R87" s="1558"/>
      <c r="S87" s="1558"/>
      <c r="T87" s="1558"/>
      <c r="U87" s="1558"/>
      <c r="V87" s="1558"/>
      <c r="W87" s="1558"/>
      <c r="X87" s="1558"/>
      <c r="Y87" s="1558"/>
      <c r="Z87" s="1558"/>
      <c r="AA87" s="1558"/>
      <c r="AB87" s="1558"/>
      <c r="AC87" s="1558"/>
      <c r="AD87" s="1558"/>
      <c r="AE87" s="1558"/>
      <c r="AF87" s="1558"/>
      <c r="AG87" s="1558"/>
      <c r="AH87" s="1558"/>
      <c r="AI87" s="1558"/>
      <c r="AJ87" s="1558"/>
      <c r="AK87" s="1558"/>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8" t="s">
        <v>1914</v>
      </c>
      <c r="H89" s="1558"/>
      <c r="I89" s="1558"/>
      <c r="J89" s="1558"/>
      <c r="K89" s="1558"/>
      <c r="L89" s="1558"/>
      <c r="M89" s="1558"/>
      <c r="N89" s="1558"/>
      <c r="O89" s="1558"/>
      <c r="P89" s="1558"/>
      <c r="Q89" s="1558"/>
      <c r="R89" s="1558"/>
      <c r="S89" s="1558"/>
      <c r="T89" s="1558"/>
      <c r="U89" s="1558"/>
      <c r="V89" s="1558"/>
      <c r="W89" s="1558"/>
      <c r="X89" s="1558"/>
      <c r="Y89" s="1558"/>
      <c r="Z89" s="1558"/>
      <c r="AA89" s="1558"/>
      <c r="AB89" s="1558"/>
      <c r="AC89" s="1558"/>
      <c r="AD89" s="1558"/>
      <c r="AE89" s="1558"/>
      <c r="AF89" s="1558"/>
      <c r="AG89" s="1558"/>
      <c r="AH89" s="1558"/>
      <c r="AI89" s="1558"/>
      <c r="AJ89" s="1558"/>
      <c r="AK89" s="1558"/>
      <c r="AL89" s="1"/>
    </row>
    <row r="90" spans="1:38">
      <c r="A90" s="283"/>
      <c r="B90" s="1"/>
      <c r="C90" s="358"/>
      <c r="D90" s="283"/>
      <c r="E90" s="283"/>
      <c r="F90" s="283"/>
      <c r="G90" s="1558"/>
      <c r="H90" s="1558"/>
      <c r="I90" s="1558"/>
      <c r="J90" s="1558"/>
      <c r="K90" s="1558"/>
      <c r="L90" s="1558"/>
      <c r="M90" s="1558"/>
      <c r="N90" s="1558"/>
      <c r="O90" s="1558"/>
      <c r="P90" s="1558"/>
      <c r="Q90" s="1558"/>
      <c r="R90" s="1558"/>
      <c r="S90" s="1558"/>
      <c r="T90" s="1558"/>
      <c r="U90" s="1558"/>
      <c r="V90" s="1558"/>
      <c r="W90" s="1558"/>
      <c r="X90" s="1558"/>
      <c r="Y90" s="1558"/>
      <c r="Z90" s="1558"/>
      <c r="AA90" s="1558"/>
      <c r="AB90" s="1558"/>
      <c r="AC90" s="1558"/>
      <c r="AD90" s="1558"/>
      <c r="AE90" s="1558"/>
      <c r="AF90" s="1558"/>
      <c r="AG90" s="1558"/>
      <c r="AH90" s="1558"/>
      <c r="AI90" s="1558"/>
      <c r="AJ90" s="1558"/>
      <c r="AK90" s="1558"/>
      <c r="AL90" s="1"/>
    </row>
    <row r="91" spans="1:38">
      <c r="A91" s="283"/>
      <c r="B91" s="1"/>
      <c r="C91" s="358"/>
      <c r="D91" s="283"/>
      <c r="E91" s="283"/>
      <c r="F91" s="283"/>
      <c r="G91" s="1558"/>
      <c r="H91" s="1558"/>
      <c r="I91" s="1558"/>
      <c r="J91" s="1558"/>
      <c r="K91" s="1558"/>
      <c r="L91" s="1558"/>
      <c r="M91" s="1558"/>
      <c r="N91" s="1558"/>
      <c r="O91" s="1558"/>
      <c r="P91" s="1558"/>
      <c r="Q91" s="1558"/>
      <c r="R91" s="1558"/>
      <c r="S91" s="1558"/>
      <c r="T91" s="1558"/>
      <c r="U91" s="1558"/>
      <c r="V91" s="1558"/>
      <c r="W91" s="1558"/>
      <c r="X91" s="1558"/>
      <c r="Y91" s="1558"/>
      <c r="Z91" s="1558"/>
      <c r="AA91" s="1558"/>
      <c r="AB91" s="1558"/>
      <c r="AC91" s="1558"/>
      <c r="AD91" s="1558"/>
      <c r="AE91" s="1558"/>
      <c r="AF91" s="1558"/>
      <c r="AG91" s="1558"/>
      <c r="AH91" s="1558"/>
      <c r="AI91" s="1558"/>
      <c r="AJ91" s="1558"/>
      <c r="AK91" s="1558"/>
      <c r="AL91" s="1"/>
    </row>
    <row r="92" spans="1:38">
      <c r="A92" s="283"/>
      <c r="B92" s="1"/>
      <c r="C92" s="358"/>
      <c r="D92" s="283"/>
      <c r="E92" s="283"/>
      <c r="F92" s="283"/>
      <c r="G92" s="1558"/>
      <c r="H92" s="1558"/>
      <c r="I92" s="1558"/>
      <c r="J92" s="1558"/>
      <c r="K92" s="1558"/>
      <c r="L92" s="1558"/>
      <c r="M92" s="1558"/>
      <c r="N92" s="1558"/>
      <c r="O92" s="1558"/>
      <c r="P92" s="1558"/>
      <c r="Q92" s="1558"/>
      <c r="R92" s="1558"/>
      <c r="S92" s="1558"/>
      <c r="T92" s="1558"/>
      <c r="U92" s="1558"/>
      <c r="V92" s="1558"/>
      <c r="W92" s="1558"/>
      <c r="X92" s="1558"/>
      <c r="Y92" s="1558"/>
      <c r="Z92" s="1558"/>
      <c r="AA92" s="1558"/>
      <c r="AB92" s="1558"/>
      <c r="AC92" s="1558"/>
      <c r="AD92" s="1558"/>
      <c r="AE92" s="1558"/>
      <c r="AF92" s="1558"/>
      <c r="AG92" s="1558"/>
      <c r="AH92" s="1558"/>
      <c r="AI92" s="1558"/>
      <c r="AJ92" s="1558"/>
      <c r="AK92" s="1558"/>
      <c r="AL92" s="1"/>
    </row>
    <row r="93" spans="1:38">
      <c r="A93" s="1071"/>
      <c r="B93" s="1072"/>
      <c r="C93" s="1073"/>
      <c r="D93" s="1071"/>
      <c r="E93" s="1071" t="s">
        <v>1098</v>
      </c>
      <c r="F93" s="1072" t="s">
        <v>1165</v>
      </c>
      <c r="G93" s="1071"/>
      <c r="H93" s="1072"/>
      <c r="I93" s="1072"/>
      <c r="J93" s="1072"/>
      <c r="K93" s="1072"/>
      <c r="L93" s="1071"/>
      <c r="M93" s="1071"/>
      <c r="N93" s="1072"/>
      <c r="O93" s="1072"/>
      <c r="P93" s="1071"/>
      <c r="Q93" s="1071"/>
      <c r="R93" s="1071"/>
      <c r="S93" s="1071"/>
      <c r="T93" s="1071"/>
      <c r="U93" s="1071"/>
      <c r="V93" s="1071"/>
      <c r="W93" s="1071"/>
      <c r="X93" s="1071"/>
      <c r="Y93" s="1071"/>
      <c r="Z93" s="1071"/>
      <c r="AA93" s="1071"/>
      <c r="AB93" s="1071"/>
      <c r="AC93" s="1072"/>
      <c r="AD93" s="1072"/>
      <c r="AE93" s="1072"/>
      <c r="AF93" s="1072"/>
      <c r="AG93" s="1072"/>
      <c r="AH93" s="1072"/>
      <c r="AI93" s="1072"/>
      <c r="AJ93" s="1072"/>
      <c r="AK93" s="1072"/>
      <c r="AL93" s="1072"/>
    </row>
    <row r="94" spans="1:38">
      <c r="A94" s="1071"/>
      <c r="B94" s="1072"/>
      <c r="C94" s="1073"/>
      <c r="D94" s="1071"/>
      <c r="E94" s="1071"/>
      <c r="F94" s="1072"/>
      <c r="G94" s="1559" t="s">
        <v>1915</v>
      </c>
      <c r="H94" s="1559"/>
      <c r="I94" s="1559"/>
      <c r="J94" s="1559"/>
      <c r="K94" s="1559"/>
      <c r="L94" s="1559"/>
      <c r="M94" s="1559"/>
      <c r="N94" s="1559"/>
      <c r="O94" s="1559"/>
      <c r="P94" s="1559"/>
      <c r="Q94" s="1559"/>
      <c r="R94" s="1559"/>
      <c r="S94" s="1559"/>
      <c r="T94" s="1559"/>
      <c r="U94" s="1559"/>
      <c r="V94" s="1559"/>
      <c r="W94" s="1559"/>
      <c r="X94" s="1559"/>
      <c r="Y94" s="1559"/>
      <c r="Z94" s="1559"/>
      <c r="AA94" s="1559"/>
      <c r="AB94" s="1559"/>
      <c r="AC94" s="1559"/>
      <c r="AD94" s="1559"/>
      <c r="AE94" s="1559"/>
      <c r="AF94" s="1559"/>
      <c r="AG94" s="1559"/>
      <c r="AH94" s="1559"/>
      <c r="AI94" s="1559"/>
      <c r="AJ94" s="1559"/>
      <c r="AK94" s="1559"/>
      <c r="AL94" s="1072"/>
    </row>
    <row r="95" spans="1:38">
      <c r="A95" s="1071"/>
      <c r="B95" s="1072"/>
      <c r="C95" s="1073"/>
      <c r="D95" s="1071"/>
      <c r="E95" s="1071"/>
      <c r="F95" s="1072"/>
      <c r="G95" s="1559"/>
      <c r="H95" s="1559"/>
      <c r="I95" s="1559"/>
      <c r="J95" s="1559"/>
      <c r="K95" s="1559"/>
      <c r="L95" s="1559"/>
      <c r="M95" s="1559"/>
      <c r="N95" s="1559"/>
      <c r="O95" s="1559"/>
      <c r="P95" s="1559"/>
      <c r="Q95" s="1559"/>
      <c r="R95" s="1559"/>
      <c r="S95" s="1559"/>
      <c r="T95" s="1559"/>
      <c r="U95" s="1559"/>
      <c r="V95" s="1559"/>
      <c r="W95" s="1559"/>
      <c r="X95" s="1559"/>
      <c r="Y95" s="1559"/>
      <c r="Z95" s="1559"/>
      <c r="AA95" s="1559"/>
      <c r="AB95" s="1559"/>
      <c r="AC95" s="1559"/>
      <c r="AD95" s="1559"/>
      <c r="AE95" s="1559"/>
      <c r="AF95" s="1559"/>
      <c r="AG95" s="1559"/>
      <c r="AH95" s="1559"/>
      <c r="AI95" s="1559"/>
      <c r="AJ95" s="1559"/>
      <c r="AK95" s="1559"/>
      <c r="AL95" s="1072"/>
    </row>
    <row r="96" spans="1:38">
      <c r="A96" s="1071"/>
      <c r="B96" s="1072"/>
      <c r="C96" s="1073"/>
      <c r="D96" s="1071"/>
      <c r="E96" s="1071"/>
      <c r="F96" s="1072"/>
      <c r="G96" s="1559"/>
      <c r="H96" s="1559"/>
      <c r="I96" s="1559"/>
      <c r="J96" s="1559"/>
      <c r="K96" s="1559"/>
      <c r="L96" s="1559"/>
      <c r="M96" s="1559"/>
      <c r="N96" s="1559"/>
      <c r="O96" s="1559"/>
      <c r="P96" s="1559"/>
      <c r="Q96" s="1559"/>
      <c r="R96" s="1559"/>
      <c r="S96" s="1559"/>
      <c r="T96" s="1559"/>
      <c r="U96" s="1559"/>
      <c r="V96" s="1559"/>
      <c r="W96" s="1559"/>
      <c r="X96" s="1559"/>
      <c r="Y96" s="1559"/>
      <c r="Z96" s="1559"/>
      <c r="AA96" s="1559"/>
      <c r="AB96" s="1559"/>
      <c r="AC96" s="1559"/>
      <c r="AD96" s="1559"/>
      <c r="AE96" s="1559"/>
      <c r="AF96" s="1559"/>
      <c r="AG96" s="1559"/>
      <c r="AH96" s="1559"/>
      <c r="AI96" s="1559"/>
      <c r="AJ96" s="1559"/>
      <c r="AK96" s="1559"/>
      <c r="AL96" s="1072"/>
    </row>
    <row r="97" spans="1:38">
      <c r="A97" s="1071"/>
      <c r="B97" s="1072"/>
      <c r="C97" s="1073"/>
      <c r="D97" s="1071"/>
      <c r="E97" s="1071"/>
      <c r="F97" s="1072"/>
      <c r="G97" s="1559"/>
      <c r="H97" s="1559"/>
      <c r="I97" s="1559"/>
      <c r="J97" s="1559"/>
      <c r="K97" s="1559"/>
      <c r="L97" s="1559"/>
      <c r="M97" s="1559"/>
      <c r="N97" s="1559"/>
      <c r="O97" s="1559"/>
      <c r="P97" s="1559"/>
      <c r="Q97" s="1559"/>
      <c r="R97" s="1559"/>
      <c r="S97" s="1559"/>
      <c r="T97" s="1559"/>
      <c r="U97" s="1559"/>
      <c r="V97" s="1559"/>
      <c r="W97" s="1559"/>
      <c r="X97" s="1559"/>
      <c r="Y97" s="1559"/>
      <c r="Z97" s="1559"/>
      <c r="AA97" s="1559"/>
      <c r="AB97" s="1559"/>
      <c r="AC97" s="1559"/>
      <c r="AD97" s="1559"/>
      <c r="AE97" s="1559"/>
      <c r="AF97" s="1559"/>
      <c r="AG97" s="1559"/>
      <c r="AH97" s="1559"/>
      <c r="AI97" s="1559"/>
      <c r="AJ97" s="1559"/>
      <c r="AK97" s="1559"/>
      <c r="AL97" s="1072"/>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8" t="s">
        <v>1916</v>
      </c>
      <c r="H99" s="1558"/>
      <c r="I99" s="1558"/>
      <c r="J99" s="1558"/>
      <c r="K99" s="1558"/>
      <c r="L99" s="1558"/>
      <c r="M99" s="1558"/>
      <c r="N99" s="1558"/>
      <c r="O99" s="1558"/>
      <c r="P99" s="1558"/>
      <c r="Q99" s="1558"/>
      <c r="R99" s="1558"/>
      <c r="S99" s="1558"/>
      <c r="T99" s="1558"/>
      <c r="U99" s="1558"/>
      <c r="V99" s="1558"/>
      <c r="W99" s="1558"/>
      <c r="X99" s="1558"/>
      <c r="Y99" s="1558"/>
      <c r="Z99" s="1558"/>
      <c r="AA99" s="1558"/>
      <c r="AB99" s="1558"/>
      <c r="AC99" s="1558"/>
      <c r="AD99" s="1558"/>
      <c r="AE99" s="1558"/>
      <c r="AF99" s="1558"/>
      <c r="AG99" s="1558"/>
      <c r="AH99" s="1558"/>
      <c r="AI99" s="1558"/>
      <c r="AJ99" s="1558"/>
      <c r="AK99" s="1558"/>
      <c r="AL99" s="1"/>
    </row>
    <row r="100" spans="1:38">
      <c r="A100" s="283"/>
      <c r="B100" s="1"/>
      <c r="C100" s="358"/>
      <c r="D100" s="283"/>
      <c r="E100" s="283"/>
      <c r="F100" s="1"/>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8" t="s">
        <v>1917</v>
      </c>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
    </row>
    <row r="103" spans="1:38">
      <c r="A103" s="283"/>
      <c r="B103" s="1"/>
      <c r="C103" s="358"/>
      <c r="D103" s="283"/>
      <c r="E103" s="283"/>
      <c r="F103" s="1"/>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8" t="s">
        <v>1918</v>
      </c>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
    </row>
    <row r="106" spans="1:38">
      <c r="A106" s="288"/>
      <c r="B106" s="272"/>
      <c r="C106" s="359"/>
      <c r="D106" s="288"/>
      <c r="E106" s="288"/>
      <c r="F106" s="28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272"/>
    </row>
    <row r="107" spans="1:38">
      <c r="A107" s="288"/>
      <c r="B107" s="272"/>
      <c r="C107" s="359"/>
      <c r="D107" s="359"/>
      <c r="E107" s="288"/>
      <c r="F107" s="288"/>
      <c r="G107" s="1558"/>
      <c r="H107" s="1558"/>
      <c r="I107" s="1558"/>
      <c r="J107" s="1558"/>
      <c r="K107" s="1558"/>
      <c r="L107" s="1558"/>
      <c r="M107" s="1558"/>
      <c r="N107" s="1558"/>
      <c r="O107" s="1558"/>
      <c r="P107" s="1558"/>
      <c r="Q107" s="1558"/>
      <c r="R107" s="1558"/>
      <c r="S107" s="1558"/>
      <c r="T107" s="1558"/>
      <c r="U107" s="1558"/>
      <c r="V107" s="1558"/>
      <c r="W107" s="1558"/>
      <c r="X107" s="1558"/>
      <c r="Y107" s="1558"/>
      <c r="Z107" s="1558"/>
      <c r="AA107" s="1558"/>
      <c r="AB107" s="1558"/>
      <c r="AC107" s="1558"/>
      <c r="AD107" s="1558"/>
      <c r="AE107" s="1558"/>
      <c r="AF107" s="1558"/>
      <c r="AG107" s="1558"/>
      <c r="AH107" s="1558"/>
      <c r="AI107" s="1558"/>
      <c r="AJ107" s="1558"/>
      <c r="AK107" s="1558"/>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8" t="s">
        <v>1919</v>
      </c>
      <c r="H109" s="1558"/>
      <c r="I109" s="1558"/>
      <c r="J109" s="1558"/>
      <c r="K109" s="1558"/>
      <c r="L109" s="1558"/>
      <c r="M109" s="1558"/>
      <c r="N109" s="1558"/>
      <c r="O109" s="1558"/>
      <c r="P109" s="1558"/>
      <c r="Q109" s="1558"/>
      <c r="R109" s="1558"/>
      <c r="S109" s="1558"/>
      <c r="T109" s="1558"/>
      <c r="U109" s="1558"/>
      <c r="V109" s="1558"/>
      <c r="W109" s="1558"/>
      <c r="X109" s="1558"/>
      <c r="Y109" s="1558"/>
      <c r="Z109" s="1558"/>
      <c r="AA109" s="1558"/>
      <c r="AB109" s="1558"/>
      <c r="AC109" s="1558"/>
      <c r="AD109" s="1558"/>
      <c r="AE109" s="1558"/>
      <c r="AF109" s="1558"/>
      <c r="AG109" s="1558"/>
      <c r="AH109" s="1558"/>
      <c r="AI109" s="1558"/>
      <c r="AJ109" s="1558"/>
      <c r="AK109" s="1558"/>
      <c r="AL109" s="1"/>
    </row>
    <row r="110" spans="1:38">
      <c r="A110" s="283"/>
      <c r="B110" s="1"/>
      <c r="C110" s="358"/>
      <c r="D110" s="358"/>
      <c r="E110" s="283"/>
      <c r="F110" s="283"/>
      <c r="G110" s="1558"/>
      <c r="H110" s="1558"/>
      <c r="I110" s="1558"/>
      <c r="J110" s="1558"/>
      <c r="K110" s="1558"/>
      <c r="L110" s="1558"/>
      <c r="M110" s="1558"/>
      <c r="N110" s="1558"/>
      <c r="O110" s="1558"/>
      <c r="P110" s="1558"/>
      <c r="Q110" s="1558"/>
      <c r="R110" s="1558"/>
      <c r="S110" s="1558"/>
      <c r="T110" s="1558"/>
      <c r="U110" s="1558"/>
      <c r="V110" s="1558"/>
      <c r="W110" s="1558"/>
      <c r="X110" s="1558"/>
      <c r="Y110" s="1558"/>
      <c r="Z110" s="1558"/>
      <c r="AA110" s="1558"/>
      <c r="AB110" s="1558"/>
      <c r="AC110" s="1558"/>
      <c r="AD110" s="1558"/>
      <c r="AE110" s="1558"/>
      <c r="AF110" s="1558"/>
      <c r="AG110" s="1558"/>
      <c r="AH110" s="1558"/>
      <c r="AI110" s="1558"/>
      <c r="AJ110" s="1558"/>
      <c r="AK110" s="1558"/>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4"/>
      <c r="E112" s="1566" t="s">
        <v>1920</v>
      </c>
      <c r="F112" s="1566"/>
      <c r="G112" s="1566"/>
      <c r="H112" s="1566"/>
      <c r="I112" s="1566"/>
      <c r="J112" s="1566"/>
      <c r="K112" s="1566"/>
      <c r="L112" s="1566"/>
      <c r="M112" s="1566"/>
      <c r="N112" s="1566"/>
      <c r="O112" s="1566"/>
      <c r="P112" s="1566"/>
      <c r="Q112" s="1566"/>
      <c r="R112" s="1566"/>
      <c r="S112" s="1566"/>
      <c r="T112" s="1566"/>
      <c r="U112" s="1566"/>
      <c r="V112" s="1566"/>
      <c r="W112" s="1566"/>
      <c r="X112" s="1566"/>
      <c r="Y112" s="1566"/>
      <c r="Z112" s="1566"/>
      <c r="AA112" s="1566"/>
      <c r="AB112" s="1566"/>
      <c r="AC112" s="1566"/>
      <c r="AD112" s="1566"/>
      <c r="AE112" s="1566"/>
      <c r="AF112" s="1566"/>
      <c r="AG112" s="1566"/>
      <c r="AH112" s="1566"/>
      <c r="AI112" s="1566"/>
      <c r="AJ112" s="1566"/>
      <c r="AK112" s="1566"/>
      <c r="AL112" s="1"/>
    </row>
    <row r="113" spans="1:38">
      <c r="A113" s="283"/>
      <c r="B113" s="1"/>
      <c r="C113" s="1"/>
      <c r="D113" s="1074"/>
      <c r="E113" s="1566"/>
      <c r="F113" s="1566"/>
      <c r="G113" s="1566"/>
      <c r="H113" s="1566"/>
      <c r="I113" s="1566"/>
      <c r="J113" s="1566"/>
      <c r="K113" s="1566"/>
      <c r="L113" s="1566"/>
      <c r="M113" s="1566"/>
      <c r="N113" s="1566"/>
      <c r="O113" s="1566"/>
      <c r="P113" s="1566"/>
      <c r="Q113" s="1566"/>
      <c r="R113" s="1566"/>
      <c r="S113" s="1566"/>
      <c r="T113" s="1566"/>
      <c r="U113" s="1566"/>
      <c r="V113" s="1566"/>
      <c r="W113" s="1566"/>
      <c r="X113" s="1566"/>
      <c r="Y113" s="1566"/>
      <c r="Z113" s="1566"/>
      <c r="AA113" s="1566"/>
      <c r="AB113" s="1566"/>
      <c r="AC113" s="1566"/>
      <c r="AD113" s="1566"/>
      <c r="AE113" s="1566"/>
      <c r="AF113" s="1566"/>
      <c r="AG113" s="1566"/>
      <c r="AH113" s="1566"/>
      <c r="AI113" s="1566"/>
      <c r="AJ113" s="1566"/>
      <c r="AK113" s="1566"/>
      <c r="AL113" s="1"/>
    </row>
    <row r="114" spans="1:38" s="1065" customFormat="1" ht="12.75" customHeight="1">
      <c r="A114" s="283"/>
      <c r="B114" s="1075"/>
      <c r="C114" s="1074"/>
      <c r="D114" s="1074"/>
      <c r="E114" s="1075"/>
      <c r="F114" s="1074"/>
      <c r="G114" s="1074"/>
      <c r="H114" s="1074"/>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3" t="s">
        <v>513</v>
      </c>
      <c r="C115" s="1063" t="s">
        <v>752</v>
      </c>
      <c r="D115" s="1063"/>
      <c r="E115" s="1063"/>
      <c r="F115" s="1063"/>
      <c r="G115" s="1063"/>
      <c r="H115" s="1063"/>
      <c r="I115" s="1063"/>
      <c r="J115" s="1063"/>
      <c r="K115" s="1063"/>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6"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6"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6"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6"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6"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6"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4" t="s">
        <v>2134</v>
      </c>
      <c r="G132" s="107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6"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7"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8" t="s">
        <v>1923</v>
      </c>
      <c r="F145" s="1558"/>
      <c r="G145" s="1558"/>
      <c r="H145" s="1558"/>
      <c r="I145" s="1558"/>
      <c r="J145" s="1558"/>
      <c r="K145" s="1558"/>
      <c r="L145" s="1558"/>
      <c r="M145" s="1558"/>
      <c r="N145" s="1558"/>
      <c r="O145" s="1558"/>
      <c r="P145" s="1558"/>
      <c r="Q145" s="1558"/>
      <c r="R145" s="1558"/>
      <c r="S145" s="1558"/>
      <c r="T145" s="1558"/>
      <c r="U145" s="1558"/>
      <c r="V145" s="1558"/>
      <c r="W145" s="1558"/>
      <c r="X145" s="1558"/>
      <c r="Y145" s="1558"/>
      <c r="Z145" s="1558"/>
      <c r="AA145" s="1558"/>
      <c r="AB145" s="1558"/>
      <c r="AC145" s="1558"/>
      <c r="AD145" s="1558"/>
      <c r="AE145" s="1558"/>
      <c r="AF145" s="1558"/>
      <c r="AG145" s="1558"/>
      <c r="AH145" s="1558"/>
      <c r="AI145" s="1558"/>
      <c r="AJ145" s="1558"/>
      <c r="AK145" s="1558"/>
      <c r="AL145" s="1"/>
    </row>
    <row r="146" spans="1:38">
      <c r="A146" s="1"/>
      <c r="B146" s="1"/>
      <c r="C146" s="1"/>
      <c r="D146" s="1"/>
      <c r="E146" s="1558"/>
      <c r="F146" s="1558"/>
      <c r="G146" s="1558"/>
      <c r="H146" s="1558"/>
      <c r="I146" s="1558"/>
      <c r="J146" s="1558"/>
      <c r="K146" s="1558"/>
      <c r="L146" s="1558"/>
      <c r="M146" s="1558"/>
      <c r="N146" s="1558"/>
      <c r="O146" s="1558"/>
      <c r="P146" s="1558"/>
      <c r="Q146" s="1558"/>
      <c r="R146" s="1558"/>
      <c r="S146" s="1558"/>
      <c r="T146" s="1558"/>
      <c r="U146" s="1558"/>
      <c r="V146" s="1558"/>
      <c r="W146" s="1558"/>
      <c r="X146" s="1558"/>
      <c r="Y146" s="1558"/>
      <c r="Z146" s="1558"/>
      <c r="AA146" s="1558"/>
      <c r="AB146" s="1558"/>
      <c r="AC146" s="1558"/>
      <c r="AD146" s="1558"/>
      <c r="AE146" s="1558"/>
      <c r="AF146" s="1558"/>
      <c r="AG146" s="1558"/>
      <c r="AH146" s="1558"/>
      <c r="AI146" s="1558"/>
      <c r="AJ146" s="1558"/>
      <c r="AK146" s="155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8" t="s">
        <v>1924</v>
      </c>
      <c r="H158" s="1558"/>
      <c r="I158" s="1558"/>
      <c r="J158" s="1558"/>
      <c r="K158" s="1558"/>
      <c r="L158" s="1558"/>
      <c r="M158" s="1558"/>
      <c r="N158" s="1558"/>
      <c r="O158" s="1558"/>
      <c r="P158" s="1558"/>
      <c r="Q158" s="1558"/>
      <c r="R158" s="1558"/>
      <c r="S158" s="1558"/>
      <c r="T158" s="1558"/>
      <c r="U158" s="1558"/>
      <c r="V158" s="1558"/>
      <c r="W158" s="1558"/>
      <c r="X158" s="1558"/>
      <c r="Y158" s="1558"/>
      <c r="Z158" s="1558"/>
      <c r="AA158" s="1558"/>
      <c r="AB158" s="1558"/>
      <c r="AC158" s="1558"/>
      <c r="AD158" s="1558"/>
      <c r="AE158" s="1558"/>
      <c r="AF158" s="1558"/>
      <c r="AG158" s="1558"/>
      <c r="AH158" s="1558"/>
      <c r="AI158" s="1558"/>
      <c r="AJ158" s="1558"/>
      <c r="AK158" s="1558"/>
      <c r="AL158" s="1"/>
    </row>
    <row r="159" spans="1:38">
      <c r="A159" s="1"/>
      <c r="B159" s="1"/>
      <c r="C159" s="1"/>
      <c r="D159" s="1"/>
      <c r="E159" s="1"/>
      <c r="F159" s="1"/>
      <c r="G159" s="1558"/>
      <c r="H159" s="1558"/>
      <c r="I159" s="1558"/>
      <c r="J159" s="1558"/>
      <c r="K159" s="1558"/>
      <c r="L159" s="1558"/>
      <c r="M159" s="1558"/>
      <c r="N159" s="1558"/>
      <c r="O159" s="1558"/>
      <c r="P159" s="1558"/>
      <c r="Q159" s="1558"/>
      <c r="R159" s="1558"/>
      <c r="S159" s="1558"/>
      <c r="T159" s="1558"/>
      <c r="U159" s="1558"/>
      <c r="V159" s="1558"/>
      <c r="W159" s="1558"/>
      <c r="X159" s="1558"/>
      <c r="Y159" s="1558"/>
      <c r="Z159" s="1558"/>
      <c r="AA159" s="1558"/>
      <c r="AB159" s="1558"/>
      <c r="AC159" s="1558"/>
      <c r="AD159" s="1558"/>
      <c r="AE159" s="1558"/>
      <c r="AF159" s="1558"/>
      <c r="AG159" s="1558"/>
      <c r="AH159" s="1558"/>
      <c r="AI159" s="1558"/>
      <c r="AJ159" s="1558"/>
      <c r="AK159" s="155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9" t="s">
        <v>2188</v>
      </c>
      <c r="F162" s="107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4"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4"/>
      <c r="G184" s="1"/>
      <c r="H184" s="1"/>
      <c r="I184" s="106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1" t="s">
        <v>1167</v>
      </c>
      <c r="F190" s="1071"/>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1"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4" t="s">
        <v>1784</v>
      </c>
      <c r="G195" s="1"/>
      <c r="H195" s="1"/>
      <c r="I195" s="10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1"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4"/>
      <c r="G202" s="283"/>
      <c r="H202" s="1"/>
      <c r="I202" s="10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4"/>
      <c r="G203" s="283"/>
      <c r="H203" s="1"/>
      <c r="I203" s="106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4"/>
      <c r="G204" s="283"/>
      <c r="H204" s="1"/>
      <c r="I204" s="106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4"/>
      <c r="G206" s="283"/>
      <c r="H206" s="1"/>
      <c r="I206" s="106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8" t="s">
        <v>1925</v>
      </c>
      <c r="H222" s="1558"/>
      <c r="I222" s="1558"/>
      <c r="J222" s="1558"/>
      <c r="K222" s="1558"/>
      <c r="L222" s="1558"/>
      <c r="M222" s="1558"/>
      <c r="N222" s="1558"/>
      <c r="O222" s="1558"/>
      <c r="P222" s="1558"/>
      <c r="Q222" s="1558"/>
      <c r="R222" s="1558"/>
      <c r="S222" s="1558"/>
      <c r="T222" s="1558"/>
      <c r="U222" s="1558"/>
      <c r="V222" s="1558"/>
      <c r="W222" s="1558"/>
      <c r="X222" s="1558"/>
      <c r="Y222" s="1558"/>
      <c r="Z222" s="1558"/>
      <c r="AA222" s="1558"/>
      <c r="AB222" s="1558"/>
      <c r="AC222" s="1558"/>
      <c r="AD222" s="1558"/>
      <c r="AE222" s="1558"/>
      <c r="AF222" s="1558"/>
      <c r="AG222" s="1558"/>
      <c r="AH222" s="1558"/>
      <c r="AI222" s="1558"/>
      <c r="AJ222" s="1558"/>
      <c r="AK222" s="1558"/>
      <c r="AL222" s="1"/>
    </row>
    <row r="223" spans="1:38">
      <c r="A223" s="1"/>
      <c r="B223" s="283"/>
      <c r="C223" s="283"/>
      <c r="D223" s="358"/>
      <c r="E223" s="1"/>
      <c r="F223" s="1"/>
      <c r="G223" s="1558"/>
      <c r="H223" s="1558"/>
      <c r="I223" s="1558"/>
      <c r="J223" s="1558"/>
      <c r="K223" s="1558"/>
      <c r="L223" s="1558"/>
      <c r="M223" s="1558"/>
      <c r="N223" s="1558"/>
      <c r="O223" s="1558"/>
      <c r="P223" s="1558"/>
      <c r="Q223" s="1558"/>
      <c r="R223" s="1558"/>
      <c r="S223" s="1558"/>
      <c r="T223" s="1558"/>
      <c r="U223" s="1558"/>
      <c r="V223" s="1558"/>
      <c r="W223" s="1558"/>
      <c r="X223" s="1558"/>
      <c r="Y223" s="1558"/>
      <c r="Z223" s="1558"/>
      <c r="AA223" s="1558"/>
      <c r="AB223" s="1558"/>
      <c r="AC223" s="1558"/>
      <c r="AD223" s="1558"/>
      <c r="AE223" s="1558"/>
      <c r="AF223" s="1558"/>
      <c r="AG223" s="1558"/>
      <c r="AH223" s="1558"/>
      <c r="AI223" s="1558"/>
      <c r="AJ223" s="1558"/>
      <c r="AK223" s="155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8" t="s">
        <v>1926</v>
      </c>
      <c r="H233" s="1558"/>
      <c r="I233" s="1558"/>
      <c r="J233" s="1558"/>
      <c r="K233" s="1558"/>
      <c r="L233" s="1558"/>
      <c r="M233" s="1558"/>
      <c r="N233" s="1558"/>
      <c r="O233" s="1558"/>
      <c r="P233" s="1558"/>
      <c r="Q233" s="1558"/>
      <c r="R233" s="1558"/>
      <c r="S233" s="1558"/>
      <c r="T233" s="1558"/>
      <c r="U233" s="1558"/>
      <c r="V233" s="1558"/>
      <c r="W233" s="1558"/>
      <c r="X233" s="1558"/>
      <c r="Y233" s="1558"/>
      <c r="Z233" s="1558"/>
      <c r="AA233" s="1558"/>
      <c r="AB233" s="1558"/>
      <c r="AC233" s="1558"/>
      <c r="AD233" s="1558"/>
      <c r="AE233" s="1558"/>
      <c r="AF233" s="1558"/>
      <c r="AG233" s="1558"/>
      <c r="AH233" s="1558"/>
      <c r="AI233" s="1558"/>
      <c r="AJ233" s="1558"/>
      <c r="AK233" s="1558"/>
      <c r="AL233" s="1"/>
    </row>
    <row r="234" spans="1:38">
      <c r="A234" s="1"/>
      <c r="B234" s="283"/>
      <c r="C234" s="283"/>
      <c r="D234" s="1"/>
      <c r="E234" s="1"/>
      <c r="F234" s="283"/>
      <c r="G234" s="1558"/>
      <c r="H234" s="1558"/>
      <c r="I234" s="1558"/>
      <c r="J234" s="1558"/>
      <c r="K234" s="1558"/>
      <c r="L234" s="1558"/>
      <c r="M234" s="1558"/>
      <c r="N234" s="1558"/>
      <c r="O234" s="1558"/>
      <c r="P234" s="1558"/>
      <c r="Q234" s="1558"/>
      <c r="R234" s="1558"/>
      <c r="S234" s="1558"/>
      <c r="T234" s="1558"/>
      <c r="U234" s="1558"/>
      <c r="V234" s="1558"/>
      <c r="W234" s="1558"/>
      <c r="X234" s="1558"/>
      <c r="Y234" s="1558"/>
      <c r="Z234" s="1558"/>
      <c r="AA234" s="1558"/>
      <c r="AB234" s="1558"/>
      <c r="AC234" s="1558"/>
      <c r="AD234" s="1558"/>
      <c r="AE234" s="1558"/>
      <c r="AF234" s="1558"/>
      <c r="AG234" s="1558"/>
      <c r="AH234" s="1558"/>
      <c r="AI234" s="1558"/>
      <c r="AJ234" s="1558"/>
      <c r="AK234" s="1558"/>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8" t="s">
        <v>1927</v>
      </c>
      <c r="H236" s="1558"/>
      <c r="I236" s="1558"/>
      <c r="J236" s="1558"/>
      <c r="K236" s="1558"/>
      <c r="L236" s="1558"/>
      <c r="M236" s="1558"/>
      <c r="N236" s="1558"/>
      <c r="O236" s="1558"/>
      <c r="P236" s="1558"/>
      <c r="Q236" s="1558"/>
      <c r="R236" s="1558"/>
      <c r="S236" s="1558"/>
      <c r="T236" s="1558"/>
      <c r="U236" s="1558"/>
      <c r="V236" s="1558"/>
      <c r="W236" s="1558"/>
      <c r="X236" s="1558"/>
      <c r="Y236" s="1558"/>
      <c r="Z236" s="1558"/>
      <c r="AA236" s="1558"/>
      <c r="AB236" s="1558"/>
      <c r="AC236" s="1558"/>
      <c r="AD236" s="1558"/>
      <c r="AE236" s="1558"/>
      <c r="AF236" s="1558"/>
      <c r="AG236" s="1558"/>
      <c r="AH236" s="1558"/>
      <c r="AI236" s="1558"/>
      <c r="AJ236" s="1558"/>
      <c r="AK236" s="1558"/>
      <c r="AL236" s="1"/>
    </row>
    <row r="237" spans="1:38">
      <c r="A237" s="1"/>
      <c r="B237" s="283"/>
      <c r="C237" s="283"/>
      <c r="D237" s="1"/>
      <c r="E237" s="1"/>
      <c r="F237" s="283"/>
      <c r="G237" s="1558"/>
      <c r="H237" s="1558"/>
      <c r="I237" s="1558"/>
      <c r="J237" s="1558"/>
      <c r="K237" s="1558"/>
      <c r="L237" s="1558"/>
      <c r="M237" s="1558"/>
      <c r="N237" s="1558"/>
      <c r="O237" s="1558"/>
      <c r="P237" s="1558"/>
      <c r="Q237" s="1558"/>
      <c r="R237" s="1558"/>
      <c r="S237" s="1558"/>
      <c r="T237" s="1558"/>
      <c r="U237" s="1558"/>
      <c r="V237" s="1558"/>
      <c r="W237" s="1558"/>
      <c r="X237" s="1558"/>
      <c r="Y237" s="1558"/>
      <c r="Z237" s="1558"/>
      <c r="AA237" s="1558"/>
      <c r="AB237" s="1558"/>
      <c r="AC237" s="1558"/>
      <c r="AD237" s="1558"/>
      <c r="AE237" s="1558"/>
      <c r="AF237" s="1558"/>
      <c r="AG237" s="1558"/>
      <c r="AH237" s="1558"/>
      <c r="AI237" s="1558"/>
      <c r="AJ237" s="1558"/>
      <c r="AK237" s="155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3" t="s">
        <v>372</v>
      </c>
      <c r="C239" s="1063"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6"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4"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4" t="s">
        <v>1785</v>
      </c>
      <c r="F285" s="1064"/>
      <c r="G285" s="283"/>
      <c r="H285" s="1064"/>
      <c r="I285" s="1064"/>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8" t="s">
        <v>1169</v>
      </c>
      <c r="F286" s="1"/>
      <c r="G286" s="283"/>
      <c r="H286" s="1078"/>
      <c r="I286" s="1078"/>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4" t="s">
        <v>1786</v>
      </c>
      <c r="G290" s="1064"/>
      <c r="H290" s="1064"/>
      <c r="I290" s="1064"/>
      <c r="J290" s="1064"/>
      <c r="K290" s="1064"/>
      <c r="L290" s="1064"/>
      <c r="M290" s="1064"/>
      <c r="N290" s="1064"/>
      <c r="O290" s="1064"/>
      <c r="P290" s="1064"/>
      <c r="Q290" s="1064"/>
      <c r="R290" s="1064"/>
      <c r="S290" s="1064"/>
      <c r="T290" s="1064"/>
      <c r="U290" s="1064"/>
      <c r="V290" s="1064"/>
      <c r="W290" s="1064"/>
      <c r="X290" s="1064"/>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6" t="s">
        <v>1110</v>
      </c>
      <c r="G301" s="1064"/>
      <c r="H301" s="1064"/>
      <c r="I301" s="1066"/>
      <c r="J301" s="1066"/>
      <c r="K301" s="1066"/>
      <c r="L301" s="1066"/>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6" t="s">
        <v>1353</v>
      </c>
      <c r="G302" s="1064"/>
      <c r="H302" s="1064"/>
      <c r="I302" s="1066"/>
      <c r="J302" s="1066"/>
      <c r="K302" s="1066"/>
      <c r="L302" s="1066"/>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6" t="s">
        <v>1107</v>
      </c>
      <c r="G303" s="1064"/>
      <c r="H303" s="1064"/>
      <c r="I303" s="1066"/>
      <c r="J303" s="1066"/>
      <c r="K303" s="1066"/>
      <c r="L303" s="1066"/>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4"/>
      <c r="G304" s="1064"/>
      <c r="H304" s="1064"/>
      <c r="I304" s="1064"/>
      <c r="J304" s="1064"/>
      <c r="K304" s="1064"/>
      <c r="L304" s="1064"/>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4"/>
      <c r="J305" s="1064"/>
      <c r="K305" s="1064"/>
      <c r="L305" s="1064"/>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4"/>
      <c r="J306" s="1064"/>
      <c r="K306" s="1064"/>
      <c r="L306" s="1064"/>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4"/>
      <c r="J307" s="1064"/>
      <c r="K307" s="1064"/>
      <c r="L307" s="1064"/>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9"/>
      <c r="B319" s="1080"/>
      <c r="C319" s="1081"/>
      <c r="D319" s="1080" t="s">
        <v>932</v>
      </c>
      <c r="E319" s="1080" t="s">
        <v>882</v>
      </c>
      <c r="F319" s="1081"/>
      <c r="G319" s="1081"/>
      <c r="H319" s="1081"/>
      <c r="I319" s="1081"/>
      <c r="J319" s="1081"/>
      <c r="K319" s="1081"/>
      <c r="L319" s="1081"/>
      <c r="M319" s="1081"/>
      <c r="N319" s="1081"/>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4" t="s">
        <v>1788</v>
      </c>
      <c r="G328" s="1"/>
      <c r="H328" s="1"/>
      <c r="I328" s="1064"/>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4" t="s">
        <v>1789</v>
      </c>
      <c r="G329" s="1"/>
      <c r="H329" s="1"/>
      <c r="I329" s="1064"/>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3"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95" customHeight="1">
      <c r="A343" s="1"/>
      <c r="B343" s="358"/>
      <c r="C343" s="1"/>
      <c r="D343" s="1"/>
      <c r="E343" s="1567" t="s">
        <v>2056</v>
      </c>
      <c r="F343" s="1567"/>
      <c r="G343" s="1567"/>
      <c r="H343" s="1567"/>
      <c r="I343" s="1567"/>
      <c r="J343" s="1567"/>
      <c r="K343" s="1567"/>
      <c r="L343" s="1567"/>
      <c r="M343" s="1567"/>
      <c r="N343" s="1567"/>
      <c r="O343" s="1567"/>
      <c r="P343" s="1567"/>
      <c r="Q343" s="1567"/>
      <c r="R343" s="1567"/>
      <c r="S343" s="1567"/>
      <c r="T343" s="1567"/>
      <c r="U343" s="1567"/>
      <c r="V343" s="1567"/>
      <c r="W343" s="1567"/>
      <c r="X343" s="1567"/>
      <c r="Y343" s="1567"/>
      <c r="Z343" s="1567"/>
      <c r="AA343" s="1567"/>
      <c r="AB343" s="1567"/>
      <c r="AC343" s="1567"/>
      <c r="AD343" s="1567"/>
      <c r="AE343" s="1567"/>
      <c r="AF343" s="1567"/>
      <c r="AG343" s="1567"/>
      <c r="AH343" s="1567"/>
      <c r="AI343" s="1567"/>
      <c r="AJ343" s="1567"/>
      <c r="AK343" s="1567"/>
      <c r="AL343" s="1"/>
    </row>
    <row r="344" spans="1:38">
      <c r="A344" s="1"/>
      <c r="B344" s="358"/>
      <c r="C344" s="1"/>
      <c r="D344" s="1"/>
      <c r="E344" s="1567"/>
      <c r="F344" s="1567"/>
      <c r="G344" s="1567"/>
      <c r="H344" s="1567"/>
      <c r="I344" s="1567"/>
      <c r="J344" s="1567"/>
      <c r="K344" s="1567"/>
      <c r="L344" s="1567"/>
      <c r="M344" s="1567"/>
      <c r="N344" s="1567"/>
      <c r="O344" s="1567"/>
      <c r="P344" s="1567"/>
      <c r="Q344" s="1567"/>
      <c r="R344" s="1567"/>
      <c r="S344" s="1567"/>
      <c r="T344" s="1567"/>
      <c r="U344" s="1567"/>
      <c r="V344" s="1567"/>
      <c r="W344" s="1567"/>
      <c r="X344" s="1567"/>
      <c r="Y344" s="1567"/>
      <c r="Z344" s="1567"/>
      <c r="AA344" s="1567"/>
      <c r="AB344" s="1567"/>
      <c r="AC344" s="1567"/>
      <c r="AD344" s="1567"/>
      <c r="AE344" s="1567"/>
      <c r="AF344" s="1567"/>
      <c r="AG344" s="1567"/>
      <c r="AH344" s="1567"/>
      <c r="AI344" s="1567"/>
      <c r="AJ344" s="1567"/>
      <c r="AK344" s="1567"/>
      <c r="AL344" s="1"/>
    </row>
    <row r="345" spans="1:38">
      <c r="A345" s="1"/>
      <c r="B345" s="358"/>
      <c r="C345" s="1"/>
      <c r="D345" s="1"/>
      <c r="E345" s="1567"/>
      <c r="F345" s="1567"/>
      <c r="G345" s="1567"/>
      <c r="H345" s="1567"/>
      <c r="I345" s="1567"/>
      <c r="J345" s="1567"/>
      <c r="K345" s="1567"/>
      <c r="L345" s="1567"/>
      <c r="M345" s="1567"/>
      <c r="N345" s="1567"/>
      <c r="O345" s="1567"/>
      <c r="P345" s="1567"/>
      <c r="Q345" s="1567"/>
      <c r="R345" s="1567"/>
      <c r="S345" s="1567"/>
      <c r="T345" s="1567"/>
      <c r="U345" s="1567"/>
      <c r="V345" s="1567"/>
      <c r="W345" s="1567"/>
      <c r="X345" s="1567"/>
      <c r="Y345" s="1567"/>
      <c r="Z345" s="1567"/>
      <c r="AA345" s="1567"/>
      <c r="AB345" s="1567"/>
      <c r="AC345" s="1567"/>
      <c r="AD345" s="1567"/>
      <c r="AE345" s="1567"/>
      <c r="AF345" s="1567"/>
      <c r="AG345" s="1567"/>
      <c r="AH345" s="1567"/>
      <c r="AI345" s="1567"/>
      <c r="AJ345" s="1567"/>
      <c r="AK345" s="1567"/>
      <c r="AL345" s="1"/>
    </row>
    <row r="346" spans="1:38">
      <c r="A346" s="1"/>
      <c r="B346" s="358"/>
      <c r="C346" s="1"/>
      <c r="D346" s="1"/>
      <c r="E346" s="1567"/>
      <c r="F346" s="1567"/>
      <c r="G346" s="1567"/>
      <c r="H346" s="1567"/>
      <c r="I346" s="1567"/>
      <c r="J346" s="1567"/>
      <c r="K346" s="1567"/>
      <c r="L346" s="1567"/>
      <c r="M346" s="1567"/>
      <c r="N346" s="1567"/>
      <c r="O346" s="1567"/>
      <c r="P346" s="1567"/>
      <c r="Q346" s="1567"/>
      <c r="R346" s="1567"/>
      <c r="S346" s="1567"/>
      <c r="T346" s="1567"/>
      <c r="U346" s="1567"/>
      <c r="V346" s="1567"/>
      <c r="W346" s="1567"/>
      <c r="X346" s="1567"/>
      <c r="Y346" s="1567"/>
      <c r="Z346" s="1567"/>
      <c r="AA346" s="1567"/>
      <c r="AB346" s="1567"/>
      <c r="AC346" s="1567"/>
      <c r="AD346" s="1567"/>
      <c r="AE346" s="1567"/>
      <c r="AF346" s="1567"/>
      <c r="AG346" s="1567"/>
      <c r="AH346" s="1567"/>
      <c r="AI346" s="1567"/>
      <c r="AJ346" s="1567"/>
      <c r="AK346" s="1567"/>
      <c r="AL346" s="1"/>
    </row>
    <row r="347" spans="1:38">
      <c r="A347" s="1"/>
      <c r="B347" s="358"/>
      <c r="C347" s="1"/>
      <c r="D347" s="1"/>
      <c r="E347" s="1567"/>
      <c r="F347" s="1567"/>
      <c r="G347" s="1567"/>
      <c r="H347" s="1567"/>
      <c r="I347" s="1567"/>
      <c r="J347" s="1567"/>
      <c r="K347" s="1567"/>
      <c r="L347" s="1567"/>
      <c r="M347" s="1567"/>
      <c r="N347" s="1567"/>
      <c r="O347" s="1567"/>
      <c r="P347" s="1567"/>
      <c r="Q347" s="1567"/>
      <c r="R347" s="1567"/>
      <c r="S347" s="1567"/>
      <c r="T347" s="1567"/>
      <c r="U347" s="1567"/>
      <c r="V347" s="1567"/>
      <c r="W347" s="1567"/>
      <c r="X347" s="1567"/>
      <c r="Y347" s="1567"/>
      <c r="Z347" s="1567"/>
      <c r="AA347" s="1567"/>
      <c r="AB347" s="1567"/>
      <c r="AC347" s="1567"/>
      <c r="AD347" s="1567"/>
      <c r="AE347" s="1567"/>
      <c r="AF347" s="1567"/>
      <c r="AG347" s="1567"/>
      <c r="AH347" s="1567"/>
      <c r="AI347" s="1567"/>
      <c r="AJ347" s="1567"/>
      <c r="AK347" s="1567"/>
      <c r="AL347" s="1"/>
    </row>
    <row r="348" spans="1:38">
      <c r="A348" s="1"/>
      <c r="B348" s="358"/>
      <c r="C348" s="1"/>
      <c r="D348" s="1"/>
      <c r="E348" s="283" t="s">
        <v>1004</v>
      </c>
      <c r="F348" s="1558" t="s">
        <v>2057</v>
      </c>
      <c r="G348" s="1565"/>
      <c r="H348" s="1565"/>
      <c r="I348" s="1565"/>
      <c r="J348" s="1565"/>
      <c r="K348" s="1565"/>
      <c r="L348" s="1565"/>
      <c r="M348" s="1565"/>
      <c r="N348" s="1565"/>
      <c r="O348" s="1565"/>
      <c r="P348" s="1565"/>
      <c r="Q348" s="1565"/>
      <c r="R348" s="1565"/>
      <c r="S348" s="1565"/>
      <c r="T348" s="1565"/>
      <c r="U348" s="1565"/>
      <c r="V348" s="1565"/>
      <c r="W348" s="1565"/>
      <c r="X348" s="1565"/>
      <c r="Y348" s="1565"/>
      <c r="Z348" s="1565"/>
      <c r="AA348" s="1565"/>
      <c r="AB348" s="1565"/>
      <c r="AC348" s="1565"/>
      <c r="AD348" s="1565"/>
      <c r="AE348" s="1565"/>
      <c r="AF348" s="1565"/>
      <c r="AG348" s="1565"/>
      <c r="AH348" s="1565"/>
      <c r="AI348" s="1565"/>
      <c r="AJ348" s="1565"/>
      <c r="AK348" s="1565"/>
      <c r="AL348" s="1"/>
    </row>
    <row r="349" spans="1:38">
      <c r="A349" s="1"/>
      <c r="B349" s="358"/>
      <c r="C349" s="1"/>
      <c r="D349" s="1"/>
      <c r="E349" s="283"/>
      <c r="F349" s="1558"/>
      <c r="G349" s="1565"/>
      <c r="H349" s="1565"/>
      <c r="I349" s="1565"/>
      <c r="J349" s="1565"/>
      <c r="K349" s="1565"/>
      <c r="L349" s="1565"/>
      <c r="M349" s="1565"/>
      <c r="N349" s="1565"/>
      <c r="O349" s="1565"/>
      <c r="P349" s="1565"/>
      <c r="Q349" s="1565"/>
      <c r="R349" s="1565"/>
      <c r="S349" s="1565"/>
      <c r="T349" s="1565"/>
      <c r="U349" s="1565"/>
      <c r="V349" s="1565"/>
      <c r="W349" s="1565"/>
      <c r="X349" s="1565"/>
      <c r="Y349" s="1565"/>
      <c r="Z349" s="1565"/>
      <c r="AA349" s="1565"/>
      <c r="AB349" s="1565"/>
      <c r="AC349" s="1565"/>
      <c r="AD349" s="1565"/>
      <c r="AE349" s="1565"/>
      <c r="AF349" s="1565"/>
      <c r="AG349" s="1565"/>
      <c r="AH349" s="1565"/>
      <c r="AI349" s="1565"/>
      <c r="AJ349" s="1565"/>
      <c r="AK349" s="1565"/>
      <c r="AL349" s="1"/>
    </row>
    <row r="350" spans="1:38">
      <c r="A350" s="1"/>
      <c r="B350" s="358"/>
      <c r="C350" s="1"/>
      <c r="D350" s="1"/>
      <c r="E350" s="283"/>
      <c r="F350" s="1565"/>
      <c r="G350" s="1565"/>
      <c r="H350" s="1565"/>
      <c r="I350" s="1565"/>
      <c r="J350" s="1565"/>
      <c r="K350" s="1565"/>
      <c r="L350" s="1565"/>
      <c r="M350" s="1565"/>
      <c r="N350" s="1565"/>
      <c r="O350" s="1565"/>
      <c r="P350" s="1565"/>
      <c r="Q350" s="1565"/>
      <c r="R350" s="1565"/>
      <c r="S350" s="1565"/>
      <c r="T350" s="1565"/>
      <c r="U350" s="1565"/>
      <c r="V350" s="1565"/>
      <c r="W350" s="1565"/>
      <c r="X350" s="1565"/>
      <c r="Y350" s="1565"/>
      <c r="Z350" s="1565"/>
      <c r="AA350" s="1565"/>
      <c r="AB350" s="1565"/>
      <c r="AC350" s="1565"/>
      <c r="AD350" s="1565"/>
      <c r="AE350" s="1565"/>
      <c r="AF350" s="1565"/>
      <c r="AG350" s="1565"/>
      <c r="AH350" s="1565"/>
      <c r="AI350" s="1565"/>
      <c r="AJ350" s="1565"/>
      <c r="AK350" s="1565"/>
      <c r="AL350" s="1"/>
    </row>
    <row r="351" spans="1:38">
      <c r="A351" s="1"/>
      <c r="B351" s="358"/>
      <c r="C351" s="1"/>
      <c r="D351" s="1"/>
      <c r="E351" s="283"/>
      <c r="F351" s="1565"/>
      <c r="G351" s="1565"/>
      <c r="H351" s="1565"/>
      <c r="I351" s="1565"/>
      <c r="J351" s="1565"/>
      <c r="K351" s="1565"/>
      <c r="L351" s="1565"/>
      <c r="M351" s="1565"/>
      <c r="N351" s="1565"/>
      <c r="O351" s="1565"/>
      <c r="P351" s="1565"/>
      <c r="Q351" s="1565"/>
      <c r="R351" s="1565"/>
      <c r="S351" s="1565"/>
      <c r="T351" s="1565"/>
      <c r="U351" s="1565"/>
      <c r="V351" s="1565"/>
      <c r="W351" s="1565"/>
      <c r="X351" s="1565"/>
      <c r="Y351" s="1565"/>
      <c r="Z351" s="1565"/>
      <c r="AA351" s="1565"/>
      <c r="AB351" s="1565"/>
      <c r="AC351" s="1565"/>
      <c r="AD351" s="1565"/>
      <c r="AE351" s="1565"/>
      <c r="AF351" s="1565"/>
      <c r="AG351" s="1565"/>
      <c r="AH351" s="1565"/>
      <c r="AI351" s="1565"/>
      <c r="AJ351" s="1565"/>
      <c r="AK351" s="1565"/>
      <c r="AL351" s="1"/>
    </row>
    <row r="352" spans="1:38">
      <c r="A352" s="1"/>
      <c r="B352" s="358"/>
      <c r="C352" s="1"/>
      <c r="D352" s="1"/>
      <c r="E352" s="283" t="s">
        <v>1005</v>
      </c>
      <c r="F352" s="1558" t="s">
        <v>2058</v>
      </c>
      <c r="G352" s="1565"/>
      <c r="H352" s="1565"/>
      <c r="I352" s="1565"/>
      <c r="J352" s="1565"/>
      <c r="K352" s="1565"/>
      <c r="L352" s="1565"/>
      <c r="M352" s="1565"/>
      <c r="N352" s="1565"/>
      <c r="O352" s="1565"/>
      <c r="P352" s="1565"/>
      <c r="Q352" s="1565"/>
      <c r="R352" s="1565"/>
      <c r="S352" s="1565"/>
      <c r="T352" s="1565"/>
      <c r="U352" s="1565"/>
      <c r="V352" s="1565"/>
      <c r="W352" s="1565"/>
      <c r="X352" s="1565"/>
      <c r="Y352" s="1565"/>
      <c r="Z352" s="1565"/>
      <c r="AA352" s="1565"/>
      <c r="AB352" s="1565"/>
      <c r="AC352" s="1565"/>
      <c r="AD352" s="1565"/>
      <c r="AE352" s="1565"/>
      <c r="AF352" s="1565"/>
      <c r="AG352" s="1565"/>
      <c r="AH352" s="1565"/>
      <c r="AI352" s="1565"/>
      <c r="AJ352" s="1565"/>
      <c r="AK352" s="1565"/>
      <c r="AL352" s="1"/>
    </row>
    <row r="353" spans="1:38">
      <c r="A353" s="1"/>
      <c r="B353" s="358"/>
      <c r="C353" s="1"/>
      <c r="D353" s="1"/>
      <c r="E353" s="1"/>
      <c r="F353" s="1565"/>
      <c r="G353" s="1565"/>
      <c r="H353" s="1565"/>
      <c r="I353" s="1565"/>
      <c r="J353" s="1565"/>
      <c r="K353" s="1565"/>
      <c r="L353" s="1565"/>
      <c r="M353" s="1565"/>
      <c r="N353" s="1565"/>
      <c r="O353" s="1565"/>
      <c r="P353" s="1565"/>
      <c r="Q353" s="1565"/>
      <c r="R353" s="1565"/>
      <c r="S353" s="1565"/>
      <c r="T353" s="1565"/>
      <c r="U353" s="1565"/>
      <c r="V353" s="1565"/>
      <c r="W353" s="1565"/>
      <c r="X353" s="1565"/>
      <c r="Y353" s="1565"/>
      <c r="Z353" s="1565"/>
      <c r="AA353" s="1565"/>
      <c r="AB353" s="1565"/>
      <c r="AC353" s="1565"/>
      <c r="AD353" s="1565"/>
      <c r="AE353" s="1565"/>
      <c r="AF353" s="1565"/>
      <c r="AG353" s="1565"/>
      <c r="AH353" s="1565"/>
      <c r="AI353" s="1565"/>
      <c r="AJ353" s="1565"/>
      <c r="AK353" s="1565"/>
      <c r="AL353" s="1"/>
    </row>
    <row r="354" spans="1:38">
      <c r="A354" s="1"/>
      <c r="B354" s="358"/>
      <c r="C354" s="1"/>
      <c r="D354" s="1"/>
      <c r="E354" s="1"/>
      <c r="F354" s="1565"/>
      <c r="G354" s="1565"/>
      <c r="H354" s="1565"/>
      <c r="I354" s="1565"/>
      <c r="J354" s="1565"/>
      <c r="K354" s="1565"/>
      <c r="L354" s="1565"/>
      <c r="M354" s="1565"/>
      <c r="N354" s="1565"/>
      <c r="O354" s="1565"/>
      <c r="P354" s="1565"/>
      <c r="Q354" s="1565"/>
      <c r="R354" s="1565"/>
      <c r="S354" s="1565"/>
      <c r="T354" s="1565"/>
      <c r="U354" s="1565"/>
      <c r="V354" s="1565"/>
      <c r="W354" s="1565"/>
      <c r="X354" s="1565"/>
      <c r="Y354" s="1565"/>
      <c r="Z354" s="1565"/>
      <c r="AA354" s="1565"/>
      <c r="AB354" s="1565"/>
      <c r="AC354" s="1565"/>
      <c r="AD354" s="1565"/>
      <c r="AE354" s="1565"/>
      <c r="AF354" s="1565"/>
      <c r="AG354" s="1565"/>
      <c r="AH354" s="1565"/>
      <c r="AI354" s="1565"/>
      <c r="AJ354" s="1565"/>
      <c r="AK354" s="1565"/>
      <c r="AL354" s="1"/>
    </row>
    <row r="355" spans="1:38">
      <c r="A355" s="1"/>
      <c r="B355" s="358"/>
      <c r="C355" s="1"/>
      <c r="D355" s="1"/>
      <c r="E355" s="1"/>
      <c r="F355" s="1565"/>
      <c r="G355" s="1565"/>
      <c r="H355" s="1565"/>
      <c r="I355" s="1565"/>
      <c r="J355" s="1565"/>
      <c r="K355" s="1565"/>
      <c r="L355" s="1565"/>
      <c r="M355" s="1565"/>
      <c r="N355" s="1565"/>
      <c r="O355" s="1565"/>
      <c r="P355" s="1565"/>
      <c r="Q355" s="1565"/>
      <c r="R355" s="1565"/>
      <c r="S355" s="1565"/>
      <c r="T355" s="1565"/>
      <c r="U355" s="1565"/>
      <c r="V355" s="1565"/>
      <c r="W355" s="1565"/>
      <c r="X355" s="1565"/>
      <c r="Y355" s="1565"/>
      <c r="Z355" s="1565"/>
      <c r="AA355" s="1565"/>
      <c r="AB355" s="1565"/>
      <c r="AC355" s="1565"/>
      <c r="AD355" s="1565"/>
      <c r="AE355" s="1565"/>
      <c r="AF355" s="1565"/>
      <c r="AG355" s="1565"/>
      <c r="AH355" s="1565"/>
      <c r="AI355" s="1565"/>
      <c r="AJ355" s="1565"/>
      <c r="AK355" s="1565"/>
      <c r="AL355" s="1"/>
    </row>
    <row r="356" spans="1:38">
      <c r="A356" s="12"/>
      <c r="B356" s="1063" t="s">
        <v>497</v>
      </c>
      <c r="C356" s="1063" t="s">
        <v>172</v>
      </c>
      <c r="D356" s="12"/>
      <c r="E356" s="1063"/>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4" customFormat="1">
      <c r="A365" s="1"/>
      <c r="B365" s="358"/>
      <c r="C365" s="1"/>
      <c r="D365" s="1"/>
      <c r="E365" s="1564" t="s">
        <v>2053</v>
      </c>
    </row>
    <row r="366" spans="1:38" s="1564" customFormat="1">
      <c r="A366" s="1"/>
      <c r="B366" s="358"/>
      <c r="C366" s="1"/>
      <c r="D366" s="1"/>
    </row>
    <row r="367" spans="1:38">
      <c r="A367" s="1"/>
      <c r="B367" s="358"/>
      <c r="C367" s="1"/>
      <c r="D367" s="1"/>
      <c r="E367" s="1"/>
      <c r="F367" s="1562" t="s">
        <v>2054</v>
      </c>
      <c r="G367" s="1563"/>
      <c r="H367" s="1563"/>
      <c r="I367" s="1563"/>
      <c r="J367" s="1563"/>
      <c r="K367" s="1563"/>
      <c r="L367" s="1563"/>
      <c r="M367" s="1563"/>
      <c r="N367" s="1563"/>
      <c r="O367" s="1563"/>
      <c r="P367" s="1563"/>
      <c r="Q367" s="1563"/>
      <c r="R367" s="1563"/>
      <c r="S367" s="1563"/>
      <c r="T367" s="1563"/>
      <c r="U367" s="1563"/>
      <c r="V367" s="1563"/>
      <c r="W367" s="1563"/>
      <c r="X367" s="1563"/>
      <c r="Y367" s="1563"/>
      <c r="Z367" s="1563"/>
      <c r="AA367" s="1563"/>
      <c r="AB367" s="1563"/>
      <c r="AC367" s="1563"/>
      <c r="AD367" s="1563"/>
      <c r="AE367" s="1563"/>
      <c r="AF367" s="1563"/>
      <c r="AG367" s="1563"/>
      <c r="AH367" s="1563"/>
      <c r="AI367" s="1563"/>
      <c r="AJ367" s="1563"/>
      <c r="AK367" s="1563"/>
      <c r="AL367" s="1563"/>
    </row>
    <row r="368" spans="1:38">
      <c r="A368" s="1"/>
      <c r="B368" s="358"/>
      <c r="C368" s="1"/>
      <c r="D368" s="1"/>
      <c r="E368" s="1"/>
      <c r="F368" s="1563"/>
      <c r="G368" s="1563"/>
      <c r="H368" s="1563"/>
      <c r="I368" s="1563"/>
      <c r="J368" s="1563"/>
      <c r="K368" s="1563"/>
      <c r="L368" s="1563"/>
      <c r="M368" s="1563"/>
      <c r="N368" s="1563"/>
      <c r="O368" s="1563"/>
      <c r="P368" s="1563"/>
      <c r="Q368" s="1563"/>
      <c r="R368" s="1563"/>
      <c r="S368" s="1563"/>
      <c r="T368" s="1563"/>
      <c r="U368" s="1563"/>
      <c r="V368" s="1563"/>
      <c r="W368" s="1563"/>
      <c r="X368" s="1563"/>
      <c r="Y368" s="1563"/>
      <c r="Z368" s="1563"/>
      <c r="AA368" s="1563"/>
      <c r="AB368" s="1563"/>
      <c r="AC368" s="1563"/>
      <c r="AD368" s="1563"/>
      <c r="AE368" s="1563"/>
      <c r="AF368" s="1563"/>
      <c r="AG368" s="1563"/>
      <c r="AH368" s="1563"/>
      <c r="AI368" s="1563"/>
      <c r="AJ368" s="1563"/>
      <c r="AK368" s="1563"/>
      <c r="AL368" s="156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6" t="s">
        <v>1793</v>
      </c>
      <c r="G376" s="288"/>
      <c r="H376" s="272"/>
      <c r="I376" s="1066"/>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6"/>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2"/>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2"/>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6"/>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6" t="s">
        <v>1793</v>
      </c>
      <c r="G387" s="283"/>
      <c r="H387" s="1"/>
      <c r="I387" s="1066"/>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6"/>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2"/>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2"/>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c r="AC392" s="1061"/>
      <c r="AD392" s="1061"/>
      <c r="AE392" s="1061"/>
      <c r="AF392" s="1061"/>
      <c r="AG392" s="1061"/>
      <c r="AH392" s="1061"/>
      <c r="AI392" s="1061"/>
      <c r="AJ392" s="1061"/>
      <c r="AK392" s="1061"/>
      <c r="AL392" s="272"/>
    </row>
    <row r="393" spans="1:38">
      <c r="A393" s="12"/>
      <c r="B393" s="1063" t="s">
        <v>823</v>
      </c>
      <c r="C393" s="1063"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2" t="s">
        <v>160</v>
      </c>
      <c r="C408" s="1063"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0"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13" workbookViewId="0">
      <selection activeCell="N16" sqref="N16"/>
    </sheetView>
  </sheetViews>
  <sheetFormatPr defaultColWidth="0" defaultRowHeight="13.2"/>
  <cols>
    <col min="1" max="5" width="2.44140625" style="1507" customWidth="1"/>
    <col min="6" max="6" width="2.44140625" style="1511" customWidth="1"/>
    <col min="7" max="7" width="2.44140625" style="1507" customWidth="1"/>
    <col min="8" max="8" width="2.44140625" style="1511" customWidth="1"/>
    <col min="9" max="10" width="2.44140625" style="1507" customWidth="1"/>
    <col min="11" max="11" width="2.44140625" style="1508" customWidth="1"/>
    <col min="12" max="43" width="2.44140625" style="1507" customWidth="1"/>
    <col min="44" max="47" width="2.44140625" style="1507" hidden="1" customWidth="1"/>
    <col min="48" max="16384" width="9.109375" style="1507" hidden="1"/>
  </cols>
  <sheetData>
    <row r="1" spans="1:57" ht="15" customHeight="1">
      <c r="A1" s="2651" t="s">
        <v>2341</v>
      </c>
      <c r="B1" s="2651"/>
      <c r="C1" s="2651"/>
      <c r="D1" s="2651"/>
      <c r="E1" s="2651"/>
      <c r="F1" s="2651"/>
      <c r="G1" s="2651"/>
      <c r="H1" s="2651"/>
      <c r="I1" s="2651"/>
      <c r="J1" s="2651"/>
      <c r="K1" s="2651"/>
      <c r="L1" s="2651"/>
      <c r="M1" s="2651"/>
      <c r="N1" s="2651"/>
      <c r="O1" s="2651"/>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row>
    <row r="2" spans="1:57" ht="15" customHeight="1">
      <c r="A2" s="2651"/>
      <c r="B2" s="2651"/>
      <c r="C2" s="2651"/>
      <c r="D2" s="2651"/>
      <c r="E2" s="2651"/>
      <c r="F2" s="2651"/>
      <c r="G2" s="2651"/>
      <c r="H2" s="2651"/>
      <c r="I2" s="2651"/>
      <c r="J2" s="2651"/>
      <c r="K2" s="2651"/>
      <c r="L2" s="2651"/>
      <c r="M2" s="2651"/>
      <c r="N2" s="2651"/>
      <c r="O2" s="2651"/>
      <c r="P2" s="2651"/>
      <c r="Q2" s="2651"/>
      <c r="R2" s="2651"/>
      <c r="S2" s="2651"/>
      <c r="T2" s="2651"/>
      <c r="U2" s="2651"/>
      <c r="V2" s="2651"/>
      <c r="W2" s="2651"/>
      <c r="X2" s="2651"/>
      <c r="Y2" s="2651"/>
      <c r="Z2" s="2651"/>
      <c r="AA2" s="2651"/>
      <c r="AB2" s="2651"/>
      <c r="AC2" s="2651"/>
      <c r="AD2" s="2651"/>
      <c r="AE2" s="2651"/>
      <c r="AF2" s="2651"/>
      <c r="AG2" s="2651"/>
      <c r="AH2" s="2651"/>
      <c r="AI2" s="2651"/>
      <c r="AJ2" s="2651"/>
      <c r="AK2" s="2651"/>
      <c r="AL2" s="2651"/>
      <c r="AM2" s="2651"/>
      <c r="AN2" s="2651"/>
      <c r="AO2" s="2651"/>
      <c r="AP2" s="2651"/>
      <c r="AQ2" s="2651"/>
    </row>
    <row r="3" spans="1:57">
      <c r="A3" s="1509"/>
      <c r="B3" s="1509"/>
      <c r="E3" s="1510"/>
      <c r="I3" s="1512"/>
      <c r="K3" s="1513"/>
    </row>
    <row r="4" spans="1:57" ht="14.25" customHeight="1">
      <c r="A4" s="2650" t="s">
        <v>2342</v>
      </c>
      <c r="B4" s="2650"/>
      <c r="C4" s="2650"/>
      <c r="D4" s="2650"/>
      <c r="E4" s="2650"/>
      <c r="F4" s="2650"/>
      <c r="G4" s="2650"/>
      <c r="H4" s="2650"/>
      <c r="I4" s="2650"/>
      <c r="J4" s="2650"/>
      <c r="K4" s="2650"/>
      <c r="L4" s="2650"/>
      <c r="M4" s="2650"/>
      <c r="N4" s="2650"/>
      <c r="O4" s="2650"/>
      <c r="P4" s="2650"/>
      <c r="Q4" s="2650"/>
      <c r="R4" s="2650"/>
      <c r="S4" s="2650"/>
      <c r="T4" s="2650"/>
      <c r="U4" s="2650"/>
      <c r="V4" s="2650"/>
      <c r="W4" s="2650"/>
      <c r="X4" s="2650"/>
      <c r="Y4" s="2650"/>
      <c r="Z4" s="2650"/>
      <c r="AA4" s="2650"/>
      <c r="AB4" s="2650"/>
      <c r="AC4" s="2650"/>
      <c r="AD4" s="2650"/>
      <c r="AE4" s="2650"/>
      <c r="AF4" s="2650"/>
      <c r="AG4" s="2650"/>
      <c r="AH4" s="2650"/>
      <c r="AI4" s="2650"/>
      <c r="AJ4" s="2650"/>
      <c r="AK4" s="2650"/>
      <c r="AL4" s="2650"/>
      <c r="AM4" s="2650"/>
      <c r="AN4" s="2650"/>
      <c r="AO4" s="2650"/>
      <c r="AP4" s="2650"/>
      <c r="AQ4" s="2650"/>
    </row>
    <row r="5" spans="1:57">
      <c r="A5" s="1509"/>
      <c r="B5" s="1509"/>
      <c r="E5" s="1510"/>
      <c r="I5" s="1512"/>
      <c r="K5" s="1513"/>
    </row>
    <row r="6" spans="1:57">
      <c r="A6" s="1509"/>
      <c r="B6" s="1509"/>
      <c r="D6" s="1507" t="s">
        <v>2345</v>
      </c>
      <c r="I6" s="1512"/>
      <c r="K6" s="1513"/>
      <c r="U6" s="2649" t="s">
        <v>531</v>
      </c>
      <c r="V6" s="2649"/>
      <c r="W6" s="2649"/>
      <c r="BC6" s="1507" t="s">
        <v>2343</v>
      </c>
    </row>
    <row r="7" spans="1:57">
      <c r="A7" s="1509"/>
      <c r="B7" s="1509"/>
      <c r="D7" s="1514" t="s">
        <v>2346</v>
      </c>
      <c r="E7" s="1510"/>
      <c r="I7" s="1512"/>
      <c r="K7" s="1513"/>
      <c r="BC7" s="1507" t="s">
        <v>2344</v>
      </c>
    </row>
    <row r="8" spans="1:57">
      <c r="A8" s="1509"/>
      <c r="B8" s="1509"/>
      <c r="D8" s="1514"/>
      <c r="E8" s="1507" t="s">
        <v>2363</v>
      </c>
      <c r="BC8" s="1507" t="s">
        <v>2347</v>
      </c>
    </row>
    <row r="9" spans="1:57">
      <c r="A9" s="1509"/>
      <c r="B9" s="1509"/>
      <c r="E9" s="1510" t="s">
        <v>2362</v>
      </c>
      <c r="I9" s="1512"/>
      <c r="K9" s="1513"/>
      <c r="P9" s="2657"/>
      <c r="Q9" s="2657"/>
      <c r="R9" s="2657"/>
      <c r="S9" s="2657"/>
      <c r="T9" s="2657"/>
    </row>
    <row r="10" spans="1:57">
      <c r="A10" s="1509"/>
      <c r="B10" s="1509"/>
      <c r="E10" s="1510"/>
      <c r="I10" s="1512"/>
      <c r="K10" s="1513"/>
    </row>
    <row r="11" spans="1:57">
      <c r="A11" s="2650" t="s">
        <v>2348</v>
      </c>
      <c r="B11" s="2650"/>
      <c r="C11" s="2650"/>
      <c r="D11" s="2650"/>
      <c r="E11" s="2650"/>
      <c r="F11" s="2650"/>
      <c r="G11" s="2650"/>
      <c r="H11" s="2650"/>
      <c r="I11" s="2650"/>
      <c r="J11" s="2650"/>
      <c r="K11" s="2650"/>
      <c r="L11" s="2650"/>
      <c r="M11" s="2650"/>
      <c r="N11" s="2650"/>
      <c r="O11" s="2650"/>
      <c r="P11" s="2650"/>
      <c r="Q11" s="2650"/>
      <c r="R11" s="2650"/>
      <c r="S11" s="2650"/>
      <c r="T11" s="2650"/>
      <c r="U11" s="2650"/>
      <c r="V11" s="2650"/>
      <c r="W11" s="2650"/>
      <c r="X11" s="2650"/>
      <c r="Y11" s="2650"/>
      <c r="Z11" s="2650"/>
      <c r="AA11" s="2650"/>
      <c r="AB11" s="2650"/>
      <c r="AC11" s="2650"/>
      <c r="AD11" s="2650"/>
      <c r="AE11" s="2650"/>
      <c r="AF11" s="2650"/>
      <c r="AG11" s="2650"/>
      <c r="AH11" s="2650"/>
      <c r="AI11" s="2650"/>
      <c r="AJ11" s="2650"/>
      <c r="AK11" s="2650"/>
      <c r="AL11" s="2650"/>
      <c r="AM11" s="2650"/>
      <c r="AN11" s="2650"/>
      <c r="AO11" s="2650"/>
      <c r="AP11" s="2650"/>
      <c r="AQ11" s="2650"/>
      <c r="BC11" s="1507" t="s">
        <v>119</v>
      </c>
    </row>
    <row r="12" spans="1:57">
      <c r="A12" s="1509"/>
      <c r="B12" s="1509"/>
      <c r="E12" s="1510"/>
      <c r="I12" s="1512"/>
      <c r="K12" s="1513"/>
      <c r="BC12" s="1507" t="s">
        <v>531</v>
      </c>
    </row>
    <row r="13" spans="1:57">
      <c r="A13" s="1509"/>
      <c r="B13" s="1509"/>
      <c r="D13" s="1507" t="s">
        <v>2349</v>
      </c>
      <c r="E13" s="1510"/>
      <c r="I13" s="1512"/>
      <c r="K13" s="1513"/>
      <c r="T13" s="2649" t="s">
        <v>119</v>
      </c>
      <c r="U13" s="2649"/>
      <c r="V13" s="2649"/>
    </row>
    <row r="14" spans="1:57">
      <c r="A14" s="1509"/>
      <c r="B14" s="1509"/>
      <c r="E14" s="1510" t="s">
        <v>2356</v>
      </c>
      <c r="I14" s="1512"/>
      <c r="K14" s="1513"/>
      <c r="N14" s="2655" t="s">
        <v>2498</v>
      </c>
      <c r="O14" s="2655"/>
      <c r="P14" s="2655"/>
      <c r="Q14" s="2655"/>
      <c r="R14" s="2655"/>
      <c r="S14" s="2655"/>
      <c r="T14" s="2655"/>
      <c r="U14" s="2655"/>
      <c r="V14" s="2655"/>
      <c r="W14" s="2655"/>
      <c r="X14" s="2655"/>
      <c r="Y14" s="2655"/>
      <c r="Z14" s="2655"/>
      <c r="AA14" s="2655"/>
      <c r="AB14" s="2655"/>
      <c r="AC14" s="2655"/>
      <c r="AD14" s="2655"/>
      <c r="AE14" s="2655"/>
    </row>
    <row r="15" spans="1:57">
      <c r="A15" s="1509"/>
      <c r="B15" s="1509"/>
      <c r="E15" s="1510" t="s">
        <v>2350</v>
      </c>
      <c r="I15" s="1512"/>
      <c r="K15" s="1513"/>
      <c r="N15" s="1538">
        <f>Application!AO634+Application!AO643+Application!AO641+Application!AO639</f>
        <v>7996804</v>
      </c>
      <c r="O15" s="1538"/>
      <c r="P15" s="1538"/>
      <c r="Q15" s="1538"/>
      <c r="R15" s="1538"/>
      <c r="S15" s="1538"/>
      <c r="T15" s="1538"/>
      <c r="U15" s="1538"/>
      <c r="V15" s="1538"/>
      <c r="W15" s="1538"/>
      <c r="X15" s="1538"/>
      <c r="Y15" s="1538"/>
      <c r="Z15" s="1538"/>
      <c r="AA15" s="1538"/>
      <c r="AB15" s="1538"/>
      <c r="AC15" s="1538"/>
      <c r="AD15" s="1538"/>
      <c r="AE15" s="1538"/>
      <c r="BC15" s="1507" t="s">
        <v>2364</v>
      </c>
      <c r="BE15" s="1507">
        <f>'Basis &amp; Credits'!AB55</f>
        <v>2883928</v>
      </c>
    </row>
    <row r="16" spans="1:57">
      <c r="A16" s="1509"/>
      <c r="B16" s="1509"/>
      <c r="BC16" s="1507" t="s">
        <v>2365</v>
      </c>
      <c r="BE16" s="1507">
        <f>'Basis &amp; Credits'!T11+'Basis &amp; Credits'!AD11</f>
        <v>38498808</v>
      </c>
    </row>
    <row r="17" spans="1:43">
      <c r="A17" s="1509"/>
      <c r="B17" s="1509"/>
      <c r="D17" s="1507" t="s">
        <v>2351</v>
      </c>
      <c r="E17" s="1510"/>
      <c r="I17" s="1512"/>
      <c r="K17" s="1513"/>
      <c r="U17" s="2656">
        <f>IF(T13="yes",(BE15/BE16)," ")</f>
        <v>7.4909540056409013E-2</v>
      </c>
      <c r="V17" s="2656"/>
      <c r="W17" s="2656"/>
      <c r="X17" s="2656"/>
      <c r="Y17" s="2656"/>
    </row>
    <row r="18" spans="1:43">
      <c r="A18" s="1509"/>
      <c r="B18" s="1509"/>
      <c r="E18" s="1510"/>
      <c r="I18" s="1512"/>
      <c r="K18" s="1513"/>
    </row>
    <row r="19" spans="1:43">
      <c r="A19" s="2650" t="s">
        <v>2353</v>
      </c>
      <c r="B19" s="2650"/>
      <c r="C19" s="2650"/>
      <c r="D19" s="2650"/>
      <c r="E19" s="2650"/>
      <c r="F19" s="2650"/>
      <c r="G19" s="2650"/>
      <c r="H19" s="2650"/>
      <c r="I19" s="2650"/>
      <c r="J19" s="2650"/>
      <c r="K19" s="2650"/>
      <c r="L19" s="2650"/>
      <c r="M19" s="2650"/>
      <c r="N19" s="2650"/>
      <c r="O19" s="2650"/>
      <c r="P19" s="2650"/>
      <c r="Q19" s="2650"/>
      <c r="R19" s="2650"/>
      <c r="S19" s="2650"/>
      <c r="T19" s="2650"/>
      <c r="U19" s="2650"/>
      <c r="V19" s="2650"/>
      <c r="W19" s="2650"/>
      <c r="X19" s="2650"/>
      <c r="Y19" s="2650"/>
      <c r="Z19" s="2650"/>
      <c r="AA19" s="2650"/>
      <c r="AB19" s="2650"/>
      <c r="AC19" s="2650"/>
      <c r="AD19" s="2650"/>
      <c r="AE19" s="2650"/>
      <c r="AF19" s="2650"/>
      <c r="AG19" s="2650"/>
      <c r="AH19" s="2650"/>
      <c r="AI19" s="2650"/>
      <c r="AJ19" s="2650"/>
      <c r="AK19" s="2650"/>
      <c r="AL19" s="2650"/>
      <c r="AM19" s="2650"/>
      <c r="AN19" s="2650"/>
      <c r="AO19" s="2650"/>
      <c r="AP19" s="2650"/>
      <c r="AQ19" s="2650"/>
    </row>
    <row r="20" spans="1:43">
      <c r="C20" s="1509"/>
      <c r="D20" s="1509"/>
      <c r="F20" s="1507"/>
      <c r="G20" s="1510"/>
      <c r="J20" s="1511"/>
      <c r="K20" s="1512"/>
      <c r="M20" s="1513"/>
    </row>
    <row r="21" spans="1:43">
      <c r="C21" s="1509"/>
      <c r="D21" s="1509"/>
      <c r="F21" s="1507"/>
      <c r="G21" s="1510"/>
      <c r="J21" s="1511"/>
      <c r="K21" s="1512"/>
      <c r="M21" s="1513"/>
    </row>
    <row r="22" spans="1:43">
      <c r="C22" s="1515" t="s">
        <v>795</v>
      </c>
      <c r="D22" s="1515"/>
      <c r="E22" s="1507" t="s">
        <v>2354</v>
      </c>
      <c r="F22" s="1507"/>
      <c r="H22" s="1516"/>
      <c r="J22" s="1511"/>
      <c r="K22" s="1507"/>
      <c r="M22" s="1517"/>
      <c r="Q22" s="2658">
        <f>ROUND('Basis &amp; Credits'!AB55,0)</f>
        <v>2883928</v>
      </c>
      <c r="R22" s="2658"/>
      <c r="S22" s="2658"/>
      <c r="T22" s="2658"/>
      <c r="U22" s="2658"/>
      <c r="V22" s="2658"/>
      <c r="W22" s="2658"/>
      <c r="X22" s="2658"/>
      <c r="Y22" s="1537"/>
    </row>
    <row r="23" spans="1:43">
      <c r="C23" s="1509"/>
      <c r="D23" s="1509"/>
      <c r="F23" s="1507"/>
      <c r="G23" s="1518"/>
      <c r="H23" s="1519"/>
      <c r="I23" s="1520"/>
      <c r="J23" s="1521"/>
      <c r="K23" s="1518"/>
      <c r="M23" s="1508"/>
    </row>
    <row r="24" spans="1:43" s="1524" customFormat="1">
      <c r="C24" s="1522"/>
      <c r="D24" s="1522"/>
      <c r="E24" s="1523"/>
      <c r="J24" s="1521"/>
      <c r="L24" s="2661" t="s">
        <v>2331</v>
      </c>
      <c r="M24" s="2661"/>
      <c r="N24" s="2661"/>
      <c r="P24" s="2646" t="s">
        <v>2332</v>
      </c>
      <c r="Q24" s="2646"/>
      <c r="R24" s="2646"/>
      <c r="S24" s="2646"/>
      <c r="T24" s="2646"/>
      <c r="V24" s="2646" t="s">
        <v>2333</v>
      </c>
      <c r="W24" s="2646"/>
      <c r="X24" s="2646"/>
      <c r="AC24" s="1507"/>
      <c r="AD24" s="1507"/>
      <c r="AE24" s="1507"/>
      <c r="AF24" s="1507"/>
      <c r="AG24" s="1507"/>
      <c r="AH24" s="1507"/>
    </row>
    <row r="25" spans="1:43">
      <c r="C25" s="1515" t="s">
        <v>207</v>
      </c>
      <c r="D25" s="1515"/>
      <c r="E25" s="1507" t="s">
        <v>1090</v>
      </c>
      <c r="F25" s="1507"/>
      <c r="J25" s="1521"/>
      <c r="L25" s="2647" t="s">
        <v>2334</v>
      </c>
      <c r="M25" s="2647"/>
      <c r="N25" s="2647"/>
      <c r="P25" s="2647" t="s">
        <v>2335</v>
      </c>
      <c r="Q25" s="2647"/>
      <c r="R25" s="2647"/>
      <c r="S25" s="2647"/>
      <c r="T25" s="2647"/>
      <c r="V25" s="2647" t="s">
        <v>2334</v>
      </c>
      <c r="W25" s="2647"/>
      <c r="X25" s="2647"/>
    </row>
    <row r="26" spans="1:43">
      <c r="C26" s="1509"/>
      <c r="D26" s="1509"/>
      <c r="E26" s="1525" t="s">
        <v>2336</v>
      </c>
      <c r="F26" s="1525"/>
      <c r="J26" s="1526"/>
      <c r="L26" s="2662">
        <f>Application!BN627</f>
        <v>58</v>
      </c>
      <c r="M26" s="2662"/>
      <c r="N26" s="2662"/>
      <c r="P26" s="2648">
        <v>0.9</v>
      </c>
      <c r="Q26" s="2648"/>
      <c r="R26" s="2648"/>
      <c r="S26" s="2648"/>
      <c r="T26" s="2648"/>
      <c r="V26" s="2648">
        <f>L26*P26</f>
        <v>52.2</v>
      </c>
      <c r="W26" s="2648"/>
      <c r="X26" s="2648"/>
    </row>
    <row r="27" spans="1:43">
      <c r="C27" s="1509"/>
      <c r="D27" s="1509"/>
      <c r="E27" s="1524" t="s">
        <v>2337</v>
      </c>
      <c r="F27" s="1524"/>
      <c r="J27" s="1526"/>
      <c r="L27" s="2638">
        <f>Application!BS627</f>
        <v>19</v>
      </c>
      <c r="M27" s="2638">
        <f>Application!BS635+Application!BS644+Application!CX658</f>
        <v>0</v>
      </c>
      <c r="N27" s="2638"/>
      <c r="P27" s="2643">
        <v>1</v>
      </c>
      <c r="Q27" s="2643"/>
      <c r="R27" s="2643"/>
      <c r="S27" s="2643"/>
      <c r="T27" s="2643"/>
      <c r="V27" s="2644">
        <f t="shared" ref="V27:V29" si="0">L27*P27</f>
        <v>19</v>
      </c>
      <c r="W27" s="2644"/>
      <c r="X27" s="2644"/>
    </row>
    <row r="28" spans="1:43">
      <c r="C28" s="1509"/>
      <c r="D28" s="1509"/>
      <c r="E28" s="1524" t="s">
        <v>2338</v>
      </c>
      <c r="F28" s="1524"/>
      <c r="J28" s="1526"/>
      <c r="L28" s="2638">
        <f>Application!BX627</f>
        <v>6</v>
      </c>
      <c r="M28" s="2638">
        <f>Application!BX635+Application!BX644+Application!DC658</f>
        <v>0</v>
      </c>
      <c r="N28" s="2638"/>
      <c r="P28" s="2643">
        <v>1.25</v>
      </c>
      <c r="Q28" s="2643"/>
      <c r="R28" s="2643"/>
      <c r="S28" s="2643"/>
      <c r="T28" s="2643"/>
      <c r="V28" s="2644">
        <f t="shared" si="0"/>
        <v>7.5</v>
      </c>
      <c r="W28" s="2644"/>
      <c r="X28" s="2644"/>
    </row>
    <row r="29" spans="1:43">
      <c r="C29" s="1509"/>
      <c r="D29" s="1509"/>
      <c r="E29" s="1524" t="s">
        <v>2339</v>
      </c>
      <c r="F29" s="1524"/>
      <c r="J29" s="1526"/>
      <c r="L29" s="2638">
        <f>Application!CC627</f>
        <v>5</v>
      </c>
      <c r="M29" s="2638">
        <f>Application!CC635+Application!CC644+Application!DH658</f>
        <v>0</v>
      </c>
      <c r="N29" s="2638"/>
      <c r="P29" s="2643">
        <v>1.5</v>
      </c>
      <c r="Q29" s="2643"/>
      <c r="R29" s="2643"/>
      <c r="S29" s="2643"/>
      <c r="T29" s="2643"/>
      <c r="V29" s="2644">
        <f t="shared" si="0"/>
        <v>7.5</v>
      </c>
      <c r="W29" s="2644"/>
      <c r="X29" s="2644"/>
    </row>
    <row r="30" spans="1:43">
      <c r="C30" s="1509"/>
      <c r="D30" s="1509"/>
      <c r="E30" s="1524" t="s">
        <v>2340</v>
      </c>
      <c r="F30" s="1524"/>
      <c r="J30" s="1526"/>
      <c r="L30" s="2639">
        <f>Application!CH627+Application!CM627</f>
        <v>0</v>
      </c>
      <c r="M30" s="2639"/>
      <c r="N30" s="2639"/>
      <c r="P30" s="2643">
        <v>1.75</v>
      </c>
      <c r="Q30" s="2643"/>
      <c r="R30" s="2643">
        <f>1.75+0.25*0</f>
        <v>1.75</v>
      </c>
      <c r="S30" s="2643"/>
      <c r="T30" s="2643"/>
      <c r="V30" s="2645">
        <f>L30*P30</f>
        <v>0</v>
      </c>
      <c r="W30" s="2645"/>
      <c r="X30" s="2645"/>
    </row>
    <row r="31" spans="1:43">
      <c r="C31" s="1509"/>
      <c r="D31" s="1509"/>
      <c r="F31" s="1507"/>
      <c r="J31" s="1511"/>
      <c r="L31" s="2659">
        <f>SUM(L26:N30)</f>
        <v>88</v>
      </c>
      <c r="M31" s="2660"/>
      <c r="N31" s="2660"/>
      <c r="V31" s="2648">
        <f>SUM(V26:X30)</f>
        <v>86.2</v>
      </c>
      <c r="W31" s="2648"/>
      <c r="X31" s="2648"/>
      <c r="AA31" s="1510"/>
    </row>
    <row r="32" spans="1:43">
      <c r="C32" s="1509"/>
      <c r="D32" s="1509"/>
      <c r="F32" s="1507"/>
      <c r="G32" s="1510"/>
      <c r="J32" s="1511"/>
      <c r="K32" s="1527"/>
      <c r="N32" s="1511"/>
    </row>
    <row r="33" spans="1:27">
      <c r="C33" s="1515" t="s">
        <v>208</v>
      </c>
      <c r="D33" s="1515"/>
      <c r="E33" s="1528" t="s">
        <v>2355</v>
      </c>
      <c r="H33" s="1529"/>
      <c r="I33" s="1530"/>
      <c r="J33" s="1531"/>
      <c r="K33" s="1527"/>
      <c r="M33" s="1508"/>
      <c r="V33" s="2640">
        <f>IF(V31&gt;0,V31/Q22," ")</f>
        <v>2.988978920416876E-5</v>
      </c>
      <c r="W33" s="2641"/>
      <c r="X33" s="2641"/>
      <c r="Y33" s="2641"/>
      <c r="Z33" s="2641"/>
      <c r="AA33" s="2642"/>
    </row>
    <row r="34" spans="1:27">
      <c r="F34" s="1507"/>
      <c r="J34" s="1511"/>
      <c r="K34" s="1507"/>
      <c r="M34" s="1508"/>
    </row>
    <row r="35" spans="1:27">
      <c r="E35" s="1509" t="s">
        <v>2366</v>
      </c>
      <c r="F35" s="1509"/>
      <c r="G35" s="1509"/>
      <c r="H35" s="1528"/>
      <c r="I35" s="1509"/>
      <c r="J35" s="1528"/>
      <c r="K35" s="1509"/>
      <c r="L35" s="1509"/>
      <c r="M35" s="1539"/>
      <c r="N35" s="1509"/>
      <c r="O35" s="1509"/>
      <c r="P35" s="1509"/>
      <c r="Q35" s="1509"/>
      <c r="R35" s="1509"/>
      <c r="V35" s="2652">
        <f>IF(V31&gt;0,1/V33," ")</f>
        <v>33456.24129930394</v>
      </c>
      <c r="W35" s="2653"/>
      <c r="X35" s="2653"/>
      <c r="Y35" s="2653"/>
      <c r="Z35" s="2653"/>
      <c r="AA35" s="2654"/>
    </row>
    <row r="36" spans="1:27" ht="12.75" customHeight="1">
      <c r="B36" s="1532"/>
      <c r="C36" s="1532"/>
      <c r="D36" s="1532"/>
      <c r="E36" s="1532"/>
      <c r="F36" s="1532"/>
      <c r="G36" s="1532"/>
      <c r="H36" s="1532"/>
      <c r="I36" s="1532"/>
    </row>
    <row r="37" spans="1:27">
      <c r="A37" s="1532"/>
      <c r="B37" s="1532"/>
      <c r="C37" s="1532"/>
      <c r="D37" s="1532"/>
      <c r="E37" s="1532"/>
      <c r="F37" s="1532"/>
      <c r="G37" s="1532"/>
      <c r="H37" s="1532"/>
      <c r="I37" s="1532"/>
    </row>
    <row r="38" spans="1:27">
      <c r="A38" s="1532"/>
      <c r="B38" s="1532"/>
      <c r="C38" s="1532"/>
      <c r="D38" s="1532"/>
      <c r="E38" s="1532"/>
      <c r="F38" s="1532"/>
      <c r="G38" s="1532"/>
      <c r="H38" s="1532"/>
      <c r="I38" s="1532"/>
    </row>
    <row r="39" spans="1:27">
      <c r="A39" s="1532"/>
      <c r="B39" s="1532"/>
      <c r="C39" s="1532"/>
      <c r="D39" s="1532"/>
      <c r="E39" s="1532"/>
      <c r="F39" s="1532"/>
      <c r="G39" s="1532"/>
      <c r="H39" s="1532"/>
      <c r="I39" s="153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52" zoomScale="90" zoomScaleNormal="100" zoomScaleSheetLayoutView="90" workbookViewId="0">
      <selection activeCell="T77" sqref="T77"/>
    </sheetView>
  </sheetViews>
  <sheetFormatPr defaultColWidth="8.6640625" defaultRowHeight="0" customHeight="1" zeroHeight="1"/>
  <cols>
    <col min="1" max="1" width="3.44140625" style="791" customWidth="1"/>
    <col min="2" max="4" width="17.44140625" style="791" customWidth="1"/>
    <col min="5" max="5" width="15.44140625" style="791" customWidth="1"/>
    <col min="6" max="6" width="2.44140625" style="791" customWidth="1"/>
    <col min="7" max="7" width="14.44140625" style="791" customWidth="1"/>
    <col min="8" max="9" width="2.44140625" style="791" customWidth="1"/>
    <col min="10" max="10" width="3.44140625" style="791" customWidth="1"/>
    <col min="11" max="14" width="2.44140625" style="791" customWidth="1"/>
    <col min="15" max="15" width="43.6640625" style="791" customWidth="1"/>
    <col min="16" max="16" width="7.44140625" style="791" customWidth="1"/>
    <col min="17" max="17" width="3.44140625" style="791" customWidth="1"/>
    <col min="18" max="19" width="10.44140625" style="791" customWidth="1"/>
    <col min="20" max="16384" width="8.6640625" style="791"/>
  </cols>
  <sheetData>
    <row r="1" spans="1:19" ht="15" customHeight="1">
      <c r="A1" s="2699" t="s">
        <v>2122</v>
      </c>
      <c r="B1" s="2699"/>
      <c r="C1" s="2699"/>
      <c r="D1" s="2699"/>
      <c r="E1" s="2699"/>
      <c r="F1" s="2699"/>
      <c r="G1" s="2699"/>
      <c r="H1" s="2699"/>
      <c r="I1" s="2699"/>
      <c r="J1" s="2699"/>
      <c r="K1" s="2699"/>
      <c r="L1" s="2699"/>
      <c r="M1" s="2699"/>
      <c r="N1" s="2699"/>
      <c r="O1" s="2699"/>
      <c r="P1" s="2699"/>
      <c r="Q1" s="2699"/>
      <c r="R1" s="2699"/>
      <c r="S1" s="2699"/>
    </row>
    <row r="2" spans="1:19" ht="15" customHeight="1">
      <c r="A2" s="2699"/>
      <c r="B2" s="2699"/>
      <c r="C2" s="2699"/>
      <c r="D2" s="2699"/>
      <c r="E2" s="2699"/>
      <c r="F2" s="2699"/>
      <c r="G2" s="2699"/>
      <c r="H2" s="2699"/>
      <c r="I2" s="2699"/>
      <c r="J2" s="2699"/>
      <c r="K2" s="2699"/>
      <c r="L2" s="2699"/>
      <c r="M2" s="2699"/>
      <c r="N2" s="2699"/>
      <c r="O2" s="2699"/>
      <c r="P2" s="2699"/>
      <c r="Q2" s="2699"/>
      <c r="R2" s="2699"/>
      <c r="S2" s="2699"/>
    </row>
    <row r="3" spans="1:19" ht="15" customHeight="1">
      <c r="A3" s="814"/>
      <c r="B3" s="814"/>
      <c r="C3" s="814"/>
      <c r="D3" s="814"/>
      <c r="E3" s="814"/>
      <c r="F3" s="814"/>
      <c r="G3" s="814"/>
      <c r="H3" s="814"/>
      <c r="I3" s="814"/>
      <c r="J3" s="814"/>
      <c r="K3" s="814"/>
      <c r="L3" s="814"/>
      <c r="M3" s="814"/>
      <c r="N3" s="814"/>
      <c r="O3" s="814"/>
      <c r="P3" s="814"/>
      <c r="Q3" s="814"/>
      <c r="R3" s="814"/>
      <c r="S3" s="815"/>
    </row>
    <row r="4" spans="1:19" ht="15" customHeight="1">
      <c r="A4" s="814"/>
      <c r="B4" s="2700" t="s">
        <v>1834</v>
      </c>
      <c r="C4" s="2700"/>
      <c r="D4" s="2700"/>
      <c r="E4" s="2700"/>
      <c r="F4" s="2700"/>
      <c r="G4" s="2700"/>
      <c r="H4" s="2700"/>
      <c r="I4" s="2700"/>
      <c r="J4" s="2700"/>
      <c r="K4" s="2700"/>
      <c r="L4" s="2700"/>
      <c r="M4" s="2700"/>
      <c r="N4" s="2700"/>
      <c r="O4" s="2700"/>
      <c r="P4" s="2700"/>
      <c r="Q4" s="2700"/>
      <c r="R4" s="2700"/>
      <c r="S4" s="815"/>
    </row>
    <row r="5" spans="1:19" ht="15" customHeight="1">
      <c r="A5" s="814"/>
      <c r="B5" s="2700"/>
      <c r="C5" s="2700"/>
      <c r="D5" s="2700"/>
      <c r="E5" s="2700"/>
      <c r="F5" s="2700"/>
      <c r="G5" s="2700"/>
      <c r="H5" s="2700"/>
      <c r="I5" s="2700"/>
      <c r="J5" s="2700"/>
      <c r="K5" s="2700"/>
      <c r="L5" s="2700"/>
      <c r="M5" s="2700"/>
      <c r="N5" s="2700"/>
      <c r="O5" s="2700"/>
      <c r="P5" s="2700"/>
      <c r="Q5" s="2700"/>
      <c r="R5" s="2700"/>
      <c r="S5" s="815"/>
    </row>
    <row r="6" spans="1:19" ht="15" customHeight="1">
      <c r="A6" s="814"/>
      <c r="B6" s="2700"/>
      <c r="C6" s="2700"/>
      <c r="D6" s="2700"/>
      <c r="E6" s="2700"/>
      <c r="F6" s="2700"/>
      <c r="G6" s="2700"/>
      <c r="H6" s="2700"/>
      <c r="I6" s="2700"/>
      <c r="J6" s="2700"/>
      <c r="K6" s="2700"/>
      <c r="L6" s="2700"/>
      <c r="M6" s="2700"/>
      <c r="N6" s="2700"/>
      <c r="O6" s="2700"/>
      <c r="P6" s="2700"/>
      <c r="Q6" s="2700"/>
      <c r="R6" s="2700"/>
      <c r="S6" s="815"/>
    </row>
    <row r="7" spans="1:19" ht="15" customHeight="1">
      <c r="A7" s="814"/>
      <c r="B7" s="1042"/>
      <c r="C7" s="1042"/>
      <c r="D7" s="1042"/>
      <c r="E7" s="1042"/>
      <c r="F7" s="1042"/>
      <c r="G7" s="1042"/>
      <c r="H7" s="1042"/>
      <c r="I7" s="1042"/>
      <c r="J7" s="1042"/>
      <c r="K7" s="1042"/>
      <c r="L7" s="1042"/>
      <c r="M7" s="1042"/>
      <c r="N7" s="1042"/>
      <c r="O7" s="1042"/>
      <c r="P7" s="1042"/>
      <c r="Q7" s="1042"/>
      <c r="R7" s="1042"/>
      <c r="S7" s="815"/>
    </row>
    <row r="8" spans="1:19" ht="15" customHeight="1">
      <c r="A8" s="814"/>
      <c r="B8" s="2700" t="s">
        <v>1910</v>
      </c>
      <c r="C8" s="2700"/>
      <c r="D8" s="2700"/>
      <c r="E8" s="2700"/>
      <c r="F8" s="2700"/>
      <c r="G8" s="2700"/>
      <c r="H8" s="2700"/>
      <c r="I8" s="2700"/>
      <c r="J8" s="2700"/>
      <c r="K8" s="2700"/>
      <c r="L8" s="2700"/>
      <c r="M8" s="2700"/>
      <c r="N8" s="2700"/>
      <c r="O8" s="2700"/>
      <c r="P8" s="2700"/>
      <c r="Q8" s="2700"/>
      <c r="R8" s="2700"/>
      <c r="S8" s="815"/>
    </row>
    <row r="9" spans="1:19" ht="15" customHeight="1">
      <c r="A9" s="814"/>
      <c r="B9" s="792"/>
      <c r="C9" s="814"/>
      <c r="D9" s="814"/>
      <c r="E9" s="814"/>
      <c r="F9" s="814"/>
      <c r="G9" s="814"/>
      <c r="H9" s="814"/>
      <c r="I9" s="814"/>
      <c r="J9" s="814"/>
      <c r="K9" s="814"/>
      <c r="L9" s="814"/>
      <c r="M9" s="814"/>
      <c r="N9" s="814"/>
      <c r="O9" s="814"/>
      <c r="P9" s="814"/>
      <c r="Q9" s="814"/>
      <c r="R9" s="814"/>
      <c r="S9" s="815"/>
    </row>
    <row r="10" spans="1:19" ht="15" customHeight="1">
      <c r="A10" s="814"/>
      <c r="B10" s="2701" t="s">
        <v>1911</v>
      </c>
      <c r="C10" s="2701"/>
      <c r="D10" s="2701"/>
      <c r="E10" s="2701"/>
      <c r="F10" s="2701"/>
      <c r="G10" s="2701"/>
      <c r="H10" s="2701"/>
      <c r="I10" s="2701"/>
      <c r="J10" s="2701"/>
      <c r="K10" s="2701"/>
      <c r="L10" s="2701"/>
      <c r="M10" s="2701"/>
      <c r="N10" s="2701"/>
      <c r="O10" s="2701"/>
      <c r="P10" s="2701"/>
      <c r="Q10" s="2701"/>
      <c r="R10" s="2701"/>
      <c r="S10" s="815"/>
    </row>
    <row r="11" spans="1:19" ht="15" customHeight="1">
      <c r="A11" s="814"/>
      <c r="B11" s="2701"/>
      <c r="C11" s="2701"/>
      <c r="D11" s="2701"/>
      <c r="E11" s="2701"/>
      <c r="F11" s="2701"/>
      <c r="G11" s="2701"/>
      <c r="H11" s="2701"/>
      <c r="I11" s="2701"/>
      <c r="J11" s="2701"/>
      <c r="K11" s="2701"/>
      <c r="L11" s="2701"/>
      <c r="M11" s="2701"/>
      <c r="N11" s="2701"/>
      <c r="O11" s="2701"/>
      <c r="P11" s="2701"/>
      <c r="Q11" s="2701"/>
      <c r="R11" s="2701"/>
      <c r="S11" s="815"/>
    </row>
    <row r="12" spans="1:19" ht="15" customHeight="1">
      <c r="A12" s="814"/>
      <c r="B12" s="1051"/>
      <c r="C12" s="1051"/>
      <c r="D12" s="1051"/>
      <c r="E12" s="1051"/>
      <c r="F12" s="1051"/>
      <c r="G12" s="1051"/>
      <c r="H12" s="1051"/>
      <c r="I12" s="1051"/>
      <c r="J12" s="1051"/>
      <c r="K12" s="1051"/>
      <c r="L12" s="1051"/>
      <c r="M12" s="1051"/>
      <c r="N12" s="1051"/>
      <c r="O12" s="1051"/>
      <c r="P12" s="1051"/>
      <c r="Q12" s="1051"/>
      <c r="R12" s="1051"/>
      <c r="S12" s="815"/>
    </row>
    <row r="13" spans="1:19" ht="15" customHeight="1">
      <c r="A13" s="814"/>
      <c r="B13" s="2701" t="s">
        <v>2223</v>
      </c>
      <c r="C13" s="2701"/>
      <c r="D13" s="2701"/>
      <c r="E13" s="2701"/>
      <c r="F13" s="2701"/>
      <c r="G13" s="2701"/>
      <c r="H13" s="2701"/>
      <c r="I13" s="2701"/>
      <c r="J13" s="2701"/>
      <c r="K13" s="2701"/>
      <c r="L13" s="2701"/>
      <c r="M13" s="2701"/>
      <c r="N13" s="2701"/>
      <c r="O13" s="2701"/>
      <c r="P13" s="2701"/>
      <c r="Q13" s="2701"/>
      <c r="R13" s="2701"/>
      <c r="S13" s="815"/>
    </row>
    <row r="14" spans="1:19" ht="15" customHeight="1">
      <c r="A14" s="814"/>
      <c r="B14" s="2701"/>
      <c r="C14" s="2701"/>
      <c r="D14" s="2701"/>
      <c r="E14" s="2701"/>
      <c r="F14" s="2701"/>
      <c r="G14" s="2701"/>
      <c r="H14" s="2701"/>
      <c r="I14" s="2701"/>
      <c r="J14" s="2701"/>
      <c r="K14" s="2701"/>
      <c r="L14" s="2701"/>
      <c r="M14" s="2701"/>
      <c r="N14" s="2701"/>
      <c r="O14" s="2701"/>
      <c r="P14" s="2701"/>
      <c r="Q14" s="2701"/>
      <c r="R14" s="2701"/>
      <c r="S14" s="815"/>
    </row>
    <row r="15" spans="1:19" ht="15" customHeight="1">
      <c r="A15" s="814"/>
      <c r="B15" s="2701"/>
      <c r="C15" s="2701"/>
      <c r="D15" s="2701"/>
      <c r="E15" s="2701"/>
      <c r="F15" s="2701"/>
      <c r="G15" s="2701"/>
      <c r="H15" s="2701"/>
      <c r="I15" s="2701"/>
      <c r="J15" s="2701"/>
      <c r="K15" s="2701"/>
      <c r="L15" s="2701"/>
      <c r="M15" s="2701"/>
      <c r="N15" s="2701"/>
      <c r="O15" s="2701"/>
      <c r="P15" s="2701"/>
      <c r="Q15" s="2701"/>
      <c r="R15" s="2701"/>
      <c r="S15" s="815"/>
    </row>
    <row r="16" spans="1:19" ht="15" customHeight="1">
      <c r="A16" s="814"/>
      <c r="B16" s="2701"/>
      <c r="C16" s="2701"/>
      <c r="D16" s="2701"/>
      <c r="E16" s="2701"/>
      <c r="F16" s="2701"/>
      <c r="G16" s="2701"/>
      <c r="H16" s="2701"/>
      <c r="I16" s="2701"/>
      <c r="J16" s="2701"/>
      <c r="K16" s="2701"/>
      <c r="L16" s="2701"/>
      <c r="M16" s="2701"/>
      <c r="N16" s="2701"/>
      <c r="O16" s="2701"/>
      <c r="P16" s="2701"/>
      <c r="Q16" s="2701"/>
      <c r="R16" s="2701"/>
      <c r="S16" s="815"/>
    </row>
    <row r="17" spans="1:19" ht="15" customHeight="1">
      <c r="A17" s="814"/>
      <c r="B17" s="2701"/>
      <c r="C17" s="2701"/>
      <c r="D17" s="2701"/>
      <c r="E17" s="2701"/>
      <c r="F17" s="2701"/>
      <c r="G17" s="2701"/>
      <c r="H17" s="2701"/>
      <c r="I17" s="2701"/>
      <c r="J17" s="2701"/>
      <c r="K17" s="2701"/>
      <c r="L17" s="2701"/>
      <c r="M17" s="2701"/>
      <c r="N17" s="2701"/>
      <c r="O17" s="2701"/>
      <c r="P17" s="2701"/>
      <c r="Q17" s="2701"/>
      <c r="R17" s="2701"/>
      <c r="S17" s="815"/>
    </row>
    <row r="18" spans="1:19" ht="15" customHeight="1">
      <c r="A18" s="814"/>
      <c r="B18" s="792"/>
      <c r="C18" s="814"/>
      <c r="D18" s="814"/>
      <c r="E18" s="814"/>
      <c r="F18" s="814"/>
      <c r="G18" s="814"/>
      <c r="H18" s="814"/>
      <c r="I18" s="814"/>
      <c r="J18" s="814"/>
      <c r="K18" s="814"/>
      <c r="L18" s="814"/>
      <c r="M18" s="814"/>
      <c r="N18" s="814"/>
      <c r="O18" s="814"/>
      <c r="P18" s="814"/>
      <c r="Q18" s="814"/>
      <c r="R18" s="814"/>
      <c r="S18" s="815"/>
    </row>
    <row r="19" spans="1:19" ht="15" customHeight="1">
      <c r="A19" s="814"/>
      <c r="B19" s="2702" t="s">
        <v>2033</v>
      </c>
      <c r="C19" s="2702"/>
      <c r="D19" s="2702"/>
      <c r="E19" s="2702"/>
      <c r="F19" s="2702"/>
      <c r="G19" s="2702"/>
      <c r="H19" s="2702"/>
      <c r="I19" s="2702"/>
      <c r="J19" s="2702"/>
      <c r="K19" s="2702"/>
      <c r="L19" s="2702"/>
      <c r="M19" s="2702"/>
      <c r="N19" s="2702"/>
      <c r="O19" s="2702"/>
      <c r="P19" s="2702"/>
      <c r="Q19" s="2702"/>
      <c r="R19" s="2702"/>
      <c r="S19" s="815"/>
    </row>
    <row r="20" spans="1:19" ht="15" customHeight="1">
      <c r="A20" s="814"/>
      <c r="B20" s="2702"/>
      <c r="C20" s="2702"/>
      <c r="D20" s="2702"/>
      <c r="E20" s="2702"/>
      <c r="F20" s="2702"/>
      <c r="G20" s="2702"/>
      <c r="H20" s="2702"/>
      <c r="I20" s="2702"/>
      <c r="J20" s="2702"/>
      <c r="K20" s="2702"/>
      <c r="L20" s="2702"/>
      <c r="M20" s="2702"/>
      <c r="N20" s="2702"/>
      <c r="O20" s="2702"/>
      <c r="P20" s="2702"/>
      <c r="Q20" s="2702"/>
      <c r="R20" s="2702"/>
      <c r="S20" s="815"/>
    </row>
    <row r="21" spans="1:19" ht="15" customHeight="1">
      <c r="A21" s="814"/>
      <c r="B21" s="2702"/>
      <c r="C21" s="2702"/>
      <c r="D21" s="2702"/>
      <c r="E21" s="2702"/>
      <c r="F21" s="2702"/>
      <c r="G21" s="2702"/>
      <c r="H21" s="2702"/>
      <c r="I21" s="2702"/>
      <c r="J21" s="2702"/>
      <c r="K21" s="2702"/>
      <c r="L21" s="2702"/>
      <c r="M21" s="2702"/>
      <c r="N21" s="2702"/>
      <c r="O21" s="2702"/>
      <c r="P21" s="2702"/>
      <c r="Q21" s="2702"/>
      <c r="R21" s="2702"/>
      <c r="S21" s="815"/>
    </row>
    <row r="22" spans="1:19" ht="15" customHeight="1">
      <c r="A22" s="814"/>
      <c r="B22" s="1050"/>
      <c r="C22" s="1050"/>
      <c r="D22" s="1050"/>
      <c r="E22" s="1050"/>
      <c r="F22" s="1050"/>
      <c r="G22" s="1050"/>
      <c r="H22" s="1050"/>
      <c r="I22" s="1050"/>
      <c r="J22" s="1050"/>
      <c r="K22" s="1050"/>
      <c r="L22" s="1050"/>
      <c r="M22" s="1050"/>
      <c r="N22" s="1050"/>
      <c r="O22" s="1050"/>
      <c r="P22" s="1050"/>
      <c r="Q22" s="1050"/>
      <c r="R22" s="1050"/>
      <c r="S22" s="815"/>
    </row>
    <row r="23" spans="1:19" ht="15" customHeight="1">
      <c r="A23" s="814"/>
      <c r="B23" s="2702" t="s">
        <v>2034</v>
      </c>
      <c r="C23" s="2702"/>
      <c r="D23" s="2702"/>
      <c r="E23" s="2702"/>
      <c r="F23" s="2702"/>
      <c r="G23" s="2702"/>
      <c r="H23" s="2702"/>
      <c r="I23" s="2702"/>
      <c r="J23" s="2702"/>
      <c r="K23" s="2702"/>
      <c r="L23" s="2702"/>
      <c r="M23" s="2702"/>
      <c r="N23" s="2702"/>
      <c r="O23" s="2702"/>
      <c r="P23" s="2702"/>
      <c r="Q23" s="2702"/>
      <c r="R23" s="2702"/>
      <c r="S23" s="815"/>
    </row>
    <row r="24" spans="1:19" ht="15" customHeight="1">
      <c r="A24" s="816"/>
      <c r="B24" s="2702"/>
      <c r="C24" s="2702"/>
      <c r="D24" s="2702"/>
      <c r="E24" s="2702"/>
      <c r="F24" s="2702"/>
      <c r="G24" s="2702"/>
      <c r="H24" s="2702"/>
      <c r="I24" s="2702"/>
      <c r="J24" s="2702"/>
      <c r="K24" s="2702"/>
      <c r="L24" s="2702"/>
      <c r="M24" s="2702"/>
      <c r="N24" s="2702"/>
      <c r="O24" s="2702"/>
      <c r="P24" s="2702"/>
      <c r="Q24" s="2702"/>
      <c r="R24" s="2702"/>
      <c r="S24" s="816"/>
    </row>
    <row r="25" spans="1:19" ht="15" customHeight="1">
      <c r="A25" s="816"/>
      <c r="B25" s="1050"/>
      <c r="C25" s="1050"/>
      <c r="D25" s="1050"/>
      <c r="E25" s="1050"/>
      <c r="F25" s="1050"/>
      <c r="G25" s="1050"/>
      <c r="H25" s="1050"/>
      <c r="I25" s="1050"/>
      <c r="J25" s="1050"/>
      <c r="K25" s="1050"/>
      <c r="L25" s="1050"/>
      <c r="M25" s="1050"/>
      <c r="N25" s="1050"/>
      <c r="O25" s="1050"/>
      <c r="P25" s="1050"/>
      <c r="Q25" s="1050"/>
      <c r="R25" s="1050"/>
      <c r="S25" s="816"/>
    </row>
    <row r="26" spans="1:19" ht="15" customHeight="1">
      <c r="A26" s="816"/>
      <c r="B26" s="2700" t="s">
        <v>1909</v>
      </c>
      <c r="C26" s="2700"/>
      <c r="D26" s="2700"/>
      <c r="E26" s="2700"/>
      <c r="F26" s="2700"/>
      <c r="G26" s="2700"/>
      <c r="H26" s="2700"/>
      <c r="I26" s="2700"/>
      <c r="J26" s="2700"/>
      <c r="K26" s="2700"/>
      <c r="L26" s="2700"/>
      <c r="M26" s="2700"/>
      <c r="N26" s="2700"/>
      <c r="O26" s="2700"/>
      <c r="P26" s="2700"/>
      <c r="Q26" s="2700"/>
      <c r="R26" s="2700"/>
      <c r="S26" s="816"/>
    </row>
    <row r="27" spans="1:19" ht="15" customHeight="1">
      <c r="A27" s="816"/>
      <c r="B27" s="1050"/>
      <c r="C27" s="1050"/>
      <c r="D27" s="1050"/>
      <c r="E27" s="1050"/>
      <c r="F27" s="1050"/>
      <c r="G27" s="1050"/>
      <c r="H27" s="1050"/>
      <c r="I27" s="1050"/>
      <c r="J27" s="1050"/>
      <c r="K27" s="1050"/>
      <c r="L27" s="1050"/>
      <c r="M27" s="1050"/>
      <c r="N27" s="1050"/>
      <c r="O27" s="1050"/>
      <c r="P27" s="1050"/>
      <c r="Q27" s="1050"/>
      <c r="R27" s="1050"/>
      <c r="S27" s="816"/>
    </row>
    <row r="28" spans="1:19" ht="15" customHeight="1">
      <c r="A28" s="816"/>
      <c r="B28" s="817" t="s">
        <v>156</v>
      </c>
      <c r="C28" s="816"/>
      <c r="D28" s="816"/>
      <c r="E28" s="816"/>
      <c r="F28" s="816"/>
      <c r="G28" s="816"/>
      <c r="H28" s="816"/>
      <c r="I28" s="816"/>
      <c r="J28" s="816"/>
      <c r="K28" s="816"/>
      <c r="L28" s="816"/>
      <c r="M28" s="816"/>
      <c r="N28" s="816"/>
      <c r="O28" s="816"/>
      <c r="P28" s="816"/>
      <c r="Q28" s="816"/>
      <c r="R28" s="816"/>
      <c r="S28" s="816"/>
    </row>
    <row r="29" spans="1:19" ht="15" customHeight="1">
      <c r="A29" s="816"/>
      <c r="B29" s="2707" t="s">
        <v>1813</v>
      </c>
      <c r="C29" s="2707"/>
      <c r="D29" s="2707"/>
      <c r="E29" s="2707"/>
      <c r="F29" s="2707"/>
      <c r="G29" s="2707"/>
      <c r="H29" s="818"/>
      <c r="I29" s="818"/>
      <c r="J29" s="818"/>
      <c r="K29" s="818"/>
      <c r="L29" s="818"/>
      <c r="M29" s="818"/>
      <c r="N29" s="818"/>
      <c r="O29" s="2705" t="s">
        <v>1822</v>
      </c>
      <c r="P29" s="816"/>
      <c r="Q29" s="816"/>
      <c r="R29" s="816"/>
      <c r="S29" s="816"/>
    </row>
    <row r="30" spans="1:19" ht="15" customHeight="1">
      <c r="A30" s="816"/>
      <c r="B30" s="2707"/>
      <c r="C30" s="2707"/>
      <c r="D30" s="2707"/>
      <c r="E30" s="2707"/>
      <c r="F30" s="2707"/>
      <c r="G30" s="2707"/>
      <c r="H30" s="818"/>
      <c r="I30" s="818"/>
      <c r="J30" s="818"/>
      <c r="K30" s="818"/>
      <c r="L30" s="818"/>
      <c r="M30" s="818"/>
      <c r="N30" s="818"/>
      <c r="O30" s="2705"/>
      <c r="P30" s="816"/>
      <c r="Q30" s="816"/>
      <c r="R30" s="816"/>
      <c r="S30" s="816"/>
    </row>
    <row r="31" spans="1:19" ht="15" customHeight="1">
      <c r="A31" s="816"/>
      <c r="B31" s="2707"/>
      <c r="C31" s="2707"/>
      <c r="D31" s="2707"/>
      <c r="E31" s="2707"/>
      <c r="F31" s="2707"/>
      <c r="G31" s="2707"/>
      <c r="H31" s="818"/>
      <c r="I31" s="818"/>
      <c r="J31" s="818"/>
      <c r="K31" s="818"/>
      <c r="L31" s="818"/>
      <c r="M31" s="818"/>
      <c r="N31" s="818"/>
      <c r="O31" s="2705"/>
      <c r="P31" s="816"/>
      <c r="Q31" s="816"/>
      <c r="R31" s="816"/>
      <c r="S31" s="816"/>
    </row>
    <row r="32" spans="1:19" ht="15" customHeight="1">
      <c r="A32" s="816"/>
      <c r="B32" s="2708"/>
      <c r="C32" s="2708"/>
      <c r="D32" s="2708"/>
      <c r="E32" s="2708"/>
      <c r="F32" s="2708"/>
      <c r="G32" s="2708"/>
      <c r="H32" s="816"/>
      <c r="I32" s="2674" t="s">
        <v>155</v>
      </c>
      <c r="J32" s="2666" t="s">
        <v>1096</v>
      </c>
      <c r="K32" s="2709">
        <v>1</v>
      </c>
      <c r="L32" s="816"/>
      <c r="M32" s="819"/>
      <c r="N32" s="816"/>
      <c r="O32" s="2706"/>
      <c r="P32" s="2666" t="s">
        <v>2221</v>
      </c>
      <c r="Q32" s="816"/>
      <c r="R32" s="816"/>
      <c r="S32" s="816"/>
    </row>
    <row r="33" spans="1:19" ht="15" customHeight="1">
      <c r="A33" s="816"/>
      <c r="B33" s="2664" t="s">
        <v>1817</v>
      </c>
      <c r="C33" s="2664"/>
      <c r="D33" s="2664"/>
      <c r="E33" s="2664"/>
      <c r="F33" s="2664"/>
      <c r="G33" s="2664"/>
      <c r="H33" s="816"/>
      <c r="I33" s="2674"/>
      <c r="J33" s="2666"/>
      <c r="K33" s="2709"/>
      <c r="L33" s="816"/>
      <c r="M33" s="820"/>
      <c r="N33" s="816"/>
      <c r="O33" s="2664" t="s">
        <v>1817</v>
      </c>
      <c r="P33" s="2666"/>
      <c r="Q33" s="816"/>
      <c r="R33" s="816"/>
      <c r="S33" s="816"/>
    </row>
    <row r="34" spans="1:19" ht="15" customHeight="1">
      <c r="A34" s="816"/>
      <c r="B34" s="2665"/>
      <c r="C34" s="2665"/>
      <c r="D34" s="2665"/>
      <c r="E34" s="2665"/>
      <c r="F34" s="2665"/>
      <c r="G34" s="2665"/>
      <c r="H34" s="816"/>
      <c r="I34" s="1048"/>
      <c r="J34" s="1047"/>
      <c r="K34" s="1049"/>
      <c r="L34" s="816"/>
      <c r="M34" s="820"/>
      <c r="N34" s="816"/>
      <c r="O34" s="2665"/>
      <c r="P34" s="1047"/>
      <c r="Q34" s="816"/>
      <c r="R34" s="816"/>
      <c r="S34" s="816"/>
    </row>
    <row r="35" spans="1:19" ht="12" customHeight="1">
      <c r="A35" s="816"/>
      <c r="B35" s="821"/>
      <c r="C35" s="821"/>
      <c r="D35" s="821"/>
      <c r="E35" s="821"/>
      <c r="F35" s="821"/>
      <c r="G35" s="821"/>
      <c r="H35" s="822"/>
      <c r="I35" s="823"/>
      <c r="J35" s="824"/>
      <c r="K35" s="825"/>
      <c r="L35" s="822"/>
      <c r="M35" s="819"/>
      <c r="N35" s="822"/>
      <c r="O35" s="821"/>
      <c r="P35" s="824"/>
      <c r="Q35" s="822"/>
      <c r="R35" s="822"/>
      <c r="S35" s="816"/>
    </row>
    <row r="36" spans="1:19" ht="15" customHeight="1">
      <c r="A36" s="816"/>
      <c r="B36" s="1041"/>
      <c r="C36" s="1041"/>
      <c r="D36" s="1041"/>
      <c r="E36" s="1041"/>
      <c r="F36" s="1041"/>
      <c r="G36" s="1041"/>
      <c r="H36" s="816"/>
      <c r="I36" s="1039"/>
      <c r="J36" s="1038"/>
      <c r="K36" s="1040"/>
      <c r="L36" s="816"/>
      <c r="M36" s="820"/>
      <c r="N36" s="816"/>
      <c r="O36" s="1041"/>
      <c r="P36" s="1038"/>
      <c r="Q36" s="816"/>
      <c r="R36" s="816"/>
      <c r="S36" s="816"/>
    </row>
    <row r="37" spans="1:19" ht="15" customHeight="1">
      <c r="A37" s="826"/>
      <c r="B37" s="2688" t="s">
        <v>1805</v>
      </c>
      <c r="C37" s="2688"/>
      <c r="D37" s="2688"/>
      <c r="E37" s="2688"/>
      <c r="F37" s="827"/>
      <c r="G37" s="827"/>
      <c r="H37" s="828"/>
      <c r="I37" s="829"/>
      <c r="J37" s="829"/>
      <c r="P37" s="816"/>
      <c r="Q37" s="830"/>
      <c r="R37" s="830"/>
      <c r="S37" s="816"/>
    </row>
    <row r="38" spans="1:19" ht="15" customHeight="1">
      <c r="A38" s="816"/>
      <c r="B38" s="2693" t="s">
        <v>1823</v>
      </c>
      <c r="C38" s="2693"/>
      <c r="D38" s="2693"/>
      <c r="E38" s="2693"/>
      <c r="F38" s="1043"/>
      <c r="G38" s="831">
        <f>D110</f>
        <v>0</v>
      </c>
      <c r="H38" s="832"/>
      <c r="I38" s="833"/>
      <c r="J38" s="832"/>
      <c r="L38" s="1323"/>
      <c r="M38" s="1323"/>
      <c r="N38" s="1323"/>
      <c r="O38" s="1323"/>
      <c r="P38" s="779"/>
      <c r="Q38" s="2663"/>
      <c r="R38" s="2663"/>
      <c r="S38" s="779"/>
    </row>
    <row r="39" spans="1:19" ht="15" customHeight="1">
      <c r="A39" s="597"/>
      <c r="B39" s="2694" t="s">
        <v>1418</v>
      </c>
      <c r="C39" s="2694"/>
      <c r="D39" s="2694"/>
      <c r="E39" s="2694"/>
      <c r="F39" s="1043"/>
      <c r="G39" s="1000"/>
      <c r="H39" s="832"/>
      <c r="I39" s="833"/>
      <c r="J39" s="832"/>
      <c r="L39" s="832"/>
      <c r="M39" s="830"/>
      <c r="N39" s="830"/>
      <c r="O39" s="830"/>
      <c r="P39" s="779"/>
      <c r="Q39" s="1180"/>
      <c r="R39" s="1180"/>
      <c r="S39" s="779"/>
    </row>
    <row r="40" spans="1:19" ht="15" customHeight="1">
      <c r="A40" s="597"/>
      <c r="B40" s="2694" t="s">
        <v>1419</v>
      </c>
      <c r="C40" s="2694"/>
      <c r="D40" s="2694"/>
      <c r="E40" s="2694"/>
      <c r="F40" s="1043"/>
      <c r="G40" s="1000"/>
      <c r="H40" s="832"/>
      <c r="I40" s="833"/>
      <c r="J40" s="832"/>
      <c r="K40" s="2698"/>
      <c r="L40" s="2698"/>
      <c r="M40" s="2698"/>
      <c r="N40" s="2698"/>
      <c r="O40" s="2698"/>
      <c r="P40" s="1072"/>
      <c r="Q40" s="2663"/>
      <c r="R40" s="2663"/>
      <c r="S40" s="816"/>
    </row>
    <row r="41" spans="1:19" ht="15" customHeight="1">
      <c r="A41" s="597"/>
      <c r="B41" s="2695" t="s">
        <v>1818</v>
      </c>
      <c r="C41" s="2695"/>
      <c r="D41" s="2695"/>
      <c r="E41" s="2695"/>
      <c r="F41" s="1043"/>
      <c r="G41" s="832"/>
      <c r="H41" s="832"/>
      <c r="I41" s="833"/>
      <c r="J41" s="832"/>
      <c r="K41" s="832"/>
      <c r="L41" s="832"/>
      <c r="M41" s="830"/>
      <c r="N41" s="830"/>
      <c r="O41" s="830"/>
      <c r="P41" s="779"/>
      <c r="Q41" s="834"/>
      <c r="R41" s="834"/>
      <c r="S41" s="816"/>
    </row>
    <row r="42" spans="1:19" ht="15" customHeight="1">
      <c r="A42" s="597"/>
      <c r="B42" s="1002"/>
      <c r="C42" s="1002"/>
      <c r="D42" s="995"/>
      <c r="E42" s="1046"/>
      <c r="F42" s="1043"/>
      <c r="G42" s="832"/>
      <c r="H42" s="832"/>
      <c r="I42" s="833"/>
      <c r="J42" s="832"/>
      <c r="K42" s="2698"/>
      <c r="L42" s="2698"/>
      <c r="M42" s="2698"/>
      <c r="N42" s="2698"/>
      <c r="O42" s="2698"/>
      <c r="P42" s="1072"/>
      <c r="Q42" s="2663"/>
      <c r="R42" s="2663"/>
      <c r="S42" s="816"/>
    </row>
    <row r="43" spans="1:19" ht="15" customHeight="1">
      <c r="A43" s="597"/>
      <c r="B43" s="1002"/>
      <c r="C43" s="1002"/>
      <c r="D43" s="811"/>
      <c r="E43" s="1312"/>
      <c r="F43" s="1043"/>
      <c r="G43" s="832"/>
      <c r="H43" s="832"/>
      <c r="I43" s="833"/>
      <c r="J43" s="832"/>
      <c r="L43" s="832"/>
      <c r="M43" s="830"/>
      <c r="N43" s="830"/>
      <c r="O43" s="830"/>
      <c r="P43" s="779"/>
      <c r="Q43" s="834"/>
      <c r="R43" s="834"/>
      <c r="S43" s="816"/>
    </row>
    <row r="44" spans="1:19" ht="15" customHeight="1">
      <c r="A44" s="597"/>
      <c r="B44" s="1002"/>
      <c r="C44" s="1002"/>
      <c r="D44" s="811"/>
      <c r="E44" s="1046"/>
      <c r="F44" s="1043"/>
      <c r="G44" s="832"/>
      <c r="H44" s="832"/>
      <c r="I44" s="833"/>
      <c r="K44" s="1329" t="s">
        <v>2103</v>
      </c>
      <c r="P44" s="1072"/>
      <c r="Q44" s="2663"/>
      <c r="R44" s="2663"/>
      <c r="S44" s="816"/>
    </row>
    <row r="45" spans="1:19" ht="15" customHeight="1">
      <c r="A45" s="597"/>
      <c r="B45" s="1002"/>
      <c r="C45" s="1002"/>
      <c r="D45" s="811"/>
      <c r="E45" s="1046"/>
      <c r="F45" s="1043"/>
      <c r="G45" s="832"/>
      <c r="H45" s="832"/>
      <c r="I45" s="833"/>
      <c r="K45" s="1330" t="s">
        <v>2098</v>
      </c>
      <c r="L45" s="1330"/>
      <c r="M45" s="832"/>
      <c r="N45" s="832"/>
      <c r="O45" s="832"/>
      <c r="P45" s="832"/>
      <c r="Q45" s="597"/>
      <c r="R45" s="597"/>
      <c r="S45" s="816"/>
    </row>
    <row r="46" spans="1:19" ht="15" customHeight="1">
      <c r="A46" s="597"/>
      <c r="B46" s="1002"/>
      <c r="C46" s="1002"/>
      <c r="D46" s="811"/>
      <c r="E46" s="1046"/>
      <c r="F46" s="1043"/>
      <c r="G46" s="832"/>
      <c r="H46" s="832"/>
      <c r="I46" s="833"/>
      <c r="J46" s="832"/>
      <c r="K46" s="2669" t="s">
        <v>2099</v>
      </c>
      <c r="L46" s="2669"/>
      <c r="M46" s="2669"/>
      <c r="N46" s="2669"/>
      <c r="O46" s="2669"/>
      <c r="P46" s="816"/>
      <c r="Q46" s="2667"/>
      <c r="R46" s="2667"/>
      <c r="S46" s="816"/>
    </row>
    <row r="47" spans="1:19" ht="15" customHeight="1">
      <c r="A47" s="597"/>
      <c r="B47" s="1002"/>
      <c r="C47" s="1002"/>
      <c r="D47" s="811"/>
      <c r="E47" s="1046"/>
      <c r="F47" s="1043"/>
      <c r="G47" s="832"/>
      <c r="H47" s="832"/>
      <c r="I47" s="833"/>
      <c r="J47" s="832"/>
      <c r="K47" s="2668" t="s">
        <v>2100</v>
      </c>
      <c r="L47" s="2668"/>
      <c r="M47" s="2668"/>
      <c r="N47" s="2668"/>
      <c r="O47" s="2668"/>
      <c r="P47" s="816"/>
      <c r="Q47" s="2704"/>
      <c r="R47" s="2704"/>
      <c r="S47" s="816"/>
    </row>
    <row r="48" spans="1:19" ht="15" customHeight="1">
      <c r="A48" s="597"/>
      <c r="B48" s="1002"/>
      <c r="C48" s="1002"/>
      <c r="D48" s="811"/>
      <c r="E48" s="1046"/>
      <c r="F48" s="1043"/>
      <c r="G48" s="832"/>
      <c r="H48" s="832"/>
      <c r="I48" s="833"/>
      <c r="J48" s="832"/>
      <c r="K48" s="2703" t="s">
        <v>2101</v>
      </c>
      <c r="L48" s="2703"/>
      <c r="M48" s="2703"/>
      <c r="N48" s="2703"/>
      <c r="O48" s="2703"/>
      <c r="P48" s="816"/>
      <c r="Q48" s="2669">
        <f>Q46+Q47</f>
        <v>0</v>
      </c>
      <c r="R48" s="2669"/>
      <c r="S48" s="816"/>
    </row>
    <row r="49" spans="1:29" ht="15" customHeight="1">
      <c r="A49" s="597"/>
      <c r="B49" s="1002"/>
      <c r="C49" s="1002"/>
      <c r="D49" s="811"/>
      <c r="E49" s="1046"/>
      <c r="F49" s="1043"/>
      <c r="G49" s="832"/>
      <c r="H49" s="832"/>
      <c r="I49" s="833"/>
      <c r="J49" s="832"/>
      <c r="K49" s="597"/>
      <c r="L49" s="597"/>
      <c r="M49" s="597"/>
      <c r="N49" s="597"/>
      <c r="O49" s="597"/>
      <c r="P49" s="597"/>
      <c r="Q49" s="597"/>
      <c r="R49" s="597"/>
      <c r="S49" s="816"/>
    </row>
    <row r="50" spans="1:29" ht="15" customHeight="1">
      <c r="A50" s="597"/>
      <c r="B50" s="998" t="s">
        <v>1912</v>
      </c>
      <c r="C50" s="998"/>
      <c r="D50" s="1001"/>
      <c r="E50" s="999">
        <f>'Sources and Uses Budget'!B15</f>
        <v>0</v>
      </c>
      <c r="F50" s="1043"/>
      <c r="G50" s="832"/>
      <c r="H50" s="832"/>
      <c r="I50" s="833"/>
      <c r="J50" s="832"/>
      <c r="K50" s="597"/>
      <c r="L50" s="597"/>
      <c r="M50" s="597"/>
      <c r="N50" s="597"/>
      <c r="O50" s="597"/>
      <c r="P50" s="597"/>
      <c r="Q50" s="597"/>
      <c r="R50" s="597"/>
      <c r="S50" s="816"/>
    </row>
    <row r="51" spans="1:29" ht="15" customHeight="1">
      <c r="A51" s="597"/>
      <c r="B51" s="997" t="s">
        <v>1487</v>
      </c>
      <c r="C51" s="997"/>
      <c r="D51" s="1001"/>
      <c r="E51" s="999"/>
      <c r="F51" s="1043"/>
      <c r="G51" s="832"/>
      <c r="H51" s="832"/>
      <c r="I51" s="833"/>
      <c r="J51" s="832"/>
      <c r="K51" s="597"/>
      <c r="L51" s="597"/>
      <c r="M51" s="597"/>
      <c r="N51" s="597"/>
      <c r="O51" s="597"/>
      <c r="P51" s="597"/>
      <c r="Q51" s="597"/>
      <c r="R51" s="597"/>
      <c r="S51" s="816"/>
    </row>
    <row r="52" spans="1:29" s="815" customFormat="1" ht="15" customHeight="1">
      <c r="B52" s="2693" t="s">
        <v>1814</v>
      </c>
      <c r="C52" s="2693"/>
      <c r="D52" s="2693"/>
      <c r="E52" s="2693"/>
      <c r="F52" s="1043"/>
      <c r="G52" s="831">
        <f>SUM(E42:E49)-ABS(E50)-ABS(E51)</f>
        <v>0</v>
      </c>
      <c r="H52" s="832"/>
      <c r="I52" s="833"/>
      <c r="J52" s="832"/>
    </row>
    <row r="53" spans="1:29" ht="15" customHeight="1">
      <c r="A53" s="597"/>
      <c r="B53" s="816"/>
      <c r="C53" s="837"/>
      <c r="D53" s="837" t="s">
        <v>974</v>
      </c>
      <c r="E53" s="838"/>
      <c r="F53" s="838"/>
      <c r="G53" s="839">
        <f>SUM(G38:G40)+G52</f>
        <v>0</v>
      </c>
      <c r="H53" s="835"/>
      <c r="I53" s="833"/>
      <c r="J53" s="832"/>
      <c r="K53" s="832"/>
      <c r="L53" s="832"/>
      <c r="M53" s="816"/>
      <c r="N53" s="816"/>
      <c r="O53" s="816"/>
      <c r="P53" s="816"/>
      <c r="Q53" s="816"/>
      <c r="R53" s="816"/>
      <c r="S53" s="816"/>
    </row>
    <row r="54" spans="1:29" ht="15" customHeight="1">
      <c r="A54" s="597"/>
      <c r="B54" s="840"/>
      <c r="C54" s="840"/>
      <c r="D54" s="840"/>
      <c r="E54" s="840"/>
      <c r="F54" s="840"/>
      <c r="G54" s="840"/>
      <c r="H54" s="822"/>
      <c r="I54" s="836"/>
      <c r="J54" s="836"/>
      <c r="K54" s="836"/>
      <c r="L54" s="836"/>
      <c r="M54" s="836"/>
      <c r="N54" s="836"/>
      <c r="O54" s="822"/>
      <c r="P54" s="822"/>
      <c r="Q54" s="822"/>
      <c r="R54" s="822"/>
      <c r="S54" s="816"/>
    </row>
    <row r="55" spans="1:29" ht="15" customHeight="1">
      <c r="A55" s="597"/>
      <c r="B55" s="1043"/>
      <c r="C55" s="1043"/>
      <c r="D55" s="1043"/>
      <c r="E55" s="1043"/>
      <c r="F55" s="1043"/>
      <c r="G55" s="1043"/>
      <c r="H55" s="1043"/>
      <c r="I55" s="1043"/>
      <c r="J55" s="1043"/>
      <c r="K55" s="1043"/>
      <c r="L55" s="1043"/>
      <c r="M55" s="1043"/>
      <c r="N55" s="1043"/>
      <c r="O55" s="1043"/>
      <c r="P55" s="1043"/>
      <c r="Q55" s="816"/>
      <c r="R55" s="816"/>
      <c r="S55" s="816"/>
      <c r="U55" s="1258" t="s">
        <v>136</v>
      </c>
      <c r="AC55" s="1258" t="s">
        <v>1078</v>
      </c>
    </row>
    <row r="56" spans="1:29" ht="15" customHeight="1">
      <c r="A56" s="597"/>
      <c r="B56" s="2696" t="s">
        <v>1397</v>
      </c>
      <c r="C56" s="2696"/>
      <c r="D56" s="1043"/>
      <c r="E56" s="1043"/>
      <c r="F56" s="1043"/>
      <c r="G56" s="1043"/>
      <c r="H56" s="1043"/>
      <c r="I56" s="1043"/>
      <c r="J56" s="1043"/>
      <c r="K56" s="1043"/>
      <c r="L56" s="1043"/>
      <c r="M56" s="1043"/>
      <c r="N56" s="1043"/>
      <c r="O56" s="1043"/>
      <c r="P56" s="1043"/>
      <c r="Q56" s="816"/>
      <c r="R56" s="816"/>
      <c r="S56" s="816"/>
      <c r="U56" s="1257" t="s">
        <v>2027</v>
      </c>
      <c r="AC56" s="1311">
        <v>0.2</v>
      </c>
    </row>
    <row r="57" spans="1:29" ht="15" customHeight="1">
      <c r="A57" s="835"/>
      <c r="B57" s="2697" t="s">
        <v>1808</v>
      </c>
      <c r="C57" s="2697"/>
      <c r="D57" s="2697"/>
      <c r="E57" s="2697"/>
      <c r="F57" s="2697"/>
      <c r="G57" s="2697"/>
      <c r="H57" s="2697"/>
      <c r="I57" s="2697"/>
      <c r="J57" s="2697"/>
      <c r="K57" s="2697"/>
      <c r="L57" s="2697"/>
      <c r="M57" s="2697"/>
      <c r="N57" s="2697"/>
      <c r="O57" s="2697"/>
      <c r="P57" s="1043"/>
      <c r="Q57" s="816"/>
      <c r="R57" s="816"/>
      <c r="S57" s="816"/>
      <c r="U57" s="1257" t="s">
        <v>2028</v>
      </c>
      <c r="AC57" s="1311">
        <v>0.1</v>
      </c>
    </row>
    <row r="58" spans="1:29" ht="15" customHeight="1">
      <c r="A58" s="816"/>
      <c r="B58" s="2688" t="s">
        <v>1807</v>
      </c>
      <c r="C58" s="2689"/>
      <c r="D58" s="2689"/>
      <c r="E58" s="2689"/>
      <c r="F58" s="842"/>
      <c r="G58" s="842"/>
      <c r="H58" s="843"/>
      <c r="I58" s="843"/>
      <c r="J58" s="2690">
        <f>('Sources and Uses Budget'!D104+Q47)/('Sources and Uses Budget'!B104+Q48)</f>
        <v>0</v>
      </c>
      <c r="K58" s="2691"/>
      <c r="L58" s="2691"/>
      <c r="M58" s="2691"/>
      <c r="N58" s="2692"/>
      <c r="O58" s="843"/>
      <c r="P58" s="843"/>
      <c r="Q58" s="816"/>
      <c r="R58" s="816"/>
      <c r="S58" s="816"/>
      <c r="U58" s="1257" t="s">
        <v>2029</v>
      </c>
      <c r="AC58" s="1311">
        <v>0.1</v>
      </c>
    </row>
    <row r="59" spans="1:29" ht="15" customHeight="1">
      <c r="A59" s="816"/>
      <c r="B59" s="2678" t="s">
        <v>2032</v>
      </c>
      <c r="C59" s="2678"/>
      <c r="D59" s="2678"/>
      <c r="E59" s="2678"/>
      <c r="F59" s="2678"/>
      <c r="G59" s="2678"/>
      <c r="H59" s="2678"/>
      <c r="I59" s="2678"/>
      <c r="J59" s="2678"/>
      <c r="K59" s="2678"/>
      <c r="L59" s="2678"/>
      <c r="M59" s="2678"/>
      <c r="N59" s="2678"/>
      <c r="O59" s="2678"/>
      <c r="P59" s="843"/>
      <c r="Q59" s="816"/>
      <c r="R59" s="816"/>
      <c r="S59" s="816"/>
      <c r="U59" s="1257" t="s">
        <v>2030</v>
      </c>
      <c r="AC59" s="1311">
        <v>0.05</v>
      </c>
    </row>
    <row r="60" spans="1:29" ht="15" customHeight="1" thickBot="1">
      <c r="A60" s="816"/>
      <c r="B60" s="2678"/>
      <c r="C60" s="2678"/>
      <c r="D60" s="2678"/>
      <c r="E60" s="2678"/>
      <c r="F60" s="2678"/>
      <c r="G60" s="2678"/>
      <c r="H60" s="2678"/>
      <c r="I60" s="2678"/>
      <c r="J60" s="2678"/>
      <c r="K60" s="2678"/>
      <c r="L60" s="2678"/>
      <c r="M60" s="2678"/>
      <c r="N60" s="2678"/>
      <c r="O60" s="2678"/>
      <c r="P60" s="843"/>
      <c r="Q60" s="816"/>
      <c r="R60" s="816"/>
      <c r="S60" s="816"/>
      <c r="U60" s="1258"/>
      <c r="AC60" s="1259"/>
    </row>
    <row r="61" spans="1:29" ht="15" customHeight="1">
      <c r="A61" s="816"/>
      <c r="B61" s="2679" t="s">
        <v>1809</v>
      </c>
      <c r="C61" s="2679"/>
      <c r="D61" s="2679"/>
      <c r="E61" s="2679"/>
      <c r="F61" s="2679"/>
      <c r="G61" s="2679"/>
      <c r="H61" s="2679"/>
      <c r="I61" s="2679"/>
      <c r="J61" s="2679"/>
      <c r="K61" s="2679"/>
      <c r="L61" s="2679"/>
      <c r="M61" s="2679"/>
      <c r="N61" s="2679"/>
      <c r="O61" s="2679"/>
      <c r="P61" s="843"/>
      <c r="Q61" s="816"/>
      <c r="R61" s="816"/>
      <c r="S61" s="816"/>
      <c r="U61" s="2710">
        <f>IF(J67="Non-rural project, Census Tract is Highest Resource (20 percentage points)",AC56,0)</f>
        <v>0</v>
      </c>
    </row>
    <row r="62" spans="1:29" ht="15" customHeight="1" thickBot="1">
      <c r="A62" s="816"/>
      <c r="B62" s="822"/>
      <c r="C62" s="822"/>
      <c r="D62" s="822"/>
      <c r="E62" s="822"/>
      <c r="F62" s="822"/>
      <c r="G62" s="822"/>
      <c r="H62" s="822"/>
      <c r="I62" s="822"/>
      <c r="J62" s="822"/>
      <c r="K62" s="822"/>
      <c r="L62" s="822"/>
      <c r="M62" s="822"/>
      <c r="N62" s="822"/>
      <c r="O62" s="822"/>
      <c r="P62" s="822"/>
      <c r="Q62" s="822"/>
      <c r="R62" s="822"/>
      <c r="S62" s="816"/>
      <c r="U62" s="2711"/>
    </row>
    <row r="63" spans="1:29" ht="15" customHeight="1">
      <c r="A63" s="816"/>
      <c r="B63" s="830"/>
      <c r="C63" s="830"/>
      <c r="D63" s="830"/>
      <c r="E63" s="1329"/>
      <c r="F63" s="830"/>
      <c r="G63" s="830"/>
      <c r="H63" s="830"/>
      <c r="I63" s="1267"/>
      <c r="J63" s="2684" t="s">
        <v>2222</v>
      </c>
      <c r="K63" s="2685"/>
      <c r="L63" s="2685"/>
      <c r="M63" s="2685"/>
      <c r="N63" s="2685"/>
      <c r="O63" s="2685"/>
      <c r="P63" s="2685"/>
      <c r="Q63" s="2685"/>
      <c r="R63" s="2685"/>
      <c r="S63" s="816"/>
      <c r="U63" s="2710">
        <f>IF(J67="Non-rural project, Census Tract is High Resource (10 percentage points)",AC57,0)</f>
        <v>0</v>
      </c>
    </row>
    <row r="64" spans="1:29" ht="15" customHeight="1" thickBot="1">
      <c r="A64" s="816"/>
      <c r="B64" s="2680" t="s">
        <v>1819</v>
      </c>
      <c r="C64" s="2680"/>
      <c r="D64" s="830"/>
      <c r="F64" s="830"/>
      <c r="G64" s="1331" t="s">
        <v>2102</v>
      </c>
      <c r="H64" s="830"/>
      <c r="I64" s="1268"/>
      <c r="J64" s="2686"/>
      <c r="K64" s="2687"/>
      <c r="L64" s="2687"/>
      <c r="M64" s="2687"/>
      <c r="N64" s="2687"/>
      <c r="O64" s="2687"/>
      <c r="P64" s="2687"/>
      <c r="Q64" s="2687"/>
      <c r="R64" s="2687"/>
      <c r="S64" s="816"/>
      <c r="U64" s="2711"/>
    </row>
    <row r="65" spans="1:22" ht="15" customHeight="1">
      <c r="A65" s="816"/>
      <c r="B65" s="845" t="s">
        <v>1812</v>
      </c>
      <c r="C65" s="1008" t="str">
        <f>IF(Application!M349="Yes","Yes","No")</f>
        <v>Yes</v>
      </c>
      <c r="E65" s="1332"/>
      <c r="F65" s="1332"/>
      <c r="G65" s="1333" t="s">
        <v>2104</v>
      </c>
      <c r="H65" s="830"/>
      <c r="I65" s="1268"/>
      <c r="J65" s="2686"/>
      <c r="K65" s="2687"/>
      <c r="L65" s="2687"/>
      <c r="M65" s="2687"/>
      <c r="N65" s="2687"/>
      <c r="O65" s="2687"/>
      <c r="P65" s="2687"/>
      <c r="Q65" s="2687"/>
      <c r="R65" s="2687"/>
      <c r="S65" s="816"/>
      <c r="U65" s="2710">
        <f>IF(J67="Rural project, Census Tract is Highest Resource (10 percentage points)",AC58,0)</f>
        <v>0</v>
      </c>
    </row>
    <row r="66" spans="1:22" ht="15" customHeight="1" thickBot="1">
      <c r="A66" s="816"/>
      <c r="B66" s="846" t="s">
        <v>1896</v>
      </c>
      <c r="C66" s="1009">
        <f>Application!AG430-Application!AG431</f>
        <v>90</v>
      </c>
      <c r="D66" s="1332"/>
      <c r="E66" s="846" t="s">
        <v>2105</v>
      </c>
      <c r="F66" s="1332"/>
      <c r="G66" s="1056"/>
      <c r="H66" s="847"/>
      <c r="I66" s="1269"/>
      <c r="J66" s="2686"/>
      <c r="K66" s="2687"/>
      <c r="L66" s="2687"/>
      <c r="M66" s="2687"/>
      <c r="N66" s="2687"/>
      <c r="O66" s="2687"/>
      <c r="P66" s="2687"/>
      <c r="Q66" s="2687"/>
      <c r="R66" s="2687"/>
      <c r="S66" s="816"/>
      <c r="U66" s="2711"/>
    </row>
    <row r="67" spans="1:22" ht="15" customHeight="1">
      <c r="A67" s="816"/>
      <c r="B67" s="846" t="s">
        <v>1806</v>
      </c>
      <c r="C67" s="1010">
        <f>MIN(IF(AND(C65="Yes",G67&gt;=50),(0.75+(G67/200)),1),1.5)</f>
        <v>1.2</v>
      </c>
      <c r="D67" s="847"/>
      <c r="E67" s="846" t="s">
        <v>1897</v>
      </c>
      <c r="G67" s="1009">
        <f>C66+G66</f>
        <v>90</v>
      </c>
      <c r="H67" s="847"/>
      <c r="I67" s="1269"/>
      <c r="J67" s="2683" t="s">
        <v>136</v>
      </c>
      <c r="K67" s="2683"/>
      <c r="L67" s="2683"/>
      <c r="M67" s="2683"/>
      <c r="N67" s="2683"/>
      <c r="O67" s="2683"/>
      <c r="P67" s="2683"/>
      <c r="Q67" s="2683"/>
      <c r="R67" s="2683"/>
      <c r="S67" s="816"/>
      <c r="U67" s="2710">
        <f>IF(J67="Rural project, Census Tract is High Resource (5 percentage points)",AC59,0)</f>
        <v>0</v>
      </c>
    </row>
    <row r="68" spans="1:22" ht="15" customHeight="1" thickBot="1">
      <c r="A68" s="816"/>
      <c r="B68" s="822"/>
      <c r="C68" s="822"/>
      <c r="D68" s="822"/>
      <c r="E68" s="822"/>
      <c r="F68" s="822"/>
      <c r="G68" s="822"/>
      <c r="H68" s="822"/>
      <c r="I68" s="1270"/>
      <c r="J68" s="822"/>
      <c r="K68" s="822"/>
      <c r="L68" s="822"/>
      <c r="M68" s="822"/>
      <c r="N68" s="822"/>
      <c r="O68" s="822"/>
      <c r="P68" s="822"/>
      <c r="Q68" s="822"/>
      <c r="R68" s="822"/>
      <c r="S68" s="816"/>
      <c r="U68" s="2711"/>
    </row>
    <row r="69" spans="1:22" ht="15" customHeight="1">
      <c r="A69" s="816"/>
      <c r="B69" s="816"/>
      <c r="C69" s="816"/>
      <c r="D69" s="816"/>
      <c r="E69" s="816"/>
      <c r="F69" s="816"/>
      <c r="G69" s="816"/>
      <c r="H69" s="816"/>
      <c r="I69" s="816"/>
      <c r="J69" s="816"/>
      <c r="K69" s="816"/>
      <c r="L69" s="816"/>
      <c r="M69" s="816"/>
      <c r="N69" s="816"/>
      <c r="O69" s="816"/>
      <c r="P69" s="816"/>
      <c r="Q69" s="816"/>
      <c r="R69" s="816"/>
      <c r="S69" s="816"/>
      <c r="U69" s="2714">
        <f>SUM(U61:U68)</f>
        <v>0</v>
      </c>
    </row>
    <row r="70" spans="1:22" ht="15" customHeight="1" thickBot="1">
      <c r="A70" s="816"/>
      <c r="B70" s="2681" t="s">
        <v>1816</v>
      </c>
      <c r="C70" s="2681"/>
      <c r="D70" s="817"/>
      <c r="E70" s="817"/>
      <c r="F70" s="817"/>
      <c r="G70" s="817"/>
      <c r="H70" s="816"/>
      <c r="I70" s="816"/>
      <c r="J70" s="816"/>
      <c r="K70" s="816"/>
      <c r="L70" s="816"/>
      <c r="M70" s="816"/>
      <c r="N70" s="816"/>
      <c r="O70" s="816"/>
      <c r="P70" s="816"/>
      <c r="Q70" s="816"/>
      <c r="R70" s="816"/>
      <c r="S70" s="816"/>
      <c r="U70" s="2715"/>
      <c r="V70" s="636" t="s">
        <v>2031</v>
      </c>
    </row>
    <row r="71" spans="1:22" ht="15" customHeight="1">
      <c r="A71" s="816"/>
      <c r="B71" s="2682" t="s">
        <v>1820</v>
      </c>
      <c r="C71" s="2682"/>
      <c r="D71" s="2682"/>
      <c r="E71" s="817"/>
      <c r="F71" s="817"/>
      <c r="G71" s="831">
        <f>G53*(1-J58)</f>
        <v>0</v>
      </c>
      <c r="H71" s="816"/>
      <c r="I71" s="816"/>
      <c r="J71" s="849"/>
      <c r="K71" s="1165" t="s">
        <v>1822</v>
      </c>
      <c r="L71" s="1165"/>
      <c r="M71" s="1165"/>
      <c r="N71" s="1165"/>
      <c r="O71" s="1165"/>
      <c r="P71" s="816"/>
      <c r="Q71" s="2669">
        <f>'Basis &amp; Credits'!T23+'Basis &amp; Credits'!Y23+'Basis &amp; Credits'!AD23+'Basis &amp; Credits'!AI23</f>
        <v>24648953</v>
      </c>
      <c r="R71" s="2669"/>
      <c r="S71" s="816"/>
    </row>
    <row r="72" spans="1:22" ht="15" customHeight="1">
      <c r="A72" s="816"/>
      <c r="B72" s="2671" t="s">
        <v>1821</v>
      </c>
      <c r="C72" s="2671"/>
      <c r="D72" s="2671"/>
      <c r="E72" s="817"/>
      <c r="F72" s="817"/>
      <c r="G72" s="831">
        <f>G71*C67</f>
        <v>0</v>
      </c>
      <c r="H72" s="816"/>
      <c r="I72" s="816"/>
      <c r="J72" s="849"/>
      <c r="K72" s="1271"/>
      <c r="L72" s="1271"/>
      <c r="M72" s="1271"/>
      <c r="N72" s="1271"/>
      <c r="O72" s="1271"/>
      <c r="P72" s="816"/>
      <c r="Q72" s="2663"/>
      <c r="R72" s="2663"/>
      <c r="S72" s="816"/>
    </row>
    <row r="73" spans="1:22" ht="15" customHeight="1">
      <c r="A73" s="816"/>
      <c r="B73" s="1003"/>
      <c r="C73" s="1004"/>
      <c r="D73" s="1005"/>
      <c r="E73" s="817"/>
      <c r="F73" s="817"/>
      <c r="G73" s="832"/>
      <c r="H73" s="816"/>
      <c r="I73" s="816"/>
      <c r="J73" s="849"/>
      <c r="K73" s="779"/>
      <c r="L73" s="779"/>
      <c r="M73" s="779"/>
      <c r="N73" s="779"/>
      <c r="O73" s="779"/>
      <c r="P73" s="779"/>
      <c r="Q73" s="779"/>
      <c r="R73" s="779"/>
      <c r="S73" s="816"/>
    </row>
    <row r="74" spans="1:22" ht="15" customHeight="1" thickBot="1">
      <c r="A74" s="816"/>
      <c r="B74" s="844"/>
      <c r="C74" s="844"/>
      <c r="D74" s="844"/>
      <c r="E74" s="844"/>
      <c r="F74" s="844"/>
      <c r="G74" s="844"/>
      <c r="H74" s="816"/>
      <c r="I74" s="816"/>
      <c r="J74" s="816"/>
      <c r="K74" s="816"/>
      <c r="L74" s="816"/>
      <c r="M74" s="816"/>
      <c r="N74" s="816"/>
      <c r="O74" s="816"/>
      <c r="P74" s="816"/>
      <c r="Q74" s="816"/>
      <c r="R74" s="816"/>
      <c r="S74" s="816"/>
    </row>
    <row r="75" spans="1:22" ht="15" customHeight="1">
      <c r="A75" s="835"/>
      <c r="B75" s="2672">
        <f>$G$72</f>
        <v>0</v>
      </c>
      <c r="C75" s="2673"/>
      <c r="D75" s="2673"/>
      <c r="E75" s="2673"/>
      <c r="F75" s="2673"/>
      <c r="G75" s="2673"/>
      <c r="H75" s="850"/>
      <c r="I75" s="2674" t="s">
        <v>155</v>
      </c>
      <c r="J75" s="2666" t="s">
        <v>1096</v>
      </c>
      <c r="K75" s="2674">
        <v>1</v>
      </c>
      <c r="L75" s="816"/>
      <c r="M75" s="822"/>
      <c r="N75" s="848"/>
      <c r="O75" s="1058">
        <f>$Q$71</f>
        <v>24648953</v>
      </c>
      <c r="P75" s="2666" t="s">
        <v>2221</v>
      </c>
      <c r="Q75" s="2675" t="s">
        <v>154</v>
      </c>
      <c r="R75" s="2712">
        <f>((B75/B76)+((1-(O75/O76))/2))+U69</f>
        <v>0.24385067420846651</v>
      </c>
    </row>
    <row r="76" spans="1:22" ht="15" customHeight="1" thickBot="1">
      <c r="A76" s="816"/>
      <c r="B76" s="2676">
        <f>'Sources and Uses Budget'!$C$104+$Q$46-($E$50+$E$51)*(1-$J$58)</f>
        <v>48114421</v>
      </c>
      <c r="C76" s="2677"/>
      <c r="D76" s="2677"/>
      <c r="E76" s="2677"/>
      <c r="F76" s="2677"/>
      <c r="G76" s="2676"/>
      <c r="H76" s="816"/>
      <c r="I76" s="2674"/>
      <c r="J76" s="2666"/>
      <c r="K76" s="2674"/>
      <c r="L76" s="816"/>
      <c r="M76" s="1039"/>
      <c r="N76" s="816"/>
      <c r="O76" s="1057">
        <f>B76</f>
        <v>48114421</v>
      </c>
      <c r="P76" s="2666"/>
      <c r="Q76" s="2675"/>
      <c r="R76" s="2713"/>
    </row>
    <row r="77" spans="1:22" ht="15" customHeight="1">
      <c r="A77" s="816"/>
      <c r="B77" s="822"/>
      <c r="C77" s="822"/>
      <c r="D77" s="822"/>
      <c r="E77" s="822"/>
      <c r="F77" s="822"/>
      <c r="G77" s="822"/>
      <c r="H77" s="822"/>
      <c r="I77" s="822"/>
      <c r="J77" s="822"/>
      <c r="K77" s="822"/>
      <c r="L77" s="822"/>
      <c r="M77" s="822"/>
      <c r="N77" s="822"/>
      <c r="O77" s="822"/>
      <c r="P77" s="822"/>
      <c r="Q77" s="822"/>
      <c r="S77" s="816"/>
    </row>
    <row r="78" spans="1:22" ht="15" customHeight="1">
      <c r="A78" s="816"/>
      <c r="S78" s="816"/>
    </row>
    <row r="79" spans="1:22" ht="15" customHeight="1">
      <c r="A79" s="816"/>
      <c r="B79" s="1164" t="s">
        <v>1815</v>
      </c>
      <c r="C79" s="830"/>
      <c r="D79" s="830"/>
      <c r="E79" s="830"/>
      <c r="F79" s="830"/>
      <c r="G79" s="830"/>
      <c r="H79" s="830"/>
      <c r="I79" s="830"/>
      <c r="J79" s="830"/>
      <c r="K79" s="830"/>
      <c r="L79" s="830"/>
      <c r="M79" s="830"/>
      <c r="N79" s="830"/>
      <c r="O79" s="830"/>
      <c r="P79" s="830"/>
      <c r="Q79" s="830"/>
      <c r="R79" s="830"/>
      <c r="S79" s="816"/>
    </row>
    <row r="80" spans="1:22" ht="15" customHeight="1">
      <c r="A80" s="816"/>
      <c r="C80" s="1164"/>
      <c r="D80" s="1164"/>
      <c r="E80" s="1164"/>
      <c r="F80" s="1164"/>
      <c r="G80" s="1164"/>
      <c r="H80" s="1164"/>
      <c r="I80" s="1164"/>
      <c r="J80" s="1164"/>
      <c r="K80" s="1164"/>
      <c r="L80" s="1164"/>
      <c r="M80" s="1164"/>
      <c r="N80" s="1164"/>
      <c r="O80" s="1164"/>
      <c r="P80" s="816"/>
      <c r="Q80" s="816"/>
      <c r="R80" s="816"/>
      <c r="S80" s="816"/>
    </row>
    <row r="81" spans="1:19" ht="15" customHeight="1">
      <c r="A81" s="816"/>
      <c r="B81" s="793" t="s">
        <v>2096</v>
      </c>
      <c r="C81" s="1045"/>
      <c r="D81" s="1045"/>
      <c r="E81" s="1045"/>
      <c r="F81" s="1045"/>
      <c r="G81" s="816"/>
      <c r="H81" s="1045"/>
      <c r="I81" s="833"/>
      <c r="J81" s="1045"/>
      <c r="K81" s="793" t="s">
        <v>2097</v>
      </c>
      <c r="L81" s="1045"/>
      <c r="M81" s="1045"/>
      <c r="N81" s="1045"/>
      <c r="O81" s="1045"/>
      <c r="P81" s="816"/>
      <c r="Q81" s="816"/>
      <c r="R81" s="816"/>
      <c r="S81" s="816"/>
    </row>
    <row r="82" spans="1:19" ht="15" customHeight="1">
      <c r="A82" s="816"/>
      <c r="B82" s="1288" t="s">
        <v>2037</v>
      </c>
      <c r="C82" s="1277"/>
      <c r="D82" s="1272"/>
      <c r="E82" s="1277"/>
      <c r="F82" s="1277"/>
      <c r="G82" s="1279"/>
      <c r="H82" s="816"/>
      <c r="I82" s="833"/>
      <c r="J82" s="816"/>
      <c r="L82" s="816"/>
      <c r="M82" s="816"/>
      <c r="N82" s="816"/>
      <c r="O82" s="816"/>
      <c r="P82" s="816"/>
      <c r="Q82" s="816"/>
      <c r="R82" s="816"/>
      <c r="S82" s="816"/>
    </row>
    <row r="83" spans="1:19" ht="15" customHeight="1">
      <c r="A83" s="816"/>
      <c r="B83" s="1286" t="s">
        <v>2040</v>
      </c>
      <c r="C83" s="1277"/>
      <c r="D83" s="1278"/>
      <c r="E83" s="1275"/>
      <c r="F83" s="1275"/>
      <c r="G83" s="1279"/>
      <c r="H83" s="816"/>
      <c r="I83" s="833"/>
      <c r="J83" s="816"/>
      <c r="K83" s="1260" t="s">
        <v>1898</v>
      </c>
      <c r="L83" s="816"/>
      <c r="M83" s="816"/>
      <c r="N83" s="816"/>
      <c r="O83" s="816"/>
      <c r="P83" s="816"/>
      <c r="Q83" s="816"/>
      <c r="R83" s="816"/>
      <c r="S83" s="816"/>
    </row>
    <row r="84" spans="1:19" ht="15" customHeight="1">
      <c r="A84" s="816"/>
      <c r="B84" s="1287" t="s">
        <v>2177</v>
      </c>
      <c r="C84" s="1280"/>
      <c r="D84" s="1281"/>
      <c r="E84" s="1273"/>
      <c r="F84" s="1273"/>
      <c r="G84" s="1282"/>
      <c r="H84" s="816"/>
      <c r="I84" s="833"/>
      <c r="J84" s="816"/>
      <c r="K84" s="1260" t="s">
        <v>1829</v>
      </c>
      <c r="L84" s="1161"/>
      <c r="M84" s="1161"/>
      <c r="N84" s="1161"/>
      <c r="O84" s="1161"/>
      <c r="P84" s="1161"/>
      <c r="Q84" s="2667"/>
      <c r="R84" s="2667"/>
      <c r="S84" s="816"/>
    </row>
    <row r="85" spans="1:19" ht="15" customHeight="1">
      <c r="A85" s="816"/>
      <c r="B85" s="1287" t="s">
        <v>2036</v>
      </c>
      <c r="C85" s="1283"/>
      <c r="D85" s="1284"/>
      <c r="E85" s="1276"/>
      <c r="F85" s="1276"/>
      <c r="G85" s="1285"/>
      <c r="H85" s="816"/>
      <c r="I85" s="833"/>
      <c r="J85" s="816"/>
      <c r="L85" s="1162"/>
      <c r="M85" s="1162"/>
      <c r="N85" s="1162"/>
      <c r="O85" s="1162"/>
      <c r="P85" s="1162"/>
      <c r="S85" s="816"/>
    </row>
    <row r="86" spans="1:19" ht="15" customHeight="1">
      <c r="A86" s="816"/>
      <c r="B86" s="1288" t="s">
        <v>2120</v>
      </c>
      <c r="C86" s="1280"/>
      <c r="D86" s="1281"/>
      <c r="E86" s="1273"/>
      <c r="F86" s="1273"/>
      <c r="G86" s="1274"/>
      <c r="H86" s="816"/>
      <c r="I86" s="833"/>
      <c r="J86" s="816"/>
      <c r="L86" s="1163"/>
      <c r="M86" s="1163"/>
      <c r="N86" s="1163"/>
      <c r="O86" s="1340" t="s">
        <v>1128</v>
      </c>
      <c r="P86" s="1163"/>
      <c r="Q86" s="816"/>
      <c r="R86" s="597"/>
      <c r="S86" s="816"/>
    </row>
    <row r="87" spans="1:19" ht="15" customHeight="1">
      <c r="A87" s="816"/>
      <c r="B87" s="1288" t="s">
        <v>2203</v>
      </c>
      <c r="C87" s="1283"/>
      <c r="D87" s="1272"/>
      <c r="E87" s="1277"/>
      <c r="F87" s="1277"/>
      <c r="G87" s="1345"/>
      <c r="H87" s="816"/>
      <c r="I87" s="833"/>
      <c r="J87" s="816"/>
      <c r="S87" s="816"/>
    </row>
    <row r="88" spans="1:19" ht="15" customHeight="1">
      <c r="A88" s="816"/>
      <c r="B88" s="1341"/>
      <c r="C88" s="1342"/>
      <c r="D88" s="1343"/>
      <c r="E88" s="1344" t="s">
        <v>2035</v>
      </c>
      <c r="F88" s="1275"/>
      <c r="G88" s="1275" t="s">
        <v>1097</v>
      </c>
      <c r="H88" s="816"/>
      <c r="I88" s="833"/>
      <c r="J88" s="816"/>
      <c r="K88" s="1261" t="s">
        <v>1828</v>
      </c>
      <c r="L88" s="1161"/>
      <c r="M88" s="1161"/>
      <c r="N88" s="1161"/>
      <c r="O88" s="1161"/>
      <c r="P88" s="1161"/>
      <c r="Q88" s="816"/>
      <c r="R88" s="597"/>
      <c r="S88" s="816"/>
    </row>
    <row r="89" spans="1:19" ht="15" customHeight="1">
      <c r="A89" s="816"/>
      <c r="B89" s="851" t="s">
        <v>1090</v>
      </c>
      <c r="C89" s="852" t="s">
        <v>1091</v>
      </c>
      <c r="D89" s="1289" t="s">
        <v>2038</v>
      </c>
      <c r="E89" s="1289" t="s">
        <v>2121</v>
      </c>
      <c r="F89" s="853"/>
      <c r="G89" s="853" t="s">
        <v>2039</v>
      </c>
      <c r="H89" s="816"/>
      <c r="I89" s="833"/>
      <c r="J89" s="816"/>
      <c r="K89" s="1261" t="s">
        <v>1830</v>
      </c>
      <c r="L89" s="1162"/>
      <c r="M89" s="1162"/>
      <c r="N89" s="1162"/>
      <c r="O89" s="1162"/>
      <c r="P89" s="1162"/>
      <c r="Q89" s="2667"/>
      <c r="R89" s="2667"/>
      <c r="S89" s="816"/>
    </row>
    <row r="90" spans="1:19" ht="15" customHeight="1">
      <c r="A90" s="597"/>
      <c r="B90" s="794" t="s">
        <v>681</v>
      </c>
      <c r="C90" s="795"/>
      <c r="D90" s="796"/>
      <c r="E90" s="797"/>
      <c r="F90" s="861"/>
      <c r="G90" s="854">
        <f>MAX(($E90-$D90)*$C90*12,0)</f>
        <v>0</v>
      </c>
      <c r="H90" s="816"/>
      <c r="I90" s="833"/>
      <c r="J90" s="816"/>
      <c r="K90" s="1261" t="s">
        <v>1831</v>
      </c>
      <c r="L90" s="1162"/>
      <c r="M90" s="1162"/>
      <c r="N90" s="1162"/>
      <c r="O90" s="1162"/>
      <c r="P90" s="1162"/>
      <c r="Q90" s="2670"/>
      <c r="R90" s="2670"/>
      <c r="S90" s="816"/>
    </row>
    <row r="91" spans="1:19" ht="15" customHeight="1">
      <c r="A91" s="597"/>
      <c r="B91" s="794" t="s">
        <v>681</v>
      </c>
      <c r="C91" s="795"/>
      <c r="D91" s="796"/>
      <c r="E91" s="797"/>
      <c r="F91" s="861"/>
      <c r="G91" s="854">
        <f t="shared" ref="G91:G97" si="0">MAX(($E91-$D91)*$C91*12,0)</f>
        <v>0</v>
      </c>
      <c r="H91" s="816"/>
      <c r="I91" s="833"/>
      <c r="J91" s="816"/>
      <c r="K91" s="1261" t="s">
        <v>1835</v>
      </c>
      <c r="L91" s="1162"/>
      <c r="M91" s="1162"/>
      <c r="N91" s="1162"/>
      <c r="O91" s="1162"/>
      <c r="P91" s="1162"/>
      <c r="Q91" s="2668">
        <f>IFERROR(Q89/Q90,0)</f>
        <v>0</v>
      </c>
      <c r="R91" s="2668"/>
      <c r="S91" s="816"/>
    </row>
    <row r="92" spans="1:19" ht="15" customHeight="1">
      <c r="A92" s="597"/>
      <c r="B92" s="794" t="s">
        <v>681</v>
      </c>
      <c r="C92" s="795"/>
      <c r="D92" s="796"/>
      <c r="E92" s="797"/>
      <c r="F92" s="861"/>
      <c r="G92" s="854">
        <f t="shared" si="0"/>
        <v>0</v>
      </c>
      <c r="H92" s="816"/>
      <c r="I92" s="833"/>
      <c r="J92" s="816"/>
      <c r="S92" s="816"/>
    </row>
    <row r="93" spans="1:19" ht="15" customHeight="1">
      <c r="A93" s="597"/>
      <c r="B93" s="794" t="s">
        <v>681</v>
      </c>
      <c r="C93" s="795"/>
      <c r="D93" s="796"/>
      <c r="E93" s="797"/>
      <c r="F93" s="861"/>
      <c r="G93" s="854">
        <f t="shared" si="0"/>
        <v>0</v>
      </c>
      <c r="H93" s="816"/>
      <c r="I93" s="833"/>
      <c r="J93" s="816"/>
      <c r="K93" s="1262" t="s">
        <v>1836</v>
      </c>
      <c r="L93" s="1160"/>
      <c r="M93" s="1160"/>
      <c r="N93" s="1160"/>
      <c r="O93" s="1160"/>
      <c r="P93" s="1160"/>
      <c r="Q93" s="2669">
        <f>MAX(Q84,Q91)</f>
        <v>0</v>
      </c>
      <c r="R93" s="2669"/>
      <c r="S93" s="816"/>
    </row>
    <row r="94" spans="1:19" ht="15" customHeight="1">
      <c r="A94" s="597"/>
      <c r="B94" s="794" t="s">
        <v>681</v>
      </c>
      <c r="C94" s="795"/>
      <c r="D94" s="796"/>
      <c r="E94" s="797"/>
      <c r="F94" s="861"/>
      <c r="G94" s="854">
        <f t="shared" si="0"/>
        <v>0</v>
      </c>
      <c r="H94" s="816"/>
      <c r="I94" s="833"/>
      <c r="J94" s="816"/>
      <c r="K94" s="1262"/>
      <c r="L94" s="1160"/>
      <c r="M94" s="1160"/>
      <c r="N94" s="1160"/>
      <c r="O94" s="1160"/>
      <c r="P94" s="1160"/>
      <c r="Q94" s="1336"/>
      <c r="R94" s="1336"/>
      <c r="S94" s="816"/>
    </row>
    <row r="95" spans="1:19" ht="15" customHeight="1">
      <c r="A95" s="597"/>
      <c r="B95" s="794" t="s">
        <v>681</v>
      </c>
      <c r="C95" s="795"/>
      <c r="D95" s="796"/>
      <c r="E95" s="797"/>
      <c r="F95" s="861"/>
      <c r="G95" s="854">
        <f t="shared" si="0"/>
        <v>0</v>
      </c>
      <c r="H95" s="816"/>
      <c r="I95" s="833"/>
      <c r="J95" s="816"/>
      <c r="K95" s="1262"/>
      <c r="L95" s="1160"/>
      <c r="M95" s="1160"/>
      <c r="N95" s="1160"/>
      <c r="O95" s="1160"/>
      <c r="P95" s="1160"/>
      <c r="Q95" s="1336"/>
      <c r="R95" s="1336"/>
      <c r="S95" s="816"/>
    </row>
    <row r="96" spans="1:19" ht="15" customHeight="1">
      <c r="A96" s="597"/>
      <c r="B96" s="794" t="s">
        <v>681</v>
      </c>
      <c r="C96" s="795"/>
      <c r="D96" s="796"/>
      <c r="E96" s="797"/>
      <c r="F96" s="861"/>
      <c r="G96" s="854">
        <f t="shared" si="0"/>
        <v>0</v>
      </c>
      <c r="H96" s="816"/>
      <c r="I96" s="833"/>
      <c r="J96" s="816"/>
      <c r="K96" s="816"/>
      <c r="L96" s="816"/>
      <c r="M96" s="816"/>
      <c r="N96" s="816"/>
      <c r="O96" s="816"/>
      <c r="P96" s="816"/>
      <c r="Q96" s="816"/>
      <c r="R96" s="816"/>
      <c r="S96" s="816"/>
    </row>
    <row r="97" spans="1:19" ht="15" customHeight="1">
      <c r="A97" s="597"/>
      <c r="B97" s="794" t="s">
        <v>681</v>
      </c>
      <c r="C97" s="795"/>
      <c r="D97" s="796"/>
      <c r="E97" s="797"/>
      <c r="F97" s="861"/>
      <c r="G97" s="854">
        <f t="shared" si="0"/>
        <v>0</v>
      </c>
      <c r="H97" s="816"/>
      <c r="I97" s="833"/>
      <c r="J97" s="816"/>
      <c r="K97" s="816"/>
      <c r="L97" s="816"/>
      <c r="M97" s="816"/>
      <c r="N97" s="816"/>
      <c r="O97" s="816"/>
      <c r="P97" s="816"/>
      <c r="Q97" s="816"/>
      <c r="R97" s="816"/>
      <c r="S97" s="816"/>
    </row>
    <row r="98" spans="1:19" ht="15" customHeight="1">
      <c r="A98" s="597"/>
      <c r="B98" s="816"/>
      <c r="C98" s="856"/>
      <c r="D98" s="830"/>
      <c r="E98" s="1044" t="s">
        <v>1934</v>
      </c>
      <c r="F98" s="1044"/>
      <c r="G98" s="1088">
        <f>SUM(G90:G97)</f>
        <v>0</v>
      </c>
      <c r="H98" s="816"/>
      <c r="I98" s="833"/>
      <c r="J98" s="816"/>
      <c r="S98" s="816"/>
    </row>
    <row r="99" spans="1:19" ht="15" customHeight="1">
      <c r="A99" s="816"/>
      <c r="B99" s="816"/>
      <c r="C99" s="816"/>
      <c r="D99" s="816"/>
      <c r="E99" s="816"/>
      <c r="F99" s="816"/>
      <c r="G99" s="816"/>
      <c r="H99" s="816"/>
      <c r="I99" s="833"/>
      <c r="J99" s="816"/>
      <c r="K99" s="816"/>
      <c r="L99" s="816"/>
      <c r="M99" s="816"/>
      <c r="N99" s="816"/>
      <c r="O99" s="816"/>
      <c r="P99" s="816"/>
      <c r="Q99" s="816"/>
      <c r="R99" s="816"/>
      <c r="S99" s="816"/>
    </row>
    <row r="100" spans="1:19" ht="15" customHeight="1">
      <c r="A100" s="816"/>
      <c r="B100" s="841" t="s">
        <v>1832</v>
      </c>
      <c r="C100" s="816"/>
      <c r="D100" s="1006">
        <f>G98+Q93</f>
        <v>0</v>
      </c>
      <c r="E100" s="816"/>
      <c r="F100" s="816"/>
      <c r="G100" s="816"/>
      <c r="H100" s="816"/>
      <c r="I100" s="833"/>
      <c r="J100" s="816"/>
      <c r="K100" s="816"/>
      <c r="L100" s="816"/>
      <c r="M100" s="816"/>
      <c r="N100" s="816"/>
      <c r="O100" s="816"/>
      <c r="P100" s="816"/>
      <c r="Q100" s="816"/>
      <c r="R100" s="816"/>
      <c r="S100" s="816"/>
    </row>
    <row r="101" spans="1:19" ht="15" customHeight="1">
      <c r="A101" s="816"/>
      <c r="B101" s="841" t="s">
        <v>1092</v>
      </c>
      <c r="C101" s="816"/>
      <c r="D101" s="857">
        <v>0.05</v>
      </c>
      <c r="E101" s="816"/>
      <c r="F101" s="816"/>
      <c r="G101" s="816"/>
      <c r="H101" s="816"/>
      <c r="I101" s="833"/>
      <c r="J101" s="816"/>
      <c r="K101" s="816"/>
      <c r="L101" s="816"/>
      <c r="M101" s="816"/>
      <c r="N101" s="816"/>
      <c r="O101" s="816"/>
      <c r="P101" s="816"/>
      <c r="Q101" s="816"/>
      <c r="R101" s="816"/>
      <c r="S101" s="816"/>
    </row>
    <row r="102" spans="1:19" ht="15" customHeight="1">
      <c r="A102" s="816"/>
      <c r="B102" s="841" t="s">
        <v>1129</v>
      </c>
      <c r="C102" s="816"/>
      <c r="D102" s="1006">
        <f>D100-(D100*D101)</f>
        <v>0</v>
      </c>
      <c r="E102" s="816"/>
      <c r="F102" s="816"/>
      <c r="G102" s="816"/>
      <c r="H102" s="816"/>
      <c r="I102" s="816"/>
      <c r="J102" s="816"/>
      <c r="K102" s="816"/>
      <c r="L102" s="816"/>
      <c r="M102" s="816"/>
      <c r="N102" s="816"/>
      <c r="O102" s="816"/>
      <c r="P102" s="816"/>
      <c r="Q102" s="816"/>
      <c r="R102" s="816"/>
      <c r="S102" s="816"/>
    </row>
    <row r="103" spans="1:19" ht="15" customHeight="1">
      <c r="A103" s="816"/>
      <c r="B103" s="841" t="s">
        <v>1824</v>
      </c>
      <c r="C103" s="816"/>
      <c r="D103" s="858"/>
      <c r="E103" s="816"/>
      <c r="F103" s="816"/>
      <c r="G103" s="816"/>
      <c r="H103" s="816"/>
      <c r="I103" s="816"/>
      <c r="J103" s="816"/>
      <c r="K103" s="816"/>
      <c r="L103" s="816"/>
      <c r="M103" s="816"/>
      <c r="N103" s="816"/>
      <c r="O103" s="816"/>
      <c r="P103" s="816"/>
      <c r="Q103" s="816"/>
      <c r="R103" s="816"/>
      <c r="S103" s="816"/>
    </row>
    <row r="104" spans="1:19" ht="15" customHeight="1">
      <c r="A104" s="816"/>
      <c r="B104" s="841" t="s">
        <v>1833</v>
      </c>
      <c r="C104" s="816"/>
      <c r="D104" s="1006">
        <f>D102/D108</f>
        <v>0</v>
      </c>
      <c r="E104" s="816"/>
      <c r="F104" s="816"/>
      <c r="G104" s="816"/>
      <c r="H104" s="816"/>
      <c r="I104" s="816"/>
      <c r="J104" s="816"/>
      <c r="K104" s="816"/>
      <c r="L104" s="816"/>
      <c r="M104" s="816"/>
      <c r="N104" s="816"/>
      <c r="O104" s="816"/>
      <c r="P104" s="816"/>
      <c r="Q104" s="816"/>
      <c r="R104" s="816"/>
      <c r="S104" s="816"/>
    </row>
    <row r="105" spans="1:19" ht="15" customHeight="1">
      <c r="A105" s="816"/>
      <c r="B105" s="816"/>
      <c r="C105" s="816"/>
      <c r="D105" s="816"/>
      <c r="E105" s="816"/>
      <c r="F105" s="816"/>
      <c r="G105" s="816"/>
      <c r="H105" s="816"/>
      <c r="I105" s="816"/>
      <c r="J105" s="816"/>
      <c r="K105" s="816"/>
      <c r="L105" s="816"/>
      <c r="M105" s="816"/>
      <c r="N105" s="816"/>
      <c r="O105" s="816"/>
      <c r="P105" s="816"/>
      <c r="Q105" s="816"/>
      <c r="R105" s="816"/>
      <c r="S105" s="816"/>
    </row>
    <row r="106" spans="1:19" ht="15" customHeight="1">
      <c r="A106" s="816"/>
      <c r="B106" s="841" t="s">
        <v>1825</v>
      </c>
      <c r="C106" s="816"/>
      <c r="D106" s="841">
        <v>15</v>
      </c>
      <c r="E106" s="816"/>
      <c r="F106" s="816"/>
      <c r="G106" s="816"/>
      <c r="H106" s="816"/>
      <c r="I106" s="816"/>
      <c r="J106" s="816"/>
      <c r="K106" s="816"/>
      <c r="L106" s="816"/>
      <c r="M106" s="816"/>
      <c r="N106" s="816"/>
      <c r="O106" s="816"/>
      <c r="P106" s="816"/>
      <c r="Q106" s="816"/>
      <c r="R106" s="816"/>
      <c r="S106" s="816"/>
    </row>
    <row r="107" spans="1:19" ht="15" customHeight="1">
      <c r="A107" s="816"/>
      <c r="B107" s="841" t="s">
        <v>1826</v>
      </c>
      <c r="C107" s="816"/>
      <c r="D107" s="1034">
        <v>0.04</v>
      </c>
      <c r="E107" s="816"/>
      <c r="F107" s="816"/>
      <c r="G107" s="816"/>
      <c r="H107" s="816"/>
      <c r="I107" s="816"/>
      <c r="J107" s="816"/>
      <c r="K107" s="816"/>
      <c r="L107" s="816"/>
      <c r="M107" s="816"/>
      <c r="N107" s="816"/>
      <c r="O107" s="816"/>
      <c r="P107" s="816"/>
      <c r="Q107" s="816"/>
      <c r="R107" s="816"/>
      <c r="S107" s="816"/>
    </row>
    <row r="108" spans="1:19" ht="15" customHeight="1">
      <c r="A108" s="816"/>
      <c r="B108" s="841" t="s">
        <v>1207</v>
      </c>
      <c r="C108" s="816"/>
      <c r="D108" s="859">
        <v>1.1499999999999999</v>
      </c>
      <c r="E108" s="816"/>
      <c r="F108" s="816"/>
      <c r="G108" s="816"/>
      <c r="H108" s="816"/>
      <c r="I108" s="816"/>
      <c r="J108" s="816"/>
      <c r="K108" s="816"/>
      <c r="L108" s="816"/>
      <c r="M108" s="816"/>
      <c r="N108" s="816"/>
      <c r="O108" s="816"/>
      <c r="P108" s="816"/>
      <c r="Q108" s="816"/>
      <c r="R108" s="816"/>
      <c r="S108" s="816"/>
    </row>
    <row r="109" spans="1:19" ht="15" customHeight="1">
      <c r="A109" s="816"/>
      <c r="B109" s="830"/>
      <c r="C109" s="830"/>
      <c r="D109" s="860"/>
      <c r="E109" s="860"/>
      <c r="F109" s="860"/>
      <c r="G109" s="816"/>
      <c r="H109" s="816"/>
      <c r="I109" s="816"/>
      <c r="J109" s="816"/>
      <c r="K109" s="816"/>
      <c r="L109" s="816"/>
      <c r="M109" s="816"/>
      <c r="N109" s="816"/>
      <c r="O109" s="816"/>
      <c r="P109" s="816"/>
      <c r="Q109" s="816"/>
      <c r="R109" s="816"/>
      <c r="S109" s="816"/>
    </row>
    <row r="110" spans="1:19" ht="15" customHeight="1">
      <c r="A110" s="816"/>
      <c r="B110" s="830" t="s">
        <v>1827</v>
      </c>
      <c r="C110" s="830"/>
      <c r="D110" s="1007">
        <f>PV(D107/12,D106*12,-D104/12, ,0)</f>
        <v>0</v>
      </c>
      <c r="E110" s="830"/>
      <c r="F110" s="830"/>
      <c r="G110" s="855"/>
      <c r="H110" s="816"/>
      <c r="I110" s="816"/>
      <c r="J110" s="816"/>
      <c r="K110" s="816"/>
      <c r="L110" s="816"/>
      <c r="M110" s="816"/>
      <c r="N110" s="816"/>
      <c r="O110" s="816"/>
      <c r="P110" s="816"/>
      <c r="Q110" s="816"/>
      <c r="R110" s="816"/>
      <c r="S110" s="816"/>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XFD219"/>
  <sheetViews>
    <sheetView view="pageBreakPreview" topLeftCell="E1" zoomScaleNormal="100" zoomScaleSheetLayoutView="100" workbookViewId="0">
      <selection activeCell="C9" sqref="C9"/>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16384" ht="17.399999999999999">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16384"/>
    <row r="3" spans="1:1638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16384" ht="13.8">
      <c r="A4" s="610" t="s">
        <v>1190</v>
      </c>
      <c r="B4" s="610"/>
      <c r="C4" s="633">
        <v>1.0249999999999999</v>
      </c>
      <c r="D4" s="610"/>
      <c r="E4" s="610">
        <f>Application!Y779</f>
        <v>708048</v>
      </c>
      <c r="F4" s="610"/>
      <c r="G4" s="610">
        <f>E4*$C$4</f>
        <v>725749.2</v>
      </c>
      <c r="H4" s="610"/>
      <c r="I4" s="610">
        <f>G4*$C$4</f>
        <v>743892.92999999993</v>
      </c>
      <c r="J4" s="610"/>
      <c r="K4" s="610">
        <f>I4*$C$4</f>
        <v>762490.25324999983</v>
      </c>
      <c r="L4" s="610"/>
      <c r="M4" s="610">
        <f>K4*$C$4</f>
        <v>781552.50958124979</v>
      </c>
      <c r="N4" s="610"/>
      <c r="O4" s="610">
        <f>M4*$C$4</f>
        <v>801091.32232078095</v>
      </c>
      <c r="P4" s="610"/>
      <c r="Q4" s="610">
        <f>O4*$C$4</f>
        <v>821118.60537880042</v>
      </c>
      <c r="R4" s="610"/>
      <c r="S4" s="610">
        <f>Q4*$C$4</f>
        <v>841646.57051327033</v>
      </c>
      <c r="T4" s="610"/>
      <c r="U4" s="610">
        <f>S4*$C$4</f>
        <v>862687.73477610201</v>
      </c>
      <c r="V4" s="610"/>
      <c r="W4" s="610">
        <f>U4*$C$4</f>
        <v>884254.92814550444</v>
      </c>
      <c r="X4" s="610"/>
      <c r="Y4" s="610">
        <f>W4*$C$4</f>
        <v>906361.30134914198</v>
      </c>
      <c r="Z4" s="610"/>
      <c r="AA4" s="610">
        <f>Y4*$C$4</f>
        <v>929020.3338828705</v>
      </c>
      <c r="AB4" s="610"/>
      <c r="AC4" s="610">
        <f>AA4*$C$4</f>
        <v>952245.84222994221</v>
      </c>
      <c r="AD4" s="610"/>
      <c r="AE4" s="610">
        <f>AC4*$C$4</f>
        <v>976051.98828569066</v>
      </c>
      <c r="AF4" s="610"/>
      <c r="AG4" s="610">
        <f>AE4*$C$4</f>
        <v>1000453.2879928328</v>
      </c>
      <c r="AH4" s="610"/>
    </row>
    <row r="5" spans="1:16384" ht="13.8">
      <c r="A5" s="600"/>
      <c r="B5" s="600" t="s">
        <v>1092</v>
      </c>
      <c r="C5" s="1543">
        <v>7.6000999999999999E-2</v>
      </c>
      <c r="D5" s="600"/>
      <c r="E5" s="612">
        <f>-E4*$C$5</f>
        <v>-53812.356048000001</v>
      </c>
      <c r="F5" s="612"/>
      <c r="G5" s="612">
        <f>-G4*$C$5</f>
        <v>-55157.664949199992</v>
      </c>
      <c r="H5" s="612"/>
      <c r="I5" s="612">
        <f>-I4*$C$5</f>
        <v>-56536.606572929995</v>
      </c>
      <c r="J5" s="612"/>
      <c r="K5" s="612">
        <f>-K4*$C$5</f>
        <v>-57950.021737253235</v>
      </c>
      <c r="L5" s="612"/>
      <c r="M5" s="612">
        <f>-M4*$C$5</f>
        <v>-59398.772280684563</v>
      </c>
      <c r="N5" s="612"/>
      <c r="O5" s="612">
        <f>-O4*$C$5</f>
        <v>-60883.741587701676</v>
      </c>
      <c r="P5" s="612"/>
      <c r="Q5" s="612">
        <f>-Q4*$C$5</f>
        <v>-62405.83512739421</v>
      </c>
      <c r="R5" s="612"/>
      <c r="S5" s="612">
        <f>-S4*$C$5</f>
        <v>-63965.981005579059</v>
      </c>
      <c r="T5" s="612"/>
      <c r="U5" s="612">
        <f>-U4*$C$5</f>
        <v>-65565.130530718525</v>
      </c>
      <c r="V5" s="612"/>
      <c r="W5" s="612">
        <f>-W4*$C$5</f>
        <v>-67204.258793986475</v>
      </c>
      <c r="X5" s="612"/>
      <c r="Y5" s="612">
        <f>-Y4*$C$5</f>
        <v>-68884.365263836138</v>
      </c>
      <c r="Z5" s="612"/>
      <c r="AA5" s="612">
        <f>-AA4*$C$5</f>
        <v>-70606.474395432044</v>
      </c>
      <c r="AB5" s="612"/>
      <c r="AC5" s="612">
        <f>-AC4*$C$5</f>
        <v>-72371.636255317833</v>
      </c>
      <c r="AD5" s="612"/>
      <c r="AE5" s="612">
        <f>-AE4*$C$5</f>
        <v>-74180.927161700776</v>
      </c>
      <c r="AF5" s="612"/>
      <c r="AG5" s="612">
        <f>-AG4*$C$5</f>
        <v>-76035.450340743293</v>
      </c>
      <c r="AH5" s="600"/>
    </row>
    <row r="6" spans="1:16384" ht="13.8">
      <c r="A6" s="600" t="s">
        <v>1191</v>
      </c>
      <c r="B6" s="600"/>
      <c r="C6" s="633">
        <v>1.0249999999999999</v>
      </c>
      <c r="D6" s="600"/>
      <c r="E6" s="613">
        <f>Application!Z787</f>
        <v>513048</v>
      </c>
      <c r="F6" s="613"/>
      <c r="G6" s="613">
        <f>E6*$C$6</f>
        <v>525874.19999999995</v>
      </c>
      <c r="H6" s="613"/>
      <c r="I6" s="613">
        <f>G6*$C$6</f>
        <v>539021.05499999993</v>
      </c>
      <c r="J6" s="613"/>
      <c r="K6" s="613">
        <f>I6*$C$6</f>
        <v>552496.58137499983</v>
      </c>
      <c r="L6" s="613"/>
      <c r="M6" s="613">
        <f>K6*$C$6</f>
        <v>566308.99590937479</v>
      </c>
      <c r="N6" s="613"/>
      <c r="O6" s="613">
        <f>M6*$C$6</f>
        <v>580466.72080710914</v>
      </c>
      <c r="P6" s="613"/>
      <c r="Q6" s="613">
        <f>O6*$C$6</f>
        <v>594978.38882728678</v>
      </c>
      <c r="R6" s="613"/>
      <c r="S6" s="613">
        <f>Q6*$C$6</f>
        <v>609852.8485479689</v>
      </c>
      <c r="T6" s="613"/>
      <c r="U6" s="613">
        <f>S6*$C$6</f>
        <v>625099.16976166808</v>
      </c>
      <c r="V6" s="613"/>
      <c r="W6" s="613">
        <f>U6*$C$6</f>
        <v>640726.64900570968</v>
      </c>
      <c r="X6" s="613"/>
      <c r="Y6" s="613">
        <f>W6*$C$6</f>
        <v>656744.81523085234</v>
      </c>
      <c r="Z6" s="613"/>
      <c r="AA6" s="613">
        <f>Y6*$C$6</f>
        <v>673163.43561162357</v>
      </c>
      <c r="AB6" s="613"/>
      <c r="AC6" s="613">
        <f>AA6*$C$6</f>
        <v>689992.52150191413</v>
      </c>
      <c r="AD6" s="613"/>
      <c r="AE6" s="613">
        <f>AC6*$C$6</f>
        <v>707242.33453946188</v>
      </c>
      <c r="AF6" s="613"/>
      <c r="AG6" s="613">
        <f>AE6*$C$6</f>
        <v>724923.39290294831</v>
      </c>
      <c r="AH6" s="600"/>
    </row>
    <row r="7" spans="1:16384" ht="13.8">
      <c r="A7" s="600"/>
      <c r="B7" s="600" t="s">
        <v>1092</v>
      </c>
      <c r="C7" s="1551">
        <v>9.2037999999999995E-2</v>
      </c>
      <c r="D7" s="600"/>
      <c r="E7" s="612">
        <f>-E6*$C$7</f>
        <v>-47219.911823999995</v>
      </c>
      <c r="F7" s="612"/>
      <c r="G7" s="612">
        <f>-G6*$C$7</f>
        <v>-48400.409619599995</v>
      </c>
      <c r="H7" s="612"/>
      <c r="I7" s="612">
        <f>-I6*$C$7</f>
        <v>-49610.419860089991</v>
      </c>
      <c r="J7" s="612"/>
      <c r="K7" s="612">
        <f>-K6*$C$7</f>
        <v>-50850.680356592231</v>
      </c>
      <c r="L7" s="612"/>
      <c r="M7" s="612">
        <f>-M6*$C$7</f>
        <v>-52121.947365507032</v>
      </c>
      <c r="N7" s="612"/>
      <c r="O7" s="612">
        <f>-O6*$C$7</f>
        <v>-53424.996049644709</v>
      </c>
      <c r="P7" s="612"/>
      <c r="Q7" s="612">
        <f>-Q6*$C$7</f>
        <v>-54760.620950885816</v>
      </c>
      <c r="R7" s="612"/>
      <c r="S7" s="612">
        <f>-S6*$C$7</f>
        <v>-56129.636474657957</v>
      </c>
      <c r="T7" s="612"/>
      <c r="U7" s="612">
        <f>-U6*$C$7</f>
        <v>-57532.8773865244</v>
      </c>
      <c r="V7" s="612"/>
      <c r="W7" s="612">
        <f>-W6*$C$7</f>
        <v>-58971.199321187501</v>
      </c>
      <c r="X7" s="612"/>
      <c r="Y7" s="612">
        <f>-Y6*$C$7</f>
        <v>-60445.479304217188</v>
      </c>
      <c r="Z7" s="612"/>
      <c r="AA7" s="612">
        <f>-AA6*$C$7</f>
        <v>-61956.616286822609</v>
      </c>
      <c r="AB7" s="612"/>
      <c r="AC7" s="612">
        <f>-AC6*$C$7</f>
        <v>-63505.531693993173</v>
      </c>
      <c r="AD7" s="612"/>
      <c r="AE7" s="612">
        <f>-AE6*$C$7</f>
        <v>-65093.169986342989</v>
      </c>
      <c r="AF7" s="612"/>
      <c r="AG7" s="612">
        <f>-AG6*$C$7</f>
        <v>-66720.499236001546</v>
      </c>
      <c r="AH7" s="600"/>
    </row>
    <row r="8" spans="1:16384" ht="13.8">
      <c r="A8" s="600" t="s">
        <v>289</v>
      </c>
      <c r="B8" s="600"/>
      <c r="C8" s="633">
        <v>1.0249999999999999</v>
      </c>
      <c r="D8" s="600"/>
      <c r="E8" s="613">
        <f>Application!Z795</f>
        <v>14750</v>
      </c>
      <c r="F8" s="613"/>
      <c r="G8" s="613">
        <f>E8*$C$8</f>
        <v>15118.749999999998</v>
      </c>
      <c r="H8" s="613"/>
      <c r="I8" s="613">
        <f>G8*$C$8</f>
        <v>15496.718749999996</v>
      </c>
      <c r="J8" s="613"/>
      <c r="K8" s="613">
        <f>I8*$C$8</f>
        <v>15884.136718749995</v>
      </c>
      <c r="L8" s="613"/>
      <c r="M8" s="613">
        <f>K8*$C$8</f>
        <v>16281.240136718743</v>
      </c>
      <c r="N8" s="613"/>
      <c r="O8" s="613">
        <f>M8*$C$8</f>
        <v>16688.271140136709</v>
      </c>
      <c r="P8" s="613"/>
      <c r="Q8" s="613">
        <f>O8*$C$8</f>
        <v>17105.477918640125</v>
      </c>
      <c r="R8" s="613"/>
      <c r="S8" s="613">
        <f>Q8*$C$8</f>
        <v>17533.114866606127</v>
      </c>
      <c r="T8" s="613"/>
      <c r="U8" s="613">
        <f>S8*$C$8</f>
        <v>17971.442738271278</v>
      </c>
      <c r="V8" s="613"/>
      <c r="W8" s="613">
        <f>U8*$C$8</f>
        <v>18420.728806728057</v>
      </c>
      <c r="X8" s="613"/>
      <c r="Y8" s="613">
        <f>W8*$C$8</f>
        <v>18881.247026896257</v>
      </c>
      <c r="Z8" s="613"/>
      <c r="AA8" s="613">
        <f>Y8*$C$8</f>
        <v>19353.278202568661</v>
      </c>
      <c r="AB8" s="613"/>
      <c r="AC8" s="613">
        <f>AA8*$C$8</f>
        <v>19837.110157632877</v>
      </c>
      <c r="AD8" s="613"/>
      <c r="AE8" s="613">
        <f>AC8*$C$8</f>
        <v>20333.037911573698</v>
      </c>
      <c r="AF8" s="613"/>
      <c r="AG8" s="613">
        <f>AE8*$C$8</f>
        <v>20841.363859363039</v>
      </c>
      <c r="AH8" s="600"/>
    </row>
    <row r="9" spans="1:16384" ht="13.8">
      <c r="A9" s="600"/>
      <c r="B9" s="600" t="s">
        <v>1092</v>
      </c>
      <c r="C9" s="1543">
        <f>C5</f>
        <v>7.6000999999999999E-2</v>
      </c>
      <c r="D9" s="600"/>
      <c r="E9" s="1545">
        <f>-E8*$C$9</f>
        <v>-1121.01475</v>
      </c>
      <c r="F9" s="1545"/>
      <c r="G9" s="1545">
        <f>-G8*$C$9</f>
        <v>-1149.0401187499999</v>
      </c>
      <c r="H9" s="1545"/>
      <c r="I9" s="1545">
        <f>-I8*$C$9</f>
        <v>-1177.7661217187497</v>
      </c>
      <c r="J9" s="1545"/>
      <c r="K9" s="1545">
        <f>-K8*$C$9</f>
        <v>-1207.2102747617182</v>
      </c>
      <c r="L9" s="1545"/>
      <c r="M9" s="1545">
        <f>-M8*$C$9</f>
        <v>-1237.3905316307612</v>
      </c>
      <c r="N9" s="1545"/>
      <c r="O9" s="1545">
        <f>-O8*$C$9</f>
        <v>-1268.32529492153</v>
      </c>
      <c r="P9" s="1545"/>
      <c r="Q9" s="1545">
        <f>-Q8*$C$9</f>
        <v>-1300.0334272945681</v>
      </c>
      <c r="R9" s="1545"/>
      <c r="S9" s="1545">
        <f>-S8*$C$9</f>
        <v>-1332.5342629769323</v>
      </c>
      <c r="T9" s="1545"/>
      <c r="U9" s="1545">
        <f>-U8*$C$9</f>
        <v>-1365.8476195513554</v>
      </c>
      <c r="V9" s="1545"/>
      <c r="W9" s="1545">
        <f>-W8*$C$9</f>
        <v>-1399.9938100401391</v>
      </c>
      <c r="X9" s="1545"/>
      <c r="Y9" s="1545">
        <f>-Y8*$C$9</f>
        <v>-1434.9936552911424</v>
      </c>
      <c r="Z9" s="1545"/>
      <c r="AA9" s="1545">
        <f>-AA8*$C$9</f>
        <v>-1470.8684966734209</v>
      </c>
      <c r="AB9" s="1545"/>
      <c r="AC9" s="1545">
        <f>-AC8*$C$9</f>
        <v>-1507.6402090902561</v>
      </c>
      <c r="AD9" s="1545"/>
      <c r="AE9" s="1545">
        <f>-AE8*$C$9</f>
        <v>-1545.3312143175126</v>
      </c>
      <c r="AF9" s="1545"/>
      <c r="AG9" s="1545">
        <f>-AG8*$C$9</f>
        <v>-1583.9644946754502</v>
      </c>
      <c r="AH9" s="600"/>
    </row>
    <row r="10" spans="1:16384" s="1382" customFormat="1" ht="13.8">
      <c r="A10" s="1544" t="s">
        <v>2502</v>
      </c>
      <c r="B10" s="1544"/>
      <c r="C10" s="1546"/>
      <c r="D10" s="600"/>
      <c r="E10" s="1547">
        <v>0</v>
      </c>
      <c r="F10" s="1548"/>
      <c r="G10" s="1547">
        <v>0</v>
      </c>
      <c r="H10" s="1548"/>
      <c r="I10" s="1547">
        <v>0</v>
      </c>
      <c r="J10" s="1548"/>
      <c r="K10" s="1547">
        <v>0</v>
      </c>
      <c r="L10" s="1548"/>
      <c r="M10" s="1547">
        <v>0</v>
      </c>
      <c r="N10" s="1548"/>
      <c r="O10" s="1547">
        <v>0</v>
      </c>
      <c r="P10" s="1548"/>
      <c r="Q10" s="1547">
        <v>0</v>
      </c>
      <c r="R10" s="1548"/>
      <c r="S10" s="1547">
        <v>10000</v>
      </c>
      <c r="T10" s="1548"/>
      <c r="U10" s="1547">
        <v>20000</v>
      </c>
      <c r="V10" s="1548"/>
      <c r="W10" s="1547">
        <v>30000</v>
      </c>
      <c r="X10" s="1548"/>
      <c r="Y10" s="1547">
        <v>40000</v>
      </c>
      <c r="Z10" s="1548"/>
      <c r="AA10" s="1547">
        <v>55000</v>
      </c>
      <c r="AB10" s="1548"/>
      <c r="AC10" s="1547">
        <v>65000</v>
      </c>
      <c r="AD10" s="1548"/>
      <c r="AE10" s="1547">
        <v>80000</v>
      </c>
      <c r="AF10" s="1548"/>
      <c r="AG10" s="1547">
        <v>95000</v>
      </c>
      <c r="AH10" s="1548"/>
      <c r="AI10" s="1547">
        <f t="shared" ref="AI10" si="0">AG10</f>
        <v>95000</v>
      </c>
      <c r="AJ10" s="1548"/>
      <c r="AK10" s="1547">
        <f t="shared" ref="AK10" si="1">AI10</f>
        <v>95000</v>
      </c>
      <c r="AL10" s="1548"/>
      <c r="AM10" s="1547">
        <f t="shared" ref="AM10" si="2">AK10</f>
        <v>95000</v>
      </c>
      <c r="AN10" s="1548"/>
      <c r="AO10" s="1547">
        <f t="shared" ref="AO10" si="3">AM10</f>
        <v>95000</v>
      </c>
      <c r="AP10" s="1548"/>
      <c r="AQ10" s="1547">
        <f t="shared" ref="AQ10" si="4">AO10</f>
        <v>95000</v>
      </c>
      <c r="AR10" s="1548"/>
      <c r="AS10" s="1547">
        <f t="shared" ref="AS10" si="5">AQ10</f>
        <v>95000</v>
      </c>
      <c r="AT10" s="1548"/>
      <c r="AU10" s="1547">
        <f t="shared" ref="AU10" si="6">AS10</f>
        <v>95000</v>
      </c>
      <c r="AV10" s="1548"/>
      <c r="AW10" s="1547">
        <f t="shared" ref="AW10" si="7">AU10</f>
        <v>95000</v>
      </c>
      <c r="AX10" s="1548"/>
      <c r="AY10" s="1547">
        <f t="shared" ref="AY10" si="8">AW10</f>
        <v>95000</v>
      </c>
      <c r="AZ10" s="1548"/>
      <c r="BA10" s="1547">
        <f t="shared" ref="BA10" si="9">AY10</f>
        <v>95000</v>
      </c>
      <c r="BB10" s="1548"/>
      <c r="BC10" s="1547">
        <f t="shared" ref="BC10" si="10">BA10</f>
        <v>95000</v>
      </c>
      <c r="BD10" s="1548"/>
      <c r="BE10" s="1547">
        <f t="shared" ref="BE10" si="11">BC10</f>
        <v>95000</v>
      </c>
      <c r="BF10" s="1548"/>
      <c r="BG10" s="1547">
        <f t="shared" ref="BG10" si="12">BE10</f>
        <v>95000</v>
      </c>
      <c r="BH10" s="1548"/>
      <c r="BI10" s="1547">
        <f t="shared" ref="BI10" si="13">BG10</f>
        <v>95000</v>
      </c>
      <c r="BJ10" s="1548"/>
      <c r="BK10" s="1547">
        <f t="shared" ref="BK10" si="14">BI10</f>
        <v>95000</v>
      </c>
      <c r="BL10" s="1548"/>
      <c r="BM10" s="1547">
        <f t="shared" ref="BM10" si="15">BK10</f>
        <v>95000</v>
      </c>
      <c r="BN10" s="1548"/>
      <c r="BO10" s="1547">
        <f t="shared" ref="BO10" si="16">BM10</f>
        <v>95000</v>
      </c>
      <c r="BP10" s="1548"/>
      <c r="BQ10" s="1547">
        <f t="shared" ref="BQ10" si="17">BO10</f>
        <v>95000</v>
      </c>
      <c r="BR10" s="1548"/>
      <c r="BS10" s="1547">
        <f t="shared" ref="BS10" si="18">BQ10</f>
        <v>95000</v>
      </c>
      <c r="BT10" s="1548"/>
      <c r="BU10" s="1547">
        <f t="shared" ref="BU10" si="19">BS10</f>
        <v>95000</v>
      </c>
      <c r="BV10" s="1548"/>
      <c r="BW10" s="1547">
        <f t="shared" ref="BW10" si="20">BU10</f>
        <v>95000</v>
      </c>
      <c r="BX10" s="1548"/>
      <c r="BY10" s="1547">
        <f t="shared" ref="BY10" si="21">BW10</f>
        <v>95000</v>
      </c>
      <c r="BZ10" s="1548"/>
      <c r="CA10" s="1547">
        <f t="shared" ref="CA10" si="22">BY10</f>
        <v>95000</v>
      </c>
      <c r="CB10" s="1548"/>
      <c r="CC10" s="1547">
        <f t="shared" ref="CC10" si="23">CA10</f>
        <v>95000</v>
      </c>
      <c r="CD10" s="1548"/>
      <c r="CE10" s="1547">
        <f t="shared" ref="CE10" si="24">CC10</f>
        <v>95000</v>
      </c>
      <c r="CF10" s="1548"/>
      <c r="CG10" s="1547">
        <f t="shared" ref="CG10" si="25">CE10</f>
        <v>95000</v>
      </c>
      <c r="CH10" s="1548"/>
      <c r="CI10" s="1547">
        <f t="shared" ref="CI10" si="26">CG10</f>
        <v>95000</v>
      </c>
      <c r="CJ10" s="1548"/>
      <c r="CK10" s="1547">
        <f t="shared" ref="CK10" si="27">CI10</f>
        <v>95000</v>
      </c>
      <c r="CL10" s="1548"/>
      <c r="CM10" s="1547">
        <f t="shared" ref="CM10" si="28">CK10</f>
        <v>95000</v>
      </c>
      <c r="CN10" s="1548"/>
      <c r="CO10" s="1547">
        <f t="shared" ref="CO10" si="29">CM10</f>
        <v>95000</v>
      </c>
      <c r="CP10" s="1548"/>
      <c r="CQ10" s="1547">
        <f t="shared" ref="CQ10" si="30">CO10</f>
        <v>95000</v>
      </c>
      <c r="CR10" s="1548"/>
      <c r="CS10" s="1547">
        <f t="shared" ref="CS10" si="31">CQ10</f>
        <v>95000</v>
      </c>
      <c r="CT10" s="1548"/>
      <c r="CU10" s="1547">
        <f t="shared" ref="CU10" si="32">CS10</f>
        <v>95000</v>
      </c>
      <c r="CV10" s="1548"/>
      <c r="CW10" s="1547">
        <f t="shared" ref="CW10" si="33">CU10</f>
        <v>95000</v>
      </c>
      <c r="CX10" s="1548"/>
      <c r="CY10" s="1547">
        <f t="shared" ref="CY10" si="34">CW10</f>
        <v>95000</v>
      </c>
      <c r="CZ10" s="1548"/>
      <c r="DA10" s="1547">
        <f t="shared" ref="DA10" si="35">CY10</f>
        <v>95000</v>
      </c>
      <c r="DB10" s="1548"/>
      <c r="DC10" s="1547">
        <f t="shared" ref="DC10" si="36">DA10</f>
        <v>95000</v>
      </c>
      <c r="DD10" s="1548"/>
      <c r="DE10" s="1547">
        <f t="shared" ref="DE10" si="37">DC10</f>
        <v>95000</v>
      </c>
      <c r="DF10" s="1548"/>
      <c r="DG10" s="1547">
        <f t="shared" ref="DG10" si="38">DE10</f>
        <v>95000</v>
      </c>
      <c r="DH10" s="1548"/>
      <c r="DI10" s="1547">
        <f t="shared" ref="DI10" si="39">DG10</f>
        <v>95000</v>
      </c>
      <c r="DJ10" s="1548"/>
      <c r="DK10" s="1547">
        <f t="shared" ref="DK10" si="40">DI10</f>
        <v>95000</v>
      </c>
      <c r="DL10" s="1548"/>
      <c r="DM10" s="1547">
        <f t="shared" ref="DM10" si="41">DK10</f>
        <v>95000</v>
      </c>
      <c r="DN10" s="1548"/>
      <c r="DO10" s="1547">
        <f t="shared" ref="DO10" si="42">DM10</f>
        <v>95000</v>
      </c>
      <c r="DP10" s="1548"/>
      <c r="DQ10" s="1547">
        <f t="shared" ref="DQ10" si="43">DO10</f>
        <v>95000</v>
      </c>
      <c r="DR10" s="1548"/>
      <c r="DS10" s="1547">
        <f t="shared" ref="DS10" si="44">DQ10</f>
        <v>95000</v>
      </c>
      <c r="DT10" s="1548"/>
      <c r="DU10" s="1547">
        <f t="shared" ref="DU10" si="45">DS10</f>
        <v>95000</v>
      </c>
      <c r="DV10" s="1548"/>
      <c r="DW10" s="1547">
        <f t="shared" ref="DW10" si="46">DU10</f>
        <v>95000</v>
      </c>
      <c r="DX10" s="1548"/>
      <c r="DY10" s="1547">
        <f t="shared" ref="DY10" si="47">DW10</f>
        <v>95000</v>
      </c>
      <c r="DZ10" s="1548"/>
      <c r="EA10" s="1547">
        <f t="shared" ref="EA10" si="48">DY10</f>
        <v>95000</v>
      </c>
      <c r="EB10" s="1548"/>
      <c r="EC10" s="1547">
        <f t="shared" ref="EC10" si="49">EA10</f>
        <v>95000</v>
      </c>
      <c r="ED10" s="1548"/>
      <c r="EE10" s="1547">
        <f t="shared" ref="EE10" si="50">EC10</f>
        <v>95000</v>
      </c>
      <c r="EF10" s="1548"/>
      <c r="EG10" s="1547">
        <f t="shared" ref="EG10" si="51">EE10</f>
        <v>95000</v>
      </c>
      <c r="EH10" s="1548"/>
      <c r="EI10" s="1547">
        <f t="shared" ref="EI10" si="52">EG10</f>
        <v>95000</v>
      </c>
      <c r="EJ10" s="1548"/>
      <c r="EK10" s="1547">
        <f t="shared" ref="EK10" si="53">EI10</f>
        <v>95000</v>
      </c>
      <c r="EL10" s="1548"/>
      <c r="EM10" s="1547">
        <f t="shared" ref="EM10" si="54">EK10</f>
        <v>95000</v>
      </c>
      <c r="EN10" s="1548"/>
      <c r="EO10" s="1547">
        <f t="shared" ref="EO10" si="55">EM10</f>
        <v>95000</v>
      </c>
      <c r="EP10" s="1548"/>
      <c r="EQ10" s="1547">
        <f t="shared" ref="EQ10" si="56">EO10</f>
        <v>95000</v>
      </c>
      <c r="ER10" s="1548"/>
      <c r="ES10" s="1547">
        <f t="shared" ref="ES10" si="57">EQ10</f>
        <v>95000</v>
      </c>
      <c r="ET10" s="1548"/>
      <c r="EU10" s="1547">
        <f t="shared" ref="EU10" si="58">ES10</f>
        <v>95000</v>
      </c>
      <c r="EV10" s="1548"/>
      <c r="EW10" s="1547">
        <f t="shared" ref="EW10" si="59">EU10</f>
        <v>95000</v>
      </c>
      <c r="EX10" s="1548"/>
      <c r="EY10" s="1547">
        <f t="shared" ref="EY10" si="60">EW10</f>
        <v>95000</v>
      </c>
      <c r="EZ10" s="1548"/>
      <c r="FA10" s="1547">
        <f t="shared" ref="FA10" si="61">EY10</f>
        <v>95000</v>
      </c>
      <c r="FB10" s="1548"/>
      <c r="FC10" s="1547">
        <f t="shared" ref="FC10" si="62">FA10</f>
        <v>95000</v>
      </c>
      <c r="FD10" s="1548"/>
      <c r="FE10" s="1547">
        <f t="shared" ref="FE10" si="63">FC10</f>
        <v>95000</v>
      </c>
      <c r="FF10" s="1548"/>
      <c r="FG10" s="1547">
        <f t="shared" ref="FG10" si="64">FE10</f>
        <v>95000</v>
      </c>
      <c r="FH10" s="1548"/>
      <c r="FI10" s="1547">
        <f t="shared" ref="FI10" si="65">FG10</f>
        <v>95000</v>
      </c>
      <c r="FJ10" s="1548"/>
      <c r="FK10" s="1547">
        <f t="shared" ref="FK10" si="66">FI10</f>
        <v>95000</v>
      </c>
      <c r="FL10" s="1548"/>
      <c r="FM10" s="1547">
        <f t="shared" ref="FM10" si="67">FK10</f>
        <v>95000</v>
      </c>
      <c r="FN10" s="1548"/>
      <c r="FO10" s="1547">
        <f t="shared" ref="FO10" si="68">FM10</f>
        <v>95000</v>
      </c>
      <c r="FP10" s="1548"/>
      <c r="FQ10" s="1547">
        <f t="shared" ref="FQ10" si="69">FO10</f>
        <v>95000</v>
      </c>
      <c r="FR10" s="1548"/>
      <c r="FS10" s="1547">
        <f t="shared" ref="FS10" si="70">FQ10</f>
        <v>95000</v>
      </c>
      <c r="FT10" s="1548"/>
      <c r="FU10" s="1547">
        <f t="shared" ref="FU10" si="71">FS10</f>
        <v>95000</v>
      </c>
      <c r="FV10" s="1548"/>
      <c r="FW10" s="1547">
        <f t="shared" ref="FW10" si="72">FU10</f>
        <v>95000</v>
      </c>
      <c r="FX10" s="1548"/>
      <c r="FY10" s="1547">
        <f t="shared" ref="FY10" si="73">FW10</f>
        <v>95000</v>
      </c>
      <c r="FZ10" s="1548"/>
      <c r="GA10" s="1547">
        <f t="shared" ref="GA10" si="74">FY10</f>
        <v>95000</v>
      </c>
      <c r="GB10" s="1548"/>
      <c r="GC10" s="1547">
        <f t="shared" ref="GC10" si="75">GA10</f>
        <v>95000</v>
      </c>
      <c r="GD10" s="1548"/>
      <c r="GE10" s="1547">
        <f t="shared" ref="GE10" si="76">GC10</f>
        <v>95000</v>
      </c>
      <c r="GF10" s="1548"/>
      <c r="GG10" s="1547">
        <f t="shared" ref="GG10" si="77">GE10</f>
        <v>95000</v>
      </c>
      <c r="GH10" s="1548"/>
      <c r="GI10" s="1547">
        <f t="shared" ref="GI10" si="78">GG10</f>
        <v>95000</v>
      </c>
      <c r="GJ10" s="1548"/>
      <c r="GK10" s="1547">
        <f t="shared" ref="GK10" si="79">GI10</f>
        <v>95000</v>
      </c>
      <c r="GL10" s="1548"/>
      <c r="GM10" s="1547">
        <f t="shared" ref="GM10" si="80">GK10</f>
        <v>95000</v>
      </c>
      <c r="GN10" s="1548"/>
      <c r="GO10" s="1547">
        <f t="shared" ref="GO10" si="81">GM10</f>
        <v>95000</v>
      </c>
      <c r="GP10" s="1548"/>
      <c r="GQ10" s="1547">
        <f t="shared" ref="GQ10" si="82">GO10</f>
        <v>95000</v>
      </c>
      <c r="GR10" s="1548"/>
      <c r="GS10" s="1547">
        <f t="shared" ref="GS10" si="83">GQ10</f>
        <v>95000</v>
      </c>
      <c r="GT10" s="1548"/>
      <c r="GU10" s="1547">
        <f t="shared" ref="GU10" si="84">GS10</f>
        <v>95000</v>
      </c>
      <c r="GV10" s="1548"/>
      <c r="GW10" s="1547">
        <f t="shared" ref="GW10" si="85">GU10</f>
        <v>95000</v>
      </c>
      <c r="GX10" s="1548"/>
      <c r="GY10" s="1547">
        <f t="shared" ref="GY10" si="86">GW10</f>
        <v>95000</v>
      </c>
      <c r="GZ10" s="1548"/>
      <c r="HA10" s="1547">
        <f t="shared" ref="HA10" si="87">GY10</f>
        <v>95000</v>
      </c>
      <c r="HB10" s="1548"/>
      <c r="HC10" s="1547">
        <f t="shared" ref="HC10" si="88">HA10</f>
        <v>95000</v>
      </c>
      <c r="HD10" s="1548"/>
      <c r="HE10" s="1547">
        <f t="shared" ref="HE10" si="89">HC10</f>
        <v>95000</v>
      </c>
      <c r="HF10" s="1548"/>
      <c r="HG10" s="1547">
        <f t="shared" ref="HG10" si="90">HE10</f>
        <v>95000</v>
      </c>
      <c r="HH10" s="1548"/>
      <c r="HI10" s="1547">
        <f t="shared" ref="HI10" si="91">HG10</f>
        <v>95000</v>
      </c>
      <c r="HJ10" s="1548"/>
      <c r="HK10" s="1547">
        <f t="shared" ref="HK10" si="92">HI10</f>
        <v>95000</v>
      </c>
      <c r="HL10" s="1548"/>
      <c r="HM10" s="1547">
        <f t="shared" ref="HM10" si="93">HK10</f>
        <v>95000</v>
      </c>
      <c r="HN10" s="1548"/>
      <c r="HO10" s="1547">
        <f t="shared" ref="HO10" si="94">HM10</f>
        <v>95000</v>
      </c>
      <c r="HP10" s="1548"/>
      <c r="HQ10" s="1547">
        <f t="shared" ref="HQ10" si="95">HO10</f>
        <v>95000</v>
      </c>
      <c r="HR10" s="1548"/>
      <c r="HS10" s="1547">
        <f t="shared" ref="HS10" si="96">HQ10</f>
        <v>95000</v>
      </c>
      <c r="HT10" s="1548"/>
      <c r="HU10" s="1547">
        <f t="shared" ref="HU10" si="97">HS10</f>
        <v>95000</v>
      </c>
      <c r="HV10" s="1548"/>
      <c r="HW10" s="1547">
        <f t="shared" ref="HW10" si="98">HU10</f>
        <v>95000</v>
      </c>
      <c r="HX10" s="1548"/>
      <c r="HY10" s="1547">
        <f t="shared" ref="HY10" si="99">HW10</f>
        <v>95000</v>
      </c>
      <c r="HZ10" s="1548"/>
      <c r="IA10" s="1547">
        <f t="shared" ref="IA10" si="100">HY10</f>
        <v>95000</v>
      </c>
      <c r="IB10" s="1548"/>
      <c r="IC10" s="1547">
        <f t="shared" ref="IC10" si="101">IA10</f>
        <v>95000</v>
      </c>
      <c r="ID10" s="1548"/>
      <c r="IE10" s="1547">
        <f t="shared" ref="IE10" si="102">IC10</f>
        <v>95000</v>
      </c>
      <c r="IF10" s="1548"/>
      <c r="IG10" s="1547">
        <f t="shared" ref="IG10" si="103">IE10</f>
        <v>95000</v>
      </c>
      <c r="IH10" s="1548"/>
      <c r="II10" s="1547">
        <f t="shared" ref="II10" si="104">IG10</f>
        <v>95000</v>
      </c>
      <c r="IJ10" s="1548"/>
      <c r="IK10" s="1547">
        <f t="shared" ref="IK10" si="105">II10</f>
        <v>95000</v>
      </c>
      <c r="IL10" s="1548"/>
      <c r="IM10" s="1547">
        <f t="shared" ref="IM10" si="106">IK10</f>
        <v>95000</v>
      </c>
      <c r="IN10" s="1548"/>
      <c r="IO10" s="1547">
        <f t="shared" ref="IO10" si="107">IM10</f>
        <v>95000</v>
      </c>
      <c r="IP10" s="1548"/>
      <c r="IQ10" s="1547">
        <f t="shared" ref="IQ10" si="108">IO10</f>
        <v>95000</v>
      </c>
      <c r="IR10" s="1548"/>
      <c r="IS10" s="1547">
        <f t="shared" ref="IS10" si="109">IQ10</f>
        <v>95000</v>
      </c>
      <c r="IT10" s="1548"/>
      <c r="IU10" s="1547">
        <f t="shared" ref="IU10" si="110">IS10</f>
        <v>95000</v>
      </c>
      <c r="IV10" s="1548"/>
      <c r="IW10" s="1547">
        <f t="shared" ref="IW10" si="111">IU10</f>
        <v>95000</v>
      </c>
      <c r="IX10" s="1548"/>
      <c r="IY10" s="1547">
        <f t="shared" ref="IY10" si="112">IW10</f>
        <v>95000</v>
      </c>
      <c r="IZ10" s="1548"/>
      <c r="JA10" s="1547">
        <f t="shared" ref="JA10" si="113">IY10</f>
        <v>95000</v>
      </c>
      <c r="JB10" s="1548"/>
      <c r="JC10" s="1547">
        <f t="shared" ref="JC10" si="114">JA10</f>
        <v>95000</v>
      </c>
      <c r="JD10" s="1548"/>
      <c r="JE10" s="1547">
        <f t="shared" ref="JE10" si="115">JC10</f>
        <v>95000</v>
      </c>
      <c r="JF10" s="1548"/>
      <c r="JG10" s="1547">
        <f t="shared" ref="JG10" si="116">JE10</f>
        <v>95000</v>
      </c>
      <c r="JH10" s="1548"/>
      <c r="JI10" s="1547">
        <f t="shared" ref="JI10" si="117">JG10</f>
        <v>95000</v>
      </c>
      <c r="JJ10" s="1548"/>
      <c r="JK10" s="1547">
        <f t="shared" ref="JK10" si="118">JI10</f>
        <v>95000</v>
      </c>
      <c r="JL10" s="1548"/>
      <c r="JM10" s="1547">
        <f t="shared" ref="JM10" si="119">JK10</f>
        <v>95000</v>
      </c>
      <c r="JN10" s="1548"/>
      <c r="JO10" s="1547">
        <f t="shared" ref="JO10" si="120">JM10</f>
        <v>95000</v>
      </c>
      <c r="JP10" s="1548"/>
      <c r="JQ10" s="1547">
        <f t="shared" ref="JQ10" si="121">JO10</f>
        <v>95000</v>
      </c>
      <c r="JR10" s="1548"/>
      <c r="JS10" s="1547">
        <f t="shared" ref="JS10" si="122">JQ10</f>
        <v>95000</v>
      </c>
      <c r="JT10" s="1548"/>
      <c r="JU10" s="1547">
        <f t="shared" ref="JU10" si="123">JS10</f>
        <v>95000</v>
      </c>
      <c r="JV10" s="1548"/>
      <c r="JW10" s="1547">
        <f t="shared" ref="JW10" si="124">JU10</f>
        <v>95000</v>
      </c>
      <c r="JX10" s="1548"/>
      <c r="JY10" s="1547">
        <f t="shared" ref="JY10" si="125">JW10</f>
        <v>95000</v>
      </c>
      <c r="JZ10" s="1548"/>
      <c r="KA10" s="1547">
        <f t="shared" ref="KA10" si="126">JY10</f>
        <v>95000</v>
      </c>
      <c r="KB10" s="1548"/>
      <c r="KC10" s="1547">
        <f t="shared" ref="KC10" si="127">KA10</f>
        <v>95000</v>
      </c>
      <c r="KD10" s="1548"/>
      <c r="KE10" s="1547">
        <f t="shared" ref="KE10" si="128">KC10</f>
        <v>95000</v>
      </c>
      <c r="KF10" s="1548"/>
      <c r="KG10" s="1547">
        <f t="shared" ref="KG10" si="129">KE10</f>
        <v>95000</v>
      </c>
      <c r="KH10" s="1548"/>
      <c r="KI10" s="1547">
        <f t="shared" ref="KI10" si="130">KG10</f>
        <v>95000</v>
      </c>
      <c r="KJ10" s="1548"/>
      <c r="KK10" s="1547">
        <f t="shared" ref="KK10" si="131">KI10</f>
        <v>95000</v>
      </c>
      <c r="KL10" s="1548"/>
      <c r="KM10" s="1547">
        <f t="shared" ref="KM10" si="132">KK10</f>
        <v>95000</v>
      </c>
      <c r="KN10" s="1548"/>
      <c r="KO10" s="1547">
        <f t="shared" ref="KO10" si="133">KM10</f>
        <v>95000</v>
      </c>
      <c r="KP10" s="1548"/>
      <c r="KQ10" s="1547">
        <f t="shared" ref="KQ10" si="134">KO10</f>
        <v>95000</v>
      </c>
      <c r="KR10" s="1548"/>
      <c r="KS10" s="1547">
        <f t="shared" ref="KS10" si="135">KQ10</f>
        <v>95000</v>
      </c>
      <c r="KT10" s="1548"/>
      <c r="KU10" s="1547">
        <f t="shared" ref="KU10" si="136">KS10</f>
        <v>95000</v>
      </c>
      <c r="KV10" s="1548"/>
      <c r="KW10" s="1547">
        <f t="shared" ref="KW10" si="137">KU10</f>
        <v>95000</v>
      </c>
      <c r="KX10" s="1548"/>
      <c r="KY10" s="1547">
        <f t="shared" ref="KY10" si="138">KW10</f>
        <v>95000</v>
      </c>
      <c r="KZ10" s="1548"/>
      <c r="LA10" s="1547">
        <f t="shared" ref="LA10" si="139">KY10</f>
        <v>95000</v>
      </c>
      <c r="LB10" s="1548"/>
      <c r="LC10" s="1547">
        <f t="shared" ref="LC10" si="140">LA10</f>
        <v>95000</v>
      </c>
      <c r="LD10" s="1548"/>
      <c r="LE10" s="1547">
        <f t="shared" ref="LE10" si="141">LC10</f>
        <v>95000</v>
      </c>
      <c r="LF10" s="1548"/>
      <c r="LG10" s="1547">
        <f t="shared" ref="LG10" si="142">LE10</f>
        <v>95000</v>
      </c>
      <c r="LH10" s="1548"/>
      <c r="LI10" s="1547">
        <f t="shared" ref="LI10" si="143">LG10</f>
        <v>95000</v>
      </c>
      <c r="LJ10" s="1548"/>
      <c r="LK10" s="1547">
        <f t="shared" ref="LK10" si="144">LI10</f>
        <v>95000</v>
      </c>
      <c r="LL10" s="1548"/>
      <c r="LM10" s="1547">
        <f t="shared" ref="LM10" si="145">LK10</f>
        <v>95000</v>
      </c>
      <c r="LN10" s="1548"/>
      <c r="LO10" s="1547">
        <f t="shared" ref="LO10" si="146">LM10</f>
        <v>95000</v>
      </c>
      <c r="LP10" s="1548"/>
      <c r="LQ10" s="1547">
        <f t="shared" ref="LQ10" si="147">LO10</f>
        <v>95000</v>
      </c>
      <c r="LR10" s="1548"/>
      <c r="LS10" s="1547">
        <f t="shared" ref="LS10" si="148">LQ10</f>
        <v>95000</v>
      </c>
      <c r="LT10" s="1548"/>
      <c r="LU10" s="1547">
        <f t="shared" ref="LU10" si="149">LS10</f>
        <v>95000</v>
      </c>
      <c r="LV10" s="1548"/>
      <c r="LW10" s="1547">
        <f t="shared" ref="LW10" si="150">LU10</f>
        <v>95000</v>
      </c>
      <c r="LX10" s="1548"/>
      <c r="LY10" s="1547">
        <f t="shared" ref="LY10" si="151">LW10</f>
        <v>95000</v>
      </c>
      <c r="LZ10" s="1548"/>
      <c r="MA10" s="1547">
        <f t="shared" ref="MA10" si="152">LY10</f>
        <v>95000</v>
      </c>
      <c r="MB10" s="1548"/>
      <c r="MC10" s="1547">
        <f t="shared" ref="MC10" si="153">MA10</f>
        <v>95000</v>
      </c>
      <c r="MD10" s="1548"/>
      <c r="ME10" s="1547">
        <f t="shared" ref="ME10" si="154">MC10</f>
        <v>95000</v>
      </c>
      <c r="MF10" s="1548"/>
      <c r="MG10" s="1547">
        <f t="shared" ref="MG10" si="155">ME10</f>
        <v>95000</v>
      </c>
      <c r="MH10" s="1548"/>
      <c r="MI10" s="1547">
        <f t="shared" ref="MI10" si="156">MG10</f>
        <v>95000</v>
      </c>
      <c r="MJ10" s="1548"/>
      <c r="MK10" s="1547">
        <f t="shared" ref="MK10" si="157">MI10</f>
        <v>95000</v>
      </c>
      <c r="ML10" s="1548"/>
      <c r="MM10" s="1547">
        <f t="shared" ref="MM10" si="158">MK10</f>
        <v>95000</v>
      </c>
      <c r="MN10" s="1548"/>
      <c r="MO10" s="1547">
        <f t="shared" ref="MO10" si="159">MM10</f>
        <v>95000</v>
      </c>
      <c r="MP10" s="1548"/>
      <c r="MQ10" s="1547">
        <f t="shared" ref="MQ10" si="160">MO10</f>
        <v>95000</v>
      </c>
      <c r="MR10" s="1548"/>
      <c r="MS10" s="1547">
        <f t="shared" ref="MS10" si="161">MQ10</f>
        <v>95000</v>
      </c>
      <c r="MT10" s="1548"/>
      <c r="MU10" s="1547">
        <f t="shared" ref="MU10" si="162">MS10</f>
        <v>95000</v>
      </c>
      <c r="MV10" s="1548"/>
      <c r="MW10" s="1547">
        <f t="shared" ref="MW10" si="163">MU10</f>
        <v>95000</v>
      </c>
      <c r="MX10" s="1548"/>
      <c r="MY10" s="1547">
        <f t="shared" ref="MY10" si="164">MW10</f>
        <v>95000</v>
      </c>
      <c r="MZ10" s="1548"/>
      <c r="NA10" s="1547">
        <f t="shared" ref="NA10" si="165">MY10</f>
        <v>95000</v>
      </c>
      <c r="NB10" s="1548"/>
      <c r="NC10" s="1547">
        <f t="shared" ref="NC10" si="166">NA10</f>
        <v>95000</v>
      </c>
      <c r="ND10" s="1548"/>
      <c r="NE10" s="1547">
        <f t="shared" ref="NE10" si="167">NC10</f>
        <v>95000</v>
      </c>
      <c r="NF10" s="1548"/>
      <c r="NG10" s="1547">
        <f t="shared" ref="NG10" si="168">NE10</f>
        <v>95000</v>
      </c>
      <c r="NH10" s="1548"/>
      <c r="NI10" s="1547">
        <f t="shared" ref="NI10" si="169">NG10</f>
        <v>95000</v>
      </c>
      <c r="NJ10" s="1548"/>
      <c r="NK10" s="1547">
        <f t="shared" ref="NK10" si="170">NI10</f>
        <v>95000</v>
      </c>
      <c r="NL10" s="1548"/>
      <c r="NM10" s="1547">
        <f t="shared" ref="NM10" si="171">NK10</f>
        <v>95000</v>
      </c>
      <c r="NN10" s="1548"/>
      <c r="NO10" s="1547">
        <f t="shared" ref="NO10" si="172">NM10</f>
        <v>95000</v>
      </c>
      <c r="NP10" s="1548"/>
      <c r="NQ10" s="1547">
        <f t="shared" ref="NQ10" si="173">NO10</f>
        <v>95000</v>
      </c>
      <c r="NR10" s="1548"/>
      <c r="NS10" s="1547">
        <f t="shared" ref="NS10" si="174">NQ10</f>
        <v>95000</v>
      </c>
      <c r="NT10" s="1548"/>
      <c r="NU10" s="1547">
        <f t="shared" ref="NU10" si="175">NS10</f>
        <v>95000</v>
      </c>
      <c r="NV10" s="1548"/>
      <c r="NW10" s="1547">
        <f t="shared" ref="NW10" si="176">NU10</f>
        <v>95000</v>
      </c>
      <c r="NX10" s="1548"/>
      <c r="NY10" s="1547">
        <f t="shared" ref="NY10" si="177">NW10</f>
        <v>95000</v>
      </c>
      <c r="NZ10" s="1548"/>
      <c r="OA10" s="1547">
        <f t="shared" ref="OA10" si="178">NY10</f>
        <v>95000</v>
      </c>
      <c r="OB10" s="1548"/>
      <c r="OC10" s="1547">
        <f t="shared" ref="OC10" si="179">OA10</f>
        <v>95000</v>
      </c>
      <c r="OD10" s="1548"/>
      <c r="OE10" s="1547">
        <f t="shared" ref="OE10" si="180">OC10</f>
        <v>95000</v>
      </c>
      <c r="OF10" s="1548"/>
      <c r="OG10" s="1547">
        <f t="shared" ref="OG10" si="181">OE10</f>
        <v>95000</v>
      </c>
      <c r="OH10" s="1548"/>
      <c r="OI10" s="1547">
        <f t="shared" ref="OI10" si="182">OG10</f>
        <v>95000</v>
      </c>
      <c r="OJ10" s="1548"/>
      <c r="OK10" s="1547">
        <f t="shared" ref="OK10" si="183">OI10</f>
        <v>95000</v>
      </c>
      <c r="OL10" s="1548"/>
      <c r="OM10" s="1547">
        <f t="shared" ref="OM10" si="184">OK10</f>
        <v>95000</v>
      </c>
      <c r="ON10" s="1548"/>
      <c r="OO10" s="1547">
        <f t="shared" ref="OO10" si="185">OM10</f>
        <v>95000</v>
      </c>
      <c r="OP10" s="1548"/>
      <c r="OQ10" s="1547">
        <f t="shared" ref="OQ10" si="186">OO10</f>
        <v>95000</v>
      </c>
      <c r="OR10" s="1548"/>
      <c r="OS10" s="1547">
        <f t="shared" ref="OS10" si="187">OQ10</f>
        <v>95000</v>
      </c>
      <c r="OT10" s="1548"/>
      <c r="OU10" s="1547">
        <f t="shared" ref="OU10" si="188">OS10</f>
        <v>95000</v>
      </c>
      <c r="OV10" s="1548"/>
      <c r="OW10" s="1547">
        <f t="shared" ref="OW10" si="189">OU10</f>
        <v>95000</v>
      </c>
      <c r="OX10" s="1548"/>
      <c r="OY10" s="1547">
        <f t="shared" ref="OY10" si="190">OW10</f>
        <v>95000</v>
      </c>
      <c r="OZ10" s="1548"/>
      <c r="PA10" s="1547">
        <f t="shared" ref="PA10" si="191">OY10</f>
        <v>95000</v>
      </c>
      <c r="PB10" s="1548"/>
      <c r="PC10" s="1547">
        <f t="shared" ref="PC10" si="192">PA10</f>
        <v>95000</v>
      </c>
      <c r="PD10" s="1548"/>
      <c r="PE10" s="1547">
        <f t="shared" ref="PE10" si="193">PC10</f>
        <v>95000</v>
      </c>
      <c r="PF10" s="1548"/>
      <c r="PG10" s="1547">
        <f t="shared" ref="PG10" si="194">PE10</f>
        <v>95000</v>
      </c>
      <c r="PH10" s="1548"/>
      <c r="PI10" s="1547">
        <f t="shared" ref="PI10" si="195">PG10</f>
        <v>95000</v>
      </c>
      <c r="PJ10" s="1548"/>
      <c r="PK10" s="1547">
        <f t="shared" ref="PK10" si="196">PI10</f>
        <v>95000</v>
      </c>
      <c r="PL10" s="1548"/>
      <c r="PM10" s="1547">
        <f t="shared" ref="PM10" si="197">PK10</f>
        <v>95000</v>
      </c>
      <c r="PN10" s="1548"/>
      <c r="PO10" s="1547">
        <f t="shared" ref="PO10" si="198">PM10</f>
        <v>95000</v>
      </c>
      <c r="PP10" s="1548"/>
      <c r="PQ10" s="1547">
        <f t="shared" ref="PQ10" si="199">PO10</f>
        <v>95000</v>
      </c>
      <c r="PR10" s="1548"/>
      <c r="PS10" s="1547">
        <f t="shared" ref="PS10" si="200">PQ10</f>
        <v>95000</v>
      </c>
      <c r="PT10" s="1548"/>
      <c r="PU10" s="1547">
        <f t="shared" ref="PU10" si="201">PS10</f>
        <v>95000</v>
      </c>
      <c r="PV10" s="1548"/>
      <c r="PW10" s="1547">
        <f t="shared" ref="PW10" si="202">PU10</f>
        <v>95000</v>
      </c>
      <c r="PX10" s="1548"/>
      <c r="PY10" s="1547">
        <f t="shared" ref="PY10" si="203">PW10</f>
        <v>95000</v>
      </c>
      <c r="PZ10" s="1548"/>
      <c r="QA10" s="1547">
        <f t="shared" ref="QA10" si="204">PY10</f>
        <v>95000</v>
      </c>
      <c r="QB10" s="1548"/>
      <c r="QC10" s="1547">
        <f t="shared" ref="QC10" si="205">QA10</f>
        <v>95000</v>
      </c>
      <c r="QD10" s="1548"/>
      <c r="QE10" s="1547">
        <f t="shared" ref="QE10" si="206">QC10</f>
        <v>95000</v>
      </c>
      <c r="QF10" s="1548"/>
      <c r="QG10" s="1547">
        <f t="shared" ref="QG10" si="207">QE10</f>
        <v>95000</v>
      </c>
      <c r="QH10" s="1548"/>
      <c r="QI10" s="1547">
        <f t="shared" ref="QI10" si="208">QG10</f>
        <v>95000</v>
      </c>
      <c r="QJ10" s="1548"/>
      <c r="QK10" s="1547">
        <f t="shared" ref="QK10" si="209">QI10</f>
        <v>95000</v>
      </c>
      <c r="QL10" s="1548"/>
      <c r="QM10" s="1547">
        <f t="shared" ref="QM10" si="210">QK10</f>
        <v>95000</v>
      </c>
      <c r="QN10" s="1548"/>
      <c r="QO10" s="1547">
        <f t="shared" ref="QO10" si="211">QM10</f>
        <v>95000</v>
      </c>
      <c r="QP10" s="1548"/>
      <c r="QQ10" s="1547">
        <f t="shared" ref="QQ10" si="212">QO10</f>
        <v>95000</v>
      </c>
      <c r="QR10" s="1548"/>
      <c r="QS10" s="1547">
        <f t="shared" ref="QS10" si="213">QQ10</f>
        <v>95000</v>
      </c>
      <c r="QT10" s="1548"/>
      <c r="QU10" s="1547">
        <f t="shared" ref="QU10" si="214">QS10</f>
        <v>95000</v>
      </c>
      <c r="QV10" s="1548"/>
      <c r="QW10" s="1547">
        <f t="shared" ref="QW10" si="215">QU10</f>
        <v>95000</v>
      </c>
      <c r="QX10" s="1548"/>
      <c r="QY10" s="1547">
        <f t="shared" ref="QY10" si="216">QW10</f>
        <v>95000</v>
      </c>
      <c r="QZ10" s="1548"/>
      <c r="RA10" s="1547">
        <f t="shared" ref="RA10" si="217">QY10</f>
        <v>95000</v>
      </c>
      <c r="RB10" s="1548"/>
      <c r="RC10" s="1547">
        <f t="shared" ref="RC10" si="218">RA10</f>
        <v>95000</v>
      </c>
      <c r="RD10" s="1548"/>
      <c r="RE10" s="1547">
        <f t="shared" ref="RE10" si="219">RC10</f>
        <v>95000</v>
      </c>
      <c r="RF10" s="1548"/>
      <c r="RG10" s="1547">
        <f t="shared" ref="RG10" si="220">RE10</f>
        <v>95000</v>
      </c>
      <c r="RH10" s="1548"/>
      <c r="RI10" s="1547">
        <f t="shared" ref="RI10" si="221">RG10</f>
        <v>95000</v>
      </c>
      <c r="RJ10" s="1548"/>
      <c r="RK10" s="1547">
        <f t="shared" ref="RK10" si="222">RI10</f>
        <v>95000</v>
      </c>
      <c r="RL10" s="1548"/>
      <c r="RM10" s="1547">
        <f t="shared" ref="RM10" si="223">RK10</f>
        <v>95000</v>
      </c>
      <c r="RN10" s="1548"/>
      <c r="RO10" s="1547">
        <f t="shared" ref="RO10" si="224">RM10</f>
        <v>95000</v>
      </c>
      <c r="RP10" s="1548"/>
      <c r="RQ10" s="1547">
        <f t="shared" ref="RQ10" si="225">RO10</f>
        <v>95000</v>
      </c>
      <c r="RR10" s="1548"/>
      <c r="RS10" s="1547">
        <f t="shared" ref="RS10" si="226">RQ10</f>
        <v>95000</v>
      </c>
      <c r="RT10" s="1548"/>
      <c r="RU10" s="1547">
        <f t="shared" ref="RU10" si="227">RS10</f>
        <v>95000</v>
      </c>
      <c r="RV10" s="1548"/>
      <c r="RW10" s="1547">
        <f t="shared" ref="RW10" si="228">RU10</f>
        <v>95000</v>
      </c>
      <c r="RX10" s="1548"/>
      <c r="RY10" s="1547">
        <f t="shared" ref="RY10" si="229">RW10</f>
        <v>95000</v>
      </c>
      <c r="RZ10" s="1548"/>
      <c r="SA10" s="1547">
        <f t="shared" ref="SA10" si="230">RY10</f>
        <v>95000</v>
      </c>
      <c r="SB10" s="1548"/>
      <c r="SC10" s="1547">
        <f t="shared" ref="SC10" si="231">SA10</f>
        <v>95000</v>
      </c>
      <c r="SD10" s="1548"/>
      <c r="SE10" s="1547">
        <f t="shared" ref="SE10" si="232">SC10</f>
        <v>95000</v>
      </c>
      <c r="SF10" s="1548"/>
      <c r="SG10" s="1547">
        <f t="shared" ref="SG10" si="233">SE10</f>
        <v>95000</v>
      </c>
      <c r="SH10" s="1548"/>
      <c r="SI10" s="1547">
        <f t="shared" ref="SI10" si="234">SG10</f>
        <v>95000</v>
      </c>
      <c r="SJ10" s="1548"/>
      <c r="SK10" s="1547">
        <f t="shared" ref="SK10" si="235">SI10</f>
        <v>95000</v>
      </c>
      <c r="SL10" s="1548"/>
      <c r="SM10" s="1547">
        <f t="shared" ref="SM10" si="236">SK10</f>
        <v>95000</v>
      </c>
      <c r="SN10" s="1548"/>
      <c r="SO10" s="1547">
        <f t="shared" ref="SO10" si="237">SM10</f>
        <v>95000</v>
      </c>
      <c r="SP10" s="1548"/>
      <c r="SQ10" s="1547">
        <f t="shared" ref="SQ10" si="238">SO10</f>
        <v>95000</v>
      </c>
      <c r="SR10" s="1548"/>
      <c r="SS10" s="1547">
        <f t="shared" ref="SS10" si="239">SQ10</f>
        <v>95000</v>
      </c>
      <c r="ST10" s="1548"/>
      <c r="SU10" s="1547">
        <f t="shared" ref="SU10" si="240">SS10</f>
        <v>95000</v>
      </c>
      <c r="SV10" s="1548"/>
      <c r="SW10" s="1547">
        <f t="shared" ref="SW10" si="241">SU10</f>
        <v>95000</v>
      </c>
      <c r="SX10" s="1548"/>
      <c r="SY10" s="1547">
        <f t="shared" ref="SY10" si="242">SW10</f>
        <v>95000</v>
      </c>
      <c r="SZ10" s="1548"/>
      <c r="TA10" s="1547">
        <f t="shared" ref="TA10" si="243">SY10</f>
        <v>95000</v>
      </c>
      <c r="TB10" s="1548"/>
      <c r="TC10" s="1547">
        <f t="shared" ref="TC10" si="244">TA10</f>
        <v>95000</v>
      </c>
      <c r="TD10" s="1548"/>
      <c r="TE10" s="1547">
        <f t="shared" ref="TE10" si="245">TC10</f>
        <v>95000</v>
      </c>
      <c r="TF10" s="1548"/>
      <c r="TG10" s="1547">
        <f t="shared" ref="TG10" si="246">TE10</f>
        <v>95000</v>
      </c>
      <c r="TH10" s="1548"/>
      <c r="TI10" s="1547">
        <f t="shared" ref="TI10" si="247">TG10</f>
        <v>95000</v>
      </c>
      <c r="TJ10" s="1548"/>
      <c r="TK10" s="1547">
        <f t="shared" ref="TK10" si="248">TI10</f>
        <v>95000</v>
      </c>
      <c r="TL10" s="1548"/>
      <c r="TM10" s="1547">
        <f t="shared" ref="TM10" si="249">TK10</f>
        <v>95000</v>
      </c>
      <c r="TN10" s="1548"/>
      <c r="TO10" s="1547">
        <f t="shared" ref="TO10" si="250">TM10</f>
        <v>95000</v>
      </c>
      <c r="TP10" s="1548"/>
      <c r="TQ10" s="1547">
        <f t="shared" ref="TQ10" si="251">TO10</f>
        <v>95000</v>
      </c>
      <c r="TR10" s="1548"/>
      <c r="TS10" s="1547">
        <f t="shared" ref="TS10" si="252">TQ10</f>
        <v>95000</v>
      </c>
      <c r="TT10" s="1548"/>
      <c r="TU10" s="1547">
        <f t="shared" ref="TU10" si="253">TS10</f>
        <v>95000</v>
      </c>
      <c r="TV10" s="1548"/>
      <c r="TW10" s="1547">
        <f t="shared" ref="TW10" si="254">TU10</f>
        <v>95000</v>
      </c>
      <c r="TX10" s="1548"/>
      <c r="TY10" s="1547">
        <f t="shared" ref="TY10" si="255">TW10</f>
        <v>95000</v>
      </c>
      <c r="TZ10" s="1548"/>
      <c r="UA10" s="1547">
        <f t="shared" ref="UA10" si="256">TY10</f>
        <v>95000</v>
      </c>
      <c r="UB10" s="1548"/>
      <c r="UC10" s="1547">
        <f t="shared" ref="UC10" si="257">UA10</f>
        <v>95000</v>
      </c>
      <c r="UD10" s="1548"/>
      <c r="UE10" s="1547">
        <f t="shared" ref="UE10" si="258">UC10</f>
        <v>95000</v>
      </c>
      <c r="UF10" s="1548"/>
      <c r="UG10" s="1547">
        <f t="shared" ref="UG10" si="259">UE10</f>
        <v>95000</v>
      </c>
      <c r="UH10" s="1548"/>
      <c r="UI10" s="1547">
        <f t="shared" ref="UI10" si="260">UG10</f>
        <v>95000</v>
      </c>
      <c r="UJ10" s="1548"/>
      <c r="UK10" s="1547">
        <f t="shared" ref="UK10" si="261">UI10</f>
        <v>95000</v>
      </c>
      <c r="UL10" s="1548"/>
      <c r="UM10" s="1547">
        <f t="shared" ref="UM10" si="262">UK10</f>
        <v>95000</v>
      </c>
      <c r="UN10" s="1548"/>
      <c r="UO10" s="1547">
        <f t="shared" ref="UO10" si="263">UM10</f>
        <v>95000</v>
      </c>
      <c r="UP10" s="1548"/>
      <c r="UQ10" s="1547">
        <f t="shared" ref="UQ10" si="264">UO10</f>
        <v>95000</v>
      </c>
      <c r="UR10" s="1548"/>
      <c r="US10" s="1547">
        <f t="shared" ref="US10" si="265">UQ10</f>
        <v>95000</v>
      </c>
      <c r="UT10" s="1548"/>
      <c r="UU10" s="1547">
        <f t="shared" ref="UU10" si="266">US10</f>
        <v>95000</v>
      </c>
      <c r="UV10" s="1548"/>
      <c r="UW10" s="1547">
        <f t="shared" ref="UW10" si="267">UU10</f>
        <v>95000</v>
      </c>
      <c r="UX10" s="1548"/>
      <c r="UY10" s="1547">
        <f t="shared" ref="UY10" si="268">UW10</f>
        <v>95000</v>
      </c>
      <c r="UZ10" s="1548"/>
      <c r="VA10" s="1547">
        <f t="shared" ref="VA10" si="269">UY10</f>
        <v>95000</v>
      </c>
      <c r="VB10" s="1548"/>
      <c r="VC10" s="1547">
        <f t="shared" ref="VC10" si="270">VA10</f>
        <v>95000</v>
      </c>
      <c r="VD10" s="1548"/>
      <c r="VE10" s="1547">
        <f t="shared" ref="VE10" si="271">VC10</f>
        <v>95000</v>
      </c>
      <c r="VF10" s="1548"/>
      <c r="VG10" s="1547">
        <f t="shared" ref="VG10" si="272">VE10</f>
        <v>95000</v>
      </c>
      <c r="VH10" s="1548"/>
      <c r="VI10" s="1547">
        <f t="shared" ref="VI10" si="273">VG10</f>
        <v>95000</v>
      </c>
      <c r="VJ10" s="1548"/>
      <c r="VK10" s="1547">
        <f t="shared" ref="VK10" si="274">VI10</f>
        <v>95000</v>
      </c>
      <c r="VL10" s="1548"/>
      <c r="VM10" s="1547">
        <f t="shared" ref="VM10" si="275">VK10</f>
        <v>95000</v>
      </c>
      <c r="VN10" s="1548"/>
      <c r="VO10" s="1547">
        <f t="shared" ref="VO10" si="276">VM10</f>
        <v>95000</v>
      </c>
      <c r="VP10" s="1548"/>
      <c r="VQ10" s="1547">
        <f t="shared" ref="VQ10" si="277">VO10</f>
        <v>95000</v>
      </c>
      <c r="VR10" s="1548"/>
      <c r="VS10" s="1547">
        <f t="shared" ref="VS10" si="278">VQ10</f>
        <v>95000</v>
      </c>
      <c r="VT10" s="1548"/>
      <c r="VU10" s="1547">
        <f t="shared" ref="VU10" si="279">VS10</f>
        <v>95000</v>
      </c>
      <c r="VV10" s="1548"/>
      <c r="VW10" s="1547">
        <f t="shared" ref="VW10" si="280">VU10</f>
        <v>95000</v>
      </c>
      <c r="VX10" s="1548"/>
      <c r="VY10" s="1547">
        <f t="shared" ref="VY10" si="281">VW10</f>
        <v>95000</v>
      </c>
      <c r="VZ10" s="1548"/>
      <c r="WA10" s="1547">
        <f t="shared" ref="WA10" si="282">VY10</f>
        <v>95000</v>
      </c>
      <c r="WB10" s="1548"/>
      <c r="WC10" s="1547">
        <f t="shared" ref="WC10" si="283">WA10</f>
        <v>95000</v>
      </c>
      <c r="WD10" s="1548"/>
      <c r="WE10" s="1547">
        <f t="shared" ref="WE10" si="284">WC10</f>
        <v>95000</v>
      </c>
      <c r="WF10" s="1548"/>
      <c r="WG10" s="1547">
        <f t="shared" ref="WG10" si="285">WE10</f>
        <v>95000</v>
      </c>
      <c r="WH10" s="1548"/>
      <c r="WI10" s="1547">
        <f t="shared" ref="WI10" si="286">WG10</f>
        <v>95000</v>
      </c>
      <c r="WJ10" s="1548"/>
      <c r="WK10" s="1547">
        <f t="shared" ref="WK10" si="287">WI10</f>
        <v>95000</v>
      </c>
      <c r="WL10" s="1548"/>
      <c r="WM10" s="1547">
        <f t="shared" ref="WM10" si="288">WK10</f>
        <v>95000</v>
      </c>
      <c r="WN10" s="1548"/>
      <c r="WO10" s="1547">
        <f t="shared" ref="WO10" si="289">WM10</f>
        <v>95000</v>
      </c>
      <c r="WP10" s="1548"/>
      <c r="WQ10" s="1547">
        <f t="shared" ref="WQ10" si="290">WO10</f>
        <v>95000</v>
      </c>
      <c r="WR10" s="1548"/>
      <c r="WS10" s="1547">
        <f t="shared" ref="WS10" si="291">WQ10</f>
        <v>95000</v>
      </c>
      <c r="WT10" s="1548"/>
      <c r="WU10" s="1547">
        <f t="shared" ref="WU10" si="292">WS10</f>
        <v>95000</v>
      </c>
      <c r="WV10" s="1548"/>
      <c r="WW10" s="1547">
        <f t="shared" ref="WW10" si="293">WU10</f>
        <v>95000</v>
      </c>
      <c r="WX10" s="1548"/>
      <c r="WY10" s="1547">
        <f t="shared" ref="WY10" si="294">WW10</f>
        <v>95000</v>
      </c>
      <c r="WZ10" s="1548"/>
      <c r="XA10" s="1547">
        <f t="shared" ref="XA10" si="295">WY10</f>
        <v>95000</v>
      </c>
      <c r="XB10" s="1548"/>
      <c r="XC10" s="1547">
        <f t="shared" ref="XC10" si="296">XA10</f>
        <v>95000</v>
      </c>
      <c r="XD10" s="1548"/>
      <c r="XE10" s="1547">
        <f t="shared" ref="XE10" si="297">XC10</f>
        <v>95000</v>
      </c>
      <c r="XF10" s="1548"/>
      <c r="XG10" s="1547">
        <f t="shared" ref="XG10" si="298">XE10</f>
        <v>95000</v>
      </c>
      <c r="XH10" s="1548"/>
      <c r="XI10" s="1547">
        <f t="shared" ref="XI10" si="299">XG10</f>
        <v>95000</v>
      </c>
      <c r="XJ10" s="1548"/>
      <c r="XK10" s="1547">
        <f t="shared" ref="XK10" si="300">XI10</f>
        <v>95000</v>
      </c>
      <c r="XL10" s="1548"/>
      <c r="XM10" s="1547">
        <f t="shared" ref="XM10" si="301">XK10</f>
        <v>95000</v>
      </c>
      <c r="XN10" s="1548"/>
      <c r="XO10" s="1547">
        <f t="shared" ref="XO10" si="302">XM10</f>
        <v>95000</v>
      </c>
      <c r="XP10" s="1548"/>
      <c r="XQ10" s="1547">
        <f t="shared" ref="XQ10" si="303">XO10</f>
        <v>95000</v>
      </c>
      <c r="XR10" s="1548"/>
      <c r="XS10" s="1547">
        <f t="shared" ref="XS10" si="304">XQ10</f>
        <v>95000</v>
      </c>
      <c r="XT10" s="1548"/>
      <c r="XU10" s="1547">
        <f t="shared" ref="XU10" si="305">XS10</f>
        <v>95000</v>
      </c>
      <c r="XV10" s="1548"/>
      <c r="XW10" s="1547">
        <f t="shared" ref="XW10" si="306">XU10</f>
        <v>95000</v>
      </c>
      <c r="XX10" s="1548"/>
      <c r="XY10" s="1547">
        <f t="shared" ref="XY10" si="307">XW10</f>
        <v>95000</v>
      </c>
      <c r="XZ10" s="1548"/>
      <c r="YA10" s="1547">
        <f t="shared" ref="YA10" si="308">XY10</f>
        <v>95000</v>
      </c>
      <c r="YB10" s="1548"/>
      <c r="YC10" s="1547">
        <f t="shared" ref="YC10" si="309">YA10</f>
        <v>95000</v>
      </c>
      <c r="YD10" s="1548"/>
      <c r="YE10" s="1547">
        <f t="shared" ref="YE10" si="310">YC10</f>
        <v>95000</v>
      </c>
      <c r="YF10" s="1548"/>
      <c r="YG10" s="1547">
        <f t="shared" ref="YG10" si="311">YE10</f>
        <v>95000</v>
      </c>
      <c r="YH10" s="1548"/>
      <c r="YI10" s="1547">
        <f t="shared" ref="YI10" si="312">YG10</f>
        <v>95000</v>
      </c>
      <c r="YJ10" s="1548"/>
      <c r="YK10" s="1547">
        <f t="shared" ref="YK10" si="313">YI10</f>
        <v>95000</v>
      </c>
      <c r="YL10" s="1548"/>
      <c r="YM10" s="1547">
        <f t="shared" ref="YM10" si="314">YK10</f>
        <v>95000</v>
      </c>
      <c r="YN10" s="1548"/>
      <c r="YO10" s="1547">
        <f t="shared" ref="YO10" si="315">YM10</f>
        <v>95000</v>
      </c>
      <c r="YP10" s="1548"/>
      <c r="YQ10" s="1547">
        <f t="shared" ref="YQ10" si="316">YO10</f>
        <v>95000</v>
      </c>
      <c r="YR10" s="1548"/>
      <c r="YS10" s="1547">
        <f t="shared" ref="YS10" si="317">YQ10</f>
        <v>95000</v>
      </c>
      <c r="YT10" s="1548"/>
      <c r="YU10" s="1547">
        <f t="shared" ref="YU10" si="318">YS10</f>
        <v>95000</v>
      </c>
      <c r="YV10" s="1548"/>
      <c r="YW10" s="1547">
        <f t="shared" ref="YW10" si="319">YU10</f>
        <v>95000</v>
      </c>
      <c r="YX10" s="1548"/>
      <c r="YY10" s="1547">
        <f t="shared" ref="YY10" si="320">YW10</f>
        <v>95000</v>
      </c>
      <c r="YZ10" s="1548"/>
      <c r="ZA10" s="1547">
        <f t="shared" ref="ZA10" si="321">YY10</f>
        <v>95000</v>
      </c>
      <c r="ZB10" s="1548"/>
      <c r="ZC10" s="1547">
        <f t="shared" ref="ZC10" si="322">ZA10</f>
        <v>95000</v>
      </c>
      <c r="ZD10" s="1548"/>
      <c r="ZE10" s="1547">
        <f t="shared" ref="ZE10" si="323">ZC10</f>
        <v>95000</v>
      </c>
      <c r="ZF10" s="1548"/>
      <c r="ZG10" s="1547">
        <f t="shared" ref="ZG10" si="324">ZE10</f>
        <v>95000</v>
      </c>
      <c r="ZH10" s="1548"/>
      <c r="ZI10" s="1547">
        <f t="shared" ref="ZI10" si="325">ZG10</f>
        <v>95000</v>
      </c>
      <c r="ZJ10" s="1548"/>
      <c r="ZK10" s="1547">
        <f t="shared" ref="ZK10" si="326">ZI10</f>
        <v>95000</v>
      </c>
      <c r="ZL10" s="1548"/>
      <c r="ZM10" s="1547">
        <f t="shared" ref="ZM10" si="327">ZK10</f>
        <v>95000</v>
      </c>
      <c r="ZN10" s="1548"/>
      <c r="ZO10" s="1547">
        <f t="shared" ref="ZO10" si="328">ZM10</f>
        <v>95000</v>
      </c>
      <c r="ZP10" s="1548"/>
      <c r="ZQ10" s="1547">
        <f t="shared" ref="ZQ10" si="329">ZO10</f>
        <v>95000</v>
      </c>
      <c r="ZR10" s="1548"/>
      <c r="ZS10" s="1547">
        <f t="shared" ref="ZS10" si="330">ZQ10</f>
        <v>95000</v>
      </c>
      <c r="ZT10" s="1548"/>
      <c r="ZU10" s="1547">
        <f t="shared" ref="ZU10" si="331">ZS10</f>
        <v>95000</v>
      </c>
      <c r="ZV10" s="1548"/>
      <c r="ZW10" s="1547">
        <f t="shared" ref="ZW10" si="332">ZU10</f>
        <v>95000</v>
      </c>
      <c r="ZX10" s="1548"/>
      <c r="ZY10" s="1547">
        <f t="shared" ref="ZY10" si="333">ZW10</f>
        <v>95000</v>
      </c>
      <c r="ZZ10" s="1548"/>
      <c r="AAA10" s="1547">
        <f t="shared" ref="AAA10" si="334">ZY10</f>
        <v>95000</v>
      </c>
      <c r="AAB10" s="1548"/>
      <c r="AAC10" s="1547">
        <f t="shared" ref="AAC10" si="335">AAA10</f>
        <v>95000</v>
      </c>
      <c r="AAD10" s="1548"/>
      <c r="AAE10" s="1547">
        <f t="shared" ref="AAE10" si="336">AAC10</f>
        <v>95000</v>
      </c>
      <c r="AAF10" s="1548"/>
      <c r="AAG10" s="1547">
        <f t="shared" ref="AAG10" si="337">AAE10</f>
        <v>95000</v>
      </c>
      <c r="AAH10" s="1548"/>
      <c r="AAI10" s="1547">
        <f t="shared" ref="AAI10" si="338">AAG10</f>
        <v>95000</v>
      </c>
      <c r="AAJ10" s="1548"/>
      <c r="AAK10" s="1547">
        <f t="shared" ref="AAK10" si="339">AAI10</f>
        <v>95000</v>
      </c>
      <c r="AAL10" s="1548"/>
      <c r="AAM10" s="1547">
        <f t="shared" ref="AAM10" si="340">AAK10</f>
        <v>95000</v>
      </c>
      <c r="AAN10" s="1548"/>
      <c r="AAO10" s="1547">
        <f t="shared" ref="AAO10" si="341">AAM10</f>
        <v>95000</v>
      </c>
      <c r="AAP10" s="1548"/>
      <c r="AAQ10" s="1547">
        <f t="shared" ref="AAQ10" si="342">AAO10</f>
        <v>95000</v>
      </c>
      <c r="AAR10" s="1548"/>
      <c r="AAS10" s="1547">
        <f t="shared" ref="AAS10" si="343">AAQ10</f>
        <v>95000</v>
      </c>
      <c r="AAT10" s="1548"/>
      <c r="AAU10" s="1547">
        <f t="shared" ref="AAU10" si="344">AAS10</f>
        <v>95000</v>
      </c>
      <c r="AAV10" s="1548"/>
      <c r="AAW10" s="1547">
        <f t="shared" ref="AAW10" si="345">AAU10</f>
        <v>95000</v>
      </c>
      <c r="AAX10" s="1548"/>
      <c r="AAY10" s="1547">
        <f t="shared" ref="AAY10" si="346">AAW10</f>
        <v>95000</v>
      </c>
      <c r="AAZ10" s="1548"/>
      <c r="ABA10" s="1547">
        <f t="shared" ref="ABA10" si="347">AAY10</f>
        <v>95000</v>
      </c>
      <c r="ABB10" s="1548"/>
      <c r="ABC10" s="1547">
        <f t="shared" ref="ABC10" si="348">ABA10</f>
        <v>95000</v>
      </c>
      <c r="ABD10" s="1548"/>
      <c r="ABE10" s="1547">
        <f t="shared" ref="ABE10" si="349">ABC10</f>
        <v>95000</v>
      </c>
      <c r="ABF10" s="1548"/>
      <c r="ABG10" s="1547">
        <f t="shared" ref="ABG10" si="350">ABE10</f>
        <v>95000</v>
      </c>
      <c r="ABH10" s="1548"/>
      <c r="ABI10" s="1547">
        <f t="shared" ref="ABI10" si="351">ABG10</f>
        <v>95000</v>
      </c>
      <c r="ABJ10" s="1548"/>
      <c r="ABK10" s="1547">
        <f t="shared" ref="ABK10" si="352">ABI10</f>
        <v>95000</v>
      </c>
      <c r="ABL10" s="1548"/>
      <c r="ABM10" s="1547">
        <f t="shared" ref="ABM10" si="353">ABK10</f>
        <v>95000</v>
      </c>
      <c r="ABN10" s="1548"/>
      <c r="ABO10" s="1547">
        <f t="shared" ref="ABO10" si="354">ABM10</f>
        <v>95000</v>
      </c>
      <c r="ABP10" s="1548"/>
      <c r="ABQ10" s="1547">
        <f t="shared" ref="ABQ10" si="355">ABO10</f>
        <v>95000</v>
      </c>
      <c r="ABR10" s="1548"/>
      <c r="ABS10" s="1547">
        <f t="shared" ref="ABS10" si="356">ABQ10</f>
        <v>95000</v>
      </c>
      <c r="ABT10" s="1548"/>
      <c r="ABU10" s="1547">
        <f t="shared" ref="ABU10" si="357">ABS10</f>
        <v>95000</v>
      </c>
      <c r="ABV10" s="1548"/>
      <c r="ABW10" s="1547">
        <f t="shared" ref="ABW10" si="358">ABU10</f>
        <v>95000</v>
      </c>
      <c r="ABX10" s="1548"/>
      <c r="ABY10" s="1547">
        <f t="shared" ref="ABY10" si="359">ABW10</f>
        <v>95000</v>
      </c>
      <c r="ABZ10" s="1548"/>
      <c r="ACA10" s="1547">
        <f t="shared" ref="ACA10" si="360">ABY10</f>
        <v>95000</v>
      </c>
      <c r="ACB10" s="1548"/>
      <c r="ACC10" s="1547">
        <f t="shared" ref="ACC10" si="361">ACA10</f>
        <v>95000</v>
      </c>
      <c r="ACD10" s="1548"/>
      <c r="ACE10" s="1547">
        <f t="shared" ref="ACE10" si="362">ACC10</f>
        <v>95000</v>
      </c>
      <c r="ACF10" s="1548"/>
      <c r="ACG10" s="1547">
        <f t="shared" ref="ACG10" si="363">ACE10</f>
        <v>95000</v>
      </c>
      <c r="ACH10" s="1548"/>
      <c r="ACI10" s="1547">
        <f t="shared" ref="ACI10" si="364">ACG10</f>
        <v>95000</v>
      </c>
      <c r="ACJ10" s="1548"/>
      <c r="ACK10" s="1547">
        <f t="shared" ref="ACK10" si="365">ACI10</f>
        <v>95000</v>
      </c>
      <c r="ACL10" s="1548"/>
      <c r="ACM10" s="1547">
        <f t="shared" ref="ACM10" si="366">ACK10</f>
        <v>95000</v>
      </c>
      <c r="ACN10" s="1548"/>
      <c r="ACO10" s="1547">
        <f t="shared" ref="ACO10" si="367">ACM10</f>
        <v>95000</v>
      </c>
      <c r="ACP10" s="1548"/>
      <c r="ACQ10" s="1547">
        <f t="shared" ref="ACQ10" si="368">ACO10</f>
        <v>95000</v>
      </c>
      <c r="ACR10" s="1548"/>
      <c r="ACS10" s="1547">
        <f t="shared" ref="ACS10" si="369">ACQ10</f>
        <v>95000</v>
      </c>
      <c r="ACT10" s="1548"/>
      <c r="ACU10" s="1547">
        <f t="shared" ref="ACU10" si="370">ACS10</f>
        <v>95000</v>
      </c>
      <c r="ACV10" s="1548"/>
      <c r="ACW10" s="1547">
        <f t="shared" ref="ACW10" si="371">ACU10</f>
        <v>95000</v>
      </c>
      <c r="ACX10" s="1548"/>
      <c r="ACY10" s="1547">
        <f t="shared" ref="ACY10" si="372">ACW10</f>
        <v>95000</v>
      </c>
      <c r="ACZ10" s="1548"/>
      <c r="ADA10" s="1547">
        <f t="shared" ref="ADA10" si="373">ACY10</f>
        <v>95000</v>
      </c>
      <c r="ADB10" s="1548"/>
      <c r="ADC10" s="1547">
        <f t="shared" ref="ADC10" si="374">ADA10</f>
        <v>95000</v>
      </c>
      <c r="ADD10" s="1548"/>
      <c r="ADE10" s="1547">
        <f t="shared" ref="ADE10" si="375">ADC10</f>
        <v>95000</v>
      </c>
      <c r="ADF10" s="1548"/>
      <c r="ADG10" s="1547">
        <f t="shared" ref="ADG10" si="376">ADE10</f>
        <v>95000</v>
      </c>
      <c r="ADH10" s="1548"/>
      <c r="ADI10" s="1547">
        <f t="shared" ref="ADI10" si="377">ADG10</f>
        <v>95000</v>
      </c>
      <c r="ADJ10" s="1548"/>
      <c r="ADK10" s="1547">
        <f t="shared" ref="ADK10" si="378">ADI10</f>
        <v>95000</v>
      </c>
      <c r="ADL10" s="1548"/>
      <c r="ADM10" s="1547">
        <f t="shared" ref="ADM10" si="379">ADK10</f>
        <v>95000</v>
      </c>
      <c r="ADN10" s="1548"/>
      <c r="ADO10" s="1547">
        <f t="shared" ref="ADO10" si="380">ADM10</f>
        <v>95000</v>
      </c>
      <c r="ADP10" s="1548"/>
      <c r="ADQ10" s="1547">
        <f t="shared" ref="ADQ10" si="381">ADO10</f>
        <v>95000</v>
      </c>
      <c r="ADR10" s="1548"/>
      <c r="ADS10" s="1547">
        <f t="shared" ref="ADS10" si="382">ADQ10</f>
        <v>95000</v>
      </c>
      <c r="ADT10" s="1548"/>
      <c r="ADU10" s="1547">
        <f t="shared" ref="ADU10" si="383">ADS10</f>
        <v>95000</v>
      </c>
      <c r="ADV10" s="1548"/>
      <c r="ADW10" s="1547">
        <f t="shared" ref="ADW10" si="384">ADU10</f>
        <v>95000</v>
      </c>
      <c r="ADX10" s="1548"/>
      <c r="ADY10" s="1547">
        <f t="shared" ref="ADY10" si="385">ADW10</f>
        <v>95000</v>
      </c>
      <c r="ADZ10" s="1548"/>
      <c r="AEA10" s="1547">
        <f t="shared" ref="AEA10" si="386">ADY10</f>
        <v>95000</v>
      </c>
      <c r="AEB10" s="1548"/>
      <c r="AEC10" s="1547">
        <f t="shared" ref="AEC10" si="387">AEA10</f>
        <v>95000</v>
      </c>
      <c r="AED10" s="1548"/>
      <c r="AEE10" s="1547">
        <f t="shared" ref="AEE10" si="388">AEC10</f>
        <v>95000</v>
      </c>
      <c r="AEF10" s="1548"/>
      <c r="AEG10" s="1547">
        <f t="shared" ref="AEG10" si="389">AEE10</f>
        <v>95000</v>
      </c>
      <c r="AEH10" s="1548"/>
      <c r="AEI10" s="1547">
        <f t="shared" ref="AEI10" si="390">AEG10</f>
        <v>95000</v>
      </c>
      <c r="AEJ10" s="1548"/>
      <c r="AEK10" s="1547">
        <f t="shared" ref="AEK10" si="391">AEI10</f>
        <v>95000</v>
      </c>
      <c r="AEL10" s="1548"/>
      <c r="AEM10" s="1547">
        <f t="shared" ref="AEM10" si="392">AEK10</f>
        <v>95000</v>
      </c>
      <c r="AEN10" s="1548"/>
      <c r="AEO10" s="1547">
        <f t="shared" ref="AEO10" si="393">AEM10</f>
        <v>95000</v>
      </c>
      <c r="AEP10" s="1548"/>
      <c r="AEQ10" s="1547">
        <f t="shared" ref="AEQ10" si="394">AEO10</f>
        <v>95000</v>
      </c>
      <c r="AER10" s="1548"/>
      <c r="AES10" s="1547">
        <f t="shared" ref="AES10" si="395">AEQ10</f>
        <v>95000</v>
      </c>
      <c r="AET10" s="1548"/>
      <c r="AEU10" s="1547">
        <f t="shared" ref="AEU10" si="396">AES10</f>
        <v>95000</v>
      </c>
      <c r="AEV10" s="1548"/>
      <c r="AEW10" s="1547">
        <f t="shared" ref="AEW10" si="397">AEU10</f>
        <v>95000</v>
      </c>
      <c r="AEX10" s="1548"/>
      <c r="AEY10" s="1547">
        <f t="shared" ref="AEY10" si="398">AEW10</f>
        <v>95000</v>
      </c>
      <c r="AEZ10" s="1548"/>
      <c r="AFA10" s="1547">
        <f t="shared" ref="AFA10" si="399">AEY10</f>
        <v>95000</v>
      </c>
      <c r="AFB10" s="1548"/>
      <c r="AFC10" s="1547">
        <f t="shared" ref="AFC10" si="400">AFA10</f>
        <v>95000</v>
      </c>
      <c r="AFD10" s="1548"/>
      <c r="AFE10" s="1547">
        <f t="shared" ref="AFE10" si="401">AFC10</f>
        <v>95000</v>
      </c>
      <c r="AFF10" s="1548"/>
      <c r="AFG10" s="1547">
        <f t="shared" ref="AFG10" si="402">AFE10</f>
        <v>95000</v>
      </c>
      <c r="AFH10" s="1548"/>
      <c r="AFI10" s="1547">
        <f t="shared" ref="AFI10" si="403">AFG10</f>
        <v>95000</v>
      </c>
      <c r="AFJ10" s="1548"/>
      <c r="AFK10" s="1547">
        <f t="shared" ref="AFK10" si="404">AFI10</f>
        <v>95000</v>
      </c>
      <c r="AFL10" s="1548"/>
      <c r="AFM10" s="1547">
        <f t="shared" ref="AFM10" si="405">AFK10</f>
        <v>95000</v>
      </c>
      <c r="AFN10" s="1548"/>
      <c r="AFO10" s="1547">
        <f t="shared" ref="AFO10" si="406">AFM10</f>
        <v>95000</v>
      </c>
      <c r="AFP10" s="1548"/>
      <c r="AFQ10" s="1547">
        <f t="shared" ref="AFQ10" si="407">AFO10</f>
        <v>95000</v>
      </c>
      <c r="AFR10" s="1548"/>
      <c r="AFS10" s="1547">
        <f t="shared" ref="AFS10" si="408">AFQ10</f>
        <v>95000</v>
      </c>
      <c r="AFT10" s="1548"/>
      <c r="AFU10" s="1547">
        <f t="shared" ref="AFU10" si="409">AFS10</f>
        <v>95000</v>
      </c>
      <c r="AFV10" s="1548"/>
      <c r="AFW10" s="1547">
        <f t="shared" ref="AFW10" si="410">AFU10</f>
        <v>95000</v>
      </c>
      <c r="AFX10" s="1548"/>
      <c r="AFY10" s="1547">
        <f t="shared" ref="AFY10" si="411">AFW10</f>
        <v>95000</v>
      </c>
      <c r="AFZ10" s="1548"/>
      <c r="AGA10" s="1547">
        <f t="shared" ref="AGA10" si="412">AFY10</f>
        <v>95000</v>
      </c>
      <c r="AGB10" s="1548"/>
      <c r="AGC10" s="1547">
        <f t="shared" ref="AGC10" si="413">AGA10</f>
        <v>95000</v>
      </c>
      <c r="AGD10" s="1548"/>
      <c r="AGE10" s="1547">
        <f t="shared" ref="AGE10" si="414">AGC10</f>
        <v>95000</v>
      </c>
      <c r="AGF10" s="1548"/>
      <c r="AGG10" s="1547">
        <f t="shared" ref="AGG10" si="415">AGE10</f>
        <v>95000</v>
      </c>
      <c r="AGH10" s="1548"/>
      <c r="AGI10" s="1547">
        <f t="shared" ref="AGI10" si="416">AGG10</f>
        <v>95000</v>
      </c>
      <c r="AGJ10" s="1548"/>
      <c r="AGK10" s="1547">
        <f t="shared" ref="AGK10" si="417">AGI10</f>
        <v>95000</v>
      </c>
      <c r="AGL10" s="1548"/>
      <c r="AGM10" s="1547">
        <f t="shared" ref="AGM10" si="418">AGK10</f>
        <v>95000</v>
      </c>
      <c r="AGN10" s="1548"/>
      <c r="AGO10" s="1547">
        <f t="shared" ref="AGO10" si="419">AGM10</f>
        <v>95000</v>
      </c>
      <c r="AGP10" s="1548"/>
      <c r="AGQ10" s="1547">
        <f t="shared" ref="AGQ10" si="420">AGO10</f>
        <v>95000</v>
      </c>
      <c r="AGR10" s="1548"/>
      <c r="AGS10" s="1547">
        <f t="shared" ref="AGS10" si="421">AGQ10</f>
        <v>95000</v>
      </c>
      <c r="AGT10" s="1548"/>
      <c r="AGU10" s="1547">
        <f t="shared" ref="AGU10" si="422">AGS10</f>
        <v>95000</v>
      </c>
      <c r="AGV10" s="1548"/>
      <c r="AGW10" s="1547">
        <f t="shared" ref="AGW10" si="423">AGU10</f>
        <v>95000</v>
      </c>
      <c r="AGX10" s="1548"/>
      <c r="AGY10" s="1547">
        <f t="shared" ref="AGY10" si="424">AGW10</f>
        <v>95000</v>
      </c>
      <c r="AGZ10" s="1548"/>
      <c r="AHA10" s="1547">
        <f t="shared" ref="AHA10" si="425">AGY10</f>
        <v>95000</v>
      </c>
      <c r="AHB10" s="1548"/>
      <c r="AHC10" s="1547">
        <f t="shared" ref="AHC10" si="426">AHA10</f>
        <v>95000</v>
      </c>
      <c r="AHD10" s="1548"/>
      <c r="AHE10" s="1547">
        <f t="shared" ref="AHE10" si="427">AHC10</f>
        <v>95000</v>
      </c>
      <c r="AHF10" s="1548"/>
      <c r="AHG10" s="1547">
        <f t="shared" ref="AHG10" si="428">AHE10</f>
        <v>95000</v>
      </c>
      <c r="AHH10" s="1548"/>
      <c r="AHI10" s="1547">
        <f t="shared" ref="AHI10" si="429">AHG10</f>
        <v>95000</v>
      </c>
      <c r="AHJ10" s="1548"/>
      <c r="AHK10" s="1547">
        <f t="shared" ref="AHK10" si="430">AHI10</f>
        <v>95000</v>
      </c>
      <c r="AHL10" s="1548"/>
      <c r="AHM10" s="1547">
        <f t="shared" ref="AHM10" si="431">AHK10</f>
        <v>95000</v>
      </c>
      <c r="AHN10" s="1548"/>
      <c r="AHO10" s="1547">
        <f t="shared" ref="AHO10" si="432">AHM10</f>
        <v>95000</v>
      </c>
      <c r="AHP10" s="1548"/>
      <c r="AHQ10" s="1547">
        <f t="shared" ref="AHQ10" si="433">AHO10</f>
        <v>95000</v>
      </c>
      <c r="AHR10" s="1548"/>
      <c r="AHS10" s="1547">
        <f t="shared" ref="AHS10" si="434">AHQ10</f>
        <v>95000</v>
      </c>
      <c r="AHT10" s="1548"/>
      <c r="AHU10" s="1547">
        <f t="shared" ref="AHU10" si="435">AHS10</f>
        <v>95000</v>
      </c>
      <c r="AHV10" s="1548"/>
      <c r="AHW10" s="1547">
        <f t="shared" ref="AHW10" si="436">AHU10</f>
        <v>95000</v>
      </c>
      <c r="AHX10" s="1548"/>
      <c r="AHY10" s="1547">
        <f t="shared" ref="AHY10" si="437">AHW10</f>
        <v>95000</v>
      </c>
      <c r="AHZ10" s="1548"/>
      <c r="AIA10" s="1547">
        <f t="shared" ref="AIA10" si="438">AHY10</f>
        <v>95000</v>
      </c>
      <c r="AIB10" s="1548"/>
      <c r="AIC10" s="1547">
        <f t="shared" ref="AIC10" si="439">AIA10</f>
        <v>95000</v>
      </c>
      <c r="AID10" s="1548"/>
      <c r="AIE10" s="1547">
        <f t="shared" ref="AIE10" si="440">AIC10</f>
        <v>95000</v>
      </c>
      <c r="AIF10" s="1548"/>
      <c r="AIG10" s="1547">
        <f t="shared" ref="AIG10" si="441">AIE10</f>
        <v>95000</v>
      </c>
      <c r="AIH10" s="1548"/>
      <c r="AII10" s="1547">
        <f t="shared" ref="AII10" si="442">AIG10</f>
        <v>95000</v>
      </c>
      <c r="AIJ10" s="1548"/>
      <c r="AIK10" s="1547">
        <f t="shared" ref="AIK10" si="443">AII10</f>
        <v>95000</v>
      </c>
      <c r="AIL10" s="1548"/>
      <c r="AIM10" s="1547">
        <f t="shared" ref="AIM10" si="444">AIK10</f>
        <v>95000</v>
      </c>
      <c r="AIN10" s="1548"/>
      <c r="AIO10" s="1547">
        <f t="shared" ref="AIO10" si="445">AIM10</f>
        <v>95000</v>
      </c>
      <c r="AIP10" s="1548"/>
      <c r="AIQ10" s="1547">
        <f t="shared" ref="AIQ10" si="446">AIO10</f>
        <v>95000</v>
      </c>
      <c r="AIR10" s="1548"/>
      <c r="AIS10" s="1547">
        <f t="shared" ref="AIS10" si="447">AIQ10</f>
        <v>95000</v>
      </c>
      <c r="AIT10" s="1548"/>
      <c r="AIU10" s="1547">
        <f t="shared" ref="AIU10" si="448">AIS10</f>
        <v>95000</v>
      </c>
      <c r="AIV10" s="1548"/>
      <c r="AIW10" s="1547">
        <f t="shared" ref="AIW10" si="449">AIU10</f>
        <v>95000</v>
      </c>
      <c r="AIX10" s="1548"/>
      <c r="AIY10" s="1547">
        <f t="shared" ref="AIY10" si="450">AIW10</f>
        <v>95000</v>
      </c>
      <c r="AIZ10" s="1548"/>
      <c r="AJA10" s="1547">
        <f t="shared" ref="AJA10" si="451">AIY10</f>
        <v>95000</v>
      </c>
      <c r="AJB10" s="1548"/>
      <c r="AJC10" s="1547">
        <f t="shared" ref="AJC10" si="452">AJA10</f>
        <v>95000</v>
      </c>
      <c r="AJD10" s="1548"/>
      <c r="AJE10" s="1547">
        <f t="shared" ref="AJE10" si="453">AJC10</f>
        <v>95000</v>
      </c>
      <c r="AJF10" s="1548"/>
      <c r="AJG10" s="1547">
        <f t="shared" ref="AJG10" si="454">AJE10</f>
        <v>95000</v>
      </c>
      <c r="AJH10" s="1548"/>
      <c r="AJI10" s="1547">
        <f t="shared" ref="AJI10" si="455">AJG10</f>
        <v>95000</v>
      </c>
      <c r="AJJ10" s="1548"/>
      <c r="AJK10" s="1547">
        <f t="shared" ref="AJK10" si="456">AJI10</f>
        <v>95000</v>
      </c>
      <c r="AJL10" s="1548"/>
      <c r="AJM10" s="1547">
        <f t="shared" ref="AJM10" si="457">AJK10</f>
        <v>95000</v>
      </c>
      <c r="AJN10" s="1548"/>
      <c r="AJO10" s="1547">
        <f t="shared" ref="AJO10" si="458">AJM10</f>
        <v>95000</v>
      </c>
      <c r="AJP10" s="1548"/>
      <c r="AJQ10" s="1547">
        <f t="shared" ref="AJQ10" si="459">AJO10</f>
        <v>95000</v>
      </c>
      <c r="AJR10" s="1548"/>
      <c r="AJS10" s="1547">
        <f t="shared" ref="AJS10" si="460">AJQ10</f>
        <v>95000</v>
      </c>
      <c r="AJT10" s="1548"/>
      <c r="AJU10" s="1547">
        <f t="shared" ref="AJU10" si="461">AJS10</f>
        <v>95000</v>
      </c>
      <c r="AJV10" s="1548"/>
      <c r="AJW10" s="1547">
        <f t="shared" ref="AJW10" si="462">AJU10</f>
        <v>95000</v>
      </c>
      <c r="AJX10" s="1548"/>
      <c r="AJY10" s="1547">
        <f t="shared" ref="AJY10" si="463">AJW10</f>
        <v>95000</v>
      </c>
      <c r="AJZ10" s="1548"/>
      <c r="AKA10" s="1547">
        <f t="shared" ref="AKA10" si="464">AJY10</f>
        <v>95000</v>
      </c>
      <c r="AKB10" s="1548"/>
      <c r="AKC10" s="1547">
        <f t="shared" ref="AKC10" si="465">AKA10</f>
        <v>95000</v>
      </c>
      <c r="AKD10" s="1548"/>
      <c r="AKE10" s="1547">
        <f t="shared" ref="AKE10" si="466">AKC10</f>
        <v>95000</v>
      </c>
      <c r="AKF10" s="1548"/>
      <c r="AKG10" s="1547">
        <f t="shared" ref="AKG10" si="467">AKE10</f>
        <v>95000</v>
      </c>
      <c r="AKH10" s="1548"/>
      <c r="AKI10" s="1547">
        <f t="shared" ref="AKI10" si="468">AKG10</f>
        <v>95000</v>
      </c>
      <c r="AKJ10" s="1548"/>
      <c r="AKK10" s="1547">
        <f t="shared" ref="AKK10" si="469">AKI10</f>
        <v>95000</v>
      </c>
      <c r="AKL10" s="1548"/>
      <c r="AKM10" s="1547">
        <f t="shared" ref="AKM10" si="470">AKK10</f>
        <v>95000</v>
      </c>
      <c r="AKN10" s="1548"/>
      <c r="AKO10" s="1547">
        <f t="shared" ref="AKO10" si="471">AKM10</f>
        <v>95000</v>
      </c>
      <c r="AKP10" s="1548"/>
      <c r="AKQ10" s="1547">
        <f t="shared" ref="AKQ10" si="472">AKO10</f>
        <v>95000</v>
      </c>
      <c r="AKR10" s="1548"/>
      <c r="AKS10" s="1547">
        <f t="shared" ref="AKS10" si="473">AKQ10</f>
        <v>95000</v>
      </c>
      <c r="AKT10" s="1548"/>
      <c r="AKU10" s="1547">
        <f t="shared" ref="AKU10" si="474">AKS10</f>
        <v>95000</v>
      </c>
      <c r="AKV10" s="1548"/>
      <c r="AKW10" s="1547">
        <f t="shared" ref="AKW10" si="475">AKU10</f>
        <v>95000</v>
      </c>
      <c r="AKX10" s="1548"/>
      <c r="AKY10" s="1547">
        <f t="shared" ref="AKY10" si="476">AKW10</f>
        <v>95000</v>
      </c>
      <c r="AKZ10" s="1548"/>
      <c r="ALA10" s="1547">
        <f t="shared" ref="ALA10" si="477">AKY10</f>
        <v>95000</v>
      </c>
      <c r="ALB10" s="1548"/>
      <c r="ALC10" s="1547">
        <f t="shared" ref="ALC10" si="478">ALA10</f>
        <v>95000</v>
      </c>
      <c r="ALD10" s="1548"/>
      <c r="ALE10" s="1547">
        <f t="shared" ref="ALE10" si="479">ALC10</f>
        <v>95000</v>
      </c>
      <c r="ALF10" s="1548"/>
      <c r="ALG10" s="1547">
        <f t="shared" ref="ALG10" si="480">ALE10</f>
        <v>95000</v>
      </c>
      <c r="ALH10" s="1548"/>
      <c r="ALI10" s="1547">
        <f t="shared" ref="ALI10" si="481">ALG10</f>
        <v>95000</v>
      </c>
      <c r="ALJ10" s="1548"/>
      <c r="ALK10" s="1547">
        <f t="shared" ref="ALK10" si="482">ALI10</f>
        <v>95000</v>
      </c>
      <c r="ALL10" s="1548"/>
      <c r="ALM10" s="1547">
        <f t="shared" ref="ALM10" si="483">ALK10</f>
        <v>95000</v>
      </c>
      <c r="ALN10" s="1548"/>
      <c r="ALO10" s="1547">
        <f t="shared" ref="ALO10" si="484">ALM10</f>
        <v>95000</v>
      </c>
      <c r="ALP10" s="1548"/>
      <c r="ALQ10" s="1547">
        <f t="shared" ref="ALQ10" si="485">ALO10</f>
        <v>95000</v>
      </c>
      <c r="ALR10" s="1548"/>
      <c r="ALS10" s="1547">
        <f t="shared" ref="ALS10" si="486">ALQ10</f>
        <v>95000</v>
      </c>
      <c r="ALT10" s="1548"/>
      <c r="ALU10" s="1547">
        <f t="shared" ref="ALU10" si="487">ALS10</f>
        <v>95000</v>
      </c>
      <c r="ALV10" s="1548"/>
      <c r="ALW10" s="1547">
        <f t="shared" ref="ALW10" si="488">ALU10</f>
        <v>95000</v>
      </c>
      <c r="ALX10" s="1548"/>
      <c r="ALY10" s="1547">
        <f t="shared" ref="ALY10" si="489">ALW10</f>
        <v>95000</v>
      </c>
      <c r="ALZ10" s="1548"/>
      <c r="AMA10" s="1547">
        <f t="shared" ref="AMA10" si="490">ALY10</f>
        <v>95000</v>
      </c>
      <c r="AMB10" s="1548"/>
      <c r="AMC10" s="1547">
        <f t="shared" ref="AMC10" si="491">AMA10</f>
        <v>95000</v>
      </c>
      <c r="AMD10" s="1548"/>
      <c r="AME10" s="1547">
        <f t="shared" ref="AME10" si="492">AMC10</f>
        <v>95000</v>
      </c>
      <c r="AMF10" s="1548"/>
      <c r="AMG10" s="1547">
        <f t="shared" ref="AMG10" si="493">AME10</f>
        <v>95000</v>
      </c>
      <c r="AMH10" s="1548"/>
      <c r="AMI10" s="1547">
        <f t="shared" ref="AMI10" si="494">AMG10</f>
        <v>95000</v>
      </c>
      <c r="AMJ10" s="1548"/>
      <c r="AMK10" s="1547">
        <f t="shared" ref="AMK10" si="495">AMI10</f>
        <v>95000</v>
      </c>
      <c r="AML10" s="1548"/>
      <c r="AMM10" s="1547">
        <f t="shared" ref="AMM10" si="496">AMK10</f>
        <v>95000</v>
      </c>
      <c r="AMN10" s="1548"/>
      <c r="AMO10" s="1547">
        <f t="shared" ref="AMO10" si="497">AMM10</f>
        <v>95000</v>
      </c>
      <c r="AMP10" s="1548"/>
      <c r="AMQ10" s="1547">
        <f t="shared" ref="AMQ10" si="498">AMO10</f>
        <v>95000</v>
      </c>
      <c r="AMR10" s="1548"/>
      <c r="AMS10" s="1547">
        <f t="shared" ref="AMS10" si="499">AMQ10</f>
        <v>95000</v>
      </c>
      <c r="AMT10" s="1548"/>
      <c r="AMU10" s="1547">
        <f t="shared" ref="AMU10" si="500">AMS10</f>
        <v>95000</v>
      </c>
      <c r="AMV10" s="1548"/>
      <c r="AMW10" s="1547">
        <f t="shared" ref="AMW10" si="501">AMU10</f>
        <v>95000</v>
      </c>
      <c r="AMX10" s="1548"/>
      <c r="AMY10" s="1547">
        <f t="shared" ref="AMY10" si="502">AMW10</f>
        <v>95000</v>
      </c>
      <c r="AMZ10" s="1548"/>
      <c r="ANA10" s="1547">
        <f t="shared" ref="ANA10" si="503">AMY10</f>
        <v>95000</v>
      </c>
      <c r="ANB10" s="1548"/>
      <c r="ANC10" s="1547">
        <f t="shared" ref="ANC10" si="504">ANA10</f>
        <v>95000</v>
      </c>
      <c r="AND10" s="1548"/>
      <c r="ANE10" s="1547">
        <f t="shared" ref="ANE10" si="505">ANC10</f>
        <v>95000</v>
      </c>
      <c r="ANF10" s="1548"/>
      <c r="ANG10" s="1547">
        <f t="shared" ref="ANG10" si="506">ANE10</f>
        <v>95000</v>
      </c>
      <c r="ANH10" s="1548"/>
      <c r="ANI10" s="1547">
        <f t="shared" ref="ANI10" si="507">ANG10</f>
        <v>95000</v>
      </c>
      <c r="ANJ10" s="1548"/>
      <c r="ANK10" s="1547">
        <f t="shared" ref="ANK10" si="508">ANI10</f>
        <v>95000</v>
      </c>
      <c r="ANL10" s="1548"/>
      <c r="ANM10" s="1547">
        <f t="shared" ref="ANM10" si="509">ANK10</f>
        <v>95000</v>
      </c>
      <c r="ANN10" s="1548"/>
      <c r="ANO10" s="1547">
        <f t="shared" ref="ANO10" si="510">ANM10</f>
        <v>95000</v>
      </c>
      <c r="ANP10" s="1548"/>
      <c r="ANQ10" s="1547">
        <f t="shared" ref="ANQ10" si="511">ANO10</f>
        <v>95000</v>
      </c>
      <c r="ANR10" s="1548"/>
      <c r="ANS10" s="1547">
        <f t="shared" ref="ANS10" si="512">ANQ10</f>
        <v>95000</v>
      </c>
      <c r="ANT10" s="1548"/>
      <c r="ANU10" s="1547">
        <f t="shared" ref="ANU10" si="513">ANS10</f>
        <v>95000</v>
      </c>
      <c r="ANV10" s="1548"/>
      <c r="ANW10" s="1547">
        <f t="shared" ref="ANW10" si="514">ANU10</f>
        <v>95000</v>
      </c>
      <c r="ANX10" s="1548"/>
      <c r="ANY10" s="1547">
        <f t="shared" ref="ANY10" si="515">ANW10</f>
        <v>95000</v>
      </c>
      <c r="ANZ10" s="1548"/>
      <c r="AOA10" s="1547">
        <f t="shared" ref="AOA10" si="516">ANY10</f>
        <v>95000</v>
      </c>
      <c r="AOB10" s="1548"/>
      <c r="AOC10" s="1547">
        <f t="shared" ref="AOC10" si="517">AOA10</f>
        <v>95000</v>
      </c>
      <c r="AOD10" s="1548"/>
      <c r="AOE10" s="1547">
        <f t="shared" ref="AOE10" si="518">AOC10</f>
        <v>95000</v>
      </c>
      <c r="AOF10" s="1548"/>
      <c r="AOG10" s="1547">
        <f t="shared" ref="AOG10" si="519">AOE10</f>
        <v>95000</v>
      </c>
      <c r="AOH10" s="1548"/>
      <c r="AOI10" s="1547">
        <f t="shared" ref="AOI10" si="520">AOG10</f>
        <v>95000</v>
      </c>
      <c r="AOJ10" s="1548"/>
      <c r="AOK10" s="1547">
        <f t="shared" ref="AOK10" si="521">AOI10</f>
        <v>95000</v>
      </c>
      <c r="AOL10" s="1548"/>
      <c r="AOM10" s="1547">
        <f t="shared" ref="AOM10" si="522">AOK10</f>
        <v>95000</v>
      </c>
      <c r="AON10" s="1548"/>
      <c r="AOO10" s="1547">
        <f t="shared" ref="AOO10" si="523">AOM10</f>
        <v>95000</v>
      </c>
      <c r="AOP10" s="1548"/>
      <c r="AOQ10" s="1547">
        <f t="shared" ref="AOQ10" si="524">AOO10</f>
        <v>95000</v>
      </c>
      <c r="AOR10" s="1548"/>
      <c r="AOS10" s="1547">
        <f t="shared" ref="AOS10" si="525">AOQ10</f>
        <v>95000</v>
      </c>
      <c r="AOT10" s="1548"/>
      <c r="AOU10" s="1547">
        <f t="shared" ref="AOU10" si="526">AOS10</f>
        <v>95000</v>
      </c>
      <c r="AOV10" s="1548"/>
      <c r="AOW10" s="1547">
        <f t="shared" ref="AOW10" si="527">AOU10</f>
        <v>95000</v>
      </c>
      <c r="AOX10" s="1548"/>
      <c r="AOY10" s="1547">
        <f t="shared" ref="AOY10" si="528">AOW10</f>
        <v>95000</v>
      </c>
      <c r="AOZ10" s="1548"/>
      <c r="APA10" s="1547">
        <f t="shared" ref="APA10" si="529">AOY10</f>
        <v>95000</v>
      </c>
      <c r="APB10" s="1548"/>
      <c r="APC10" s="1547">
        <f t="shared" ref="APC10" si="530">APA10</f>
        <v>95000</v>
      </c>
      <c r="APD10" s="1548"/>
      <c r="APE10" s="1547">
        <f t="shared" ref="APE10" si="531">APC10</f>
        <v>95000</v>
      </c>
      <c r="APF10" s="1548"/>
      <c r="APG10" s="1547">
        <f t="shared" ref="APG10" si="532">APE10</f>
        <v>95000</v>
      </c>
      <c r="APH10" s="1548"/>
      <c r="API10" s="1547">
        <f t="shared" ref="API10" si="533">APG10</f>
        <v>95000</v>
      </c>
      <c r="APJ10" s="1548"/>
      <c r="APK10" s="1547">
        <f t="shared" ref="APK10" si="534">API10</f>
        <v>95000</v>
      </c>
      <c r="APL10" s="1548"/>
      <c r="APM10" s="1547">
        <f t="shared" ref="APM10" si="535">APK10</f>
        <v>95000</v>
      </c>
      <c r="APN10" s="1548"/>
      <c r="APO10" s="1547">
        <f t="shared" ref="APO10" si="536">APM10</f>
        <v>95000</v>
      </c>
      <c r="APP10" s="1548"/>
      <c r="APQ10" s="1547">
        <f t="shared" ref="APQ10" si="537">APO10</f>
        <v>95000</v>
      </c>
      <c r="APR10" s="1548"/>
      <c r="APS10" s="1547">
        <f t="shared" ref="APS10" si="538">APQ10</f>
        <v>95000</v>
      </c>
      <c r="APT10" s="1548"/>
      <c r="APU10" s="1547">
        <f t="shared" ref="APU10" si="539">APS10</f>
        <v>95000</v>
      </c>
      <c r="APV10" s="1548"/>
      <c r="APW10" s="1547">
        <f t="shared" ref="APW10" si="540">APU10</f>
        <v>95000</v>
      </c>
      <c r="APX10" s="1548"/>
      <c r="APY10" s="1547">
        <f t="shared" ref="APY10" si="541">APW10</f>
        <v>95000</v>
      </c>
      <c r="APZ10" s="1548"/>
      <c r="AQA10" s="1547">
        <f t="shared" ref="AQA10" si="542">APY10</f>
        <v>95000</v>
      </c>
      <c r="AQB10" s="1548"/>
      <c r="AQC10" s="1547">
        <f t="shared" ref="AQC10" si="543">AQA10</f>
        <v>95000</v>
      </c>
      <c r="AQD10" s="1548"/>
      <c r="AQE10" s="1547">
        <f t="shared" ref="AQE10" si="544">AQC10</f>
        <v>95000</v>
      </c>
      <c r="AQF10" s="1548"/>
      <c r="AQG10" s="1547">
        <f t="shared" ref="AQG10" si="545">AQE10</f>
        <v>95000</v>
      </c>
      <c r="AQH10" s="1548"/>
      <c r="AQI10" s="1547">
        <f t="shared" ref="AQI10" si="546">AQG10</f>
        <v>95000</v>
      </c>
      <c r="AQJ10" s="1548"/>
      <c r="AQK10" s="1547">
        <f t="shared" ref="AQK10" si="547">AQI10</f>
        <v>95000</v>
      </c>
      <c r="AQL10" s="1548"/>
      <c r="AQM10" s="1547">
        <f t="shared" ref="AQM10" si="548">AQK10</f>
        <v>95000</v>
      </c>
      <c r="AQN10" s="1548"/>
      <c r="AQO10" s="1547">
        <f t="shared" ref="AQO10" si="549">AQM10</f>
        <v>95000</v>
      </c>
      <c r="AQP10" s="1548"/>
      <c r="AQQ10" s="1547">
        <f t="shared" ref="AQQ10" si="550">AQO10</f>
        <v>95000</v>
      </c>
      <c r="AQR10" s="1548"/>
      <c r="AQS10" s="1547">
        <f t="shared" ref="AQS10" si="551">AQQ10</f>
        <v>95000</v>
      </c>
      <c r="AQT10" s="1548"/>
      <c r="AQU10" s="1547">
        <f t="shared" ref="AQU10" si="552">AQS10</f>
        <v>95000</v>
      </c>
      <c r="AQV10" s="1548"/>
      <c r="AQW10" s="1547">
        <f t="shared" ref="AQW10" si="553">AQU10</f>
        <v>95000</v>
      </c>
      <c r="AQX10" s="1548"/>
      <c r="AQY10" s="1547">
        <f t="shared" ref="AQY10" si="554">AQW10</f>
        <v>95000</v>
      </c>
      <c r="AQZ10" s="1548"/>
      <c r="ARA10" s="1547">
        <f t="shared" ref="ARA10" si="555">AQY10</f>
        <v>95000</v>
      </c>
      <c r="ARB10" s="1548"/>
      <c r="ARC10" s="1547">
        <f t="shared" ref="ARC10" si="556">ARA10</f>
        <v>95000</v>
      </c>
      <c r="ARD10" s="1548"/>
      <c r="ARE10" s="1547">
        <f t="shared" ref="ARE10" si="557">ARC10</f>
        <v>95000</v>
      </c>
      <c r="ARF10" s="1548"/>
      <c r="ARG10" s="1547">
        <f t="shared" ref="ARG10" si="558">ARE10</f>
        <v>95000</v>
      </c>
      <c r="ARH10" s="1548"/>
      <c r="ARI10" s="1547">
        <f t="shared" ref="ARI10" si="559">ARG10</f>
        <v>95000</v>
      </c>
      <c r="ARJ10" s="1548"/>
      <c r="ARK10" s="1547">
        <f t="shared" ref="ARK10" si="560">ARI10</f>
        <v>95000</v>
      </c>
      <c r="ARL10" s="1548"/>
      <c r="ARM10" s="1547">
        <f t="shared" ref="ARM10" si="561">ARK10</f>
        <v>95000</v>
      </c>
      <c r="ARN10" s="1548"/>
      <c r="ARO10" s="1547">
        <f t="shared" ref="ARO10" si="562">ARM10</f>
        <v>95000</v>
      </c>
      <c r="ARP10" s="1548"/>
      <c r="ARQ10" s="1547">
        <f t="shared" ref="ARQ10" si="563">ARO10</f>
        <v>95000</v>
      </c>
      <c r="ARR10" s="1548"/>
      <c r="ARS10" s="1547">
        <f t="shared" ref="ARS10" si="564">ARQ10</f>
        <v>95000</v>
      </c>
      <c r="ART10" s="1548"/>
      <c r="ARU10" s="1547">
        <f t="shared" ref="ARU10" si="565">ARS10</f>
        <v>95000</v>
      </c>
      <c r="ARV10" s="1548"/>
      <c r="ARW10" s="1547">
        <f t="shared" ref="ARW10" si="566">ARU10</f>
        <v>95000</v>
      </c>
      <c r="ARX10" s="1548"/>
      <c r="ARY10" s="1547">
        <f t="shared" ref="ARY10" si="567">ARW10</f>
        <v>95000</v>
      </c>
      <c r="ARZ10" s="1548"/>
      <c r="ASA10" s="1547">
        <f t="shared" ref="ASA10" si="568">ARY10</f>
        <v>95000</v>
      </c>
      <c r="ASB10" s="1548"/>
      <c r="ASC10" s="1547">
        <f t="shared" ref="ASC10" si="569">ASA10</f>
        <v>95000</v>
      </c>
      <c r="ASD10" s="1548"/>
      <c r="ASE10" s="1547">
        <f t="shared" ref="ASE10" si="570">ASC10</f>
        <v>95000</v>
      </c>
      <c r="ASF10" s="1548"/>
      <c r="ASG10" s="1547">
        <f t="shared" ref="ASG10" si="571">ASE10</f>
        <v>95000</v>
      </c>
      <c r="ASH10" s="1548"/>
      <c r="ASI10" s="1547">
        <f t="shared" ref="ASI10" si="572">ASG10</f>
        <v>95000</v>
      </c>
      <c r="ASJ10" s="1548"/>
      <c r="ASK10" s="1547">
        <f t="shared" ref="ASK10" si="573">ASI10</f>
        <v>95000</v>
      </c>
      <c r="ASL10" s="1548"/>
      <c r="ASM10" s="1547">
        <f t="shared" ref="ASM10" si="574">ASK10</f>
        <v>95000</v>
      </c>
      <c r="ASN10" s="1548"/>
      <c r="ASO10" s="1547">
        <f t="shared" ref="ASO10" si="575">ASM10</f>
        <v>95000</v>
      </c>
      <c r="ASP10" s="1548"/>
      <c r="ASQ10" s="1547">
        <f t="shared" ref="ASQ10" si="576">ASO10</f>
        <v>95000</v>
      </c>
      <c r="ASR10" s="1548"/>
      <c r="ASS10" s="1547">
        <f t="shared" ref="ASS10" si="577">ASQ10</f>
        <v>95000</v>
      </c>
      <c r="AST10" s="1548"/>
      <c r="ASU10" s="1547">
        <f t="shared" ref="ASU10" si="578">ASS10</f>
        <v>95000</v>
      </c>
      <c r="ASV10" s="1548"/>
      <c r="ASW10" s="1547">
        <f t="shared" ref="ASW10" si="579">ASU10</f>
        <v>95000</v>
      </c>
      <c r="ASX10" s="1548"/>
      <c r="ASY10" s="1547">
        <f t="shared" ref="ASY10" si="580">ASW10</f>
        <v>95000</v>
      </c>
      <c r="ASZ10" s="1548"/>
      <c r="ATA10" s="1547">
        <f t="shared" ref="ATA10" si="581">ASY10</f>
        <v>95000</v>
      </c>
      <c r="ATB10" s="1548"/>
      <c r="ATC10" s="1547">
        <f t="shared" ref="ATC10" si="582">ATA10</f>
        <v>95000</v>
      </c>
      <c r="ATD10" s="1548"/>
      <c r="ATE10" s="1547">
        <f t="shared" ref="ATE10" si="583">ATC10</f>
        <v>95000</v>
      </c>
      <c r="ATF10" s="1548"/>
      <c r="ATG10" s="1547">
        <f t="shared" ref="ATG10" si="584">ATE10</f>
        <v>95000</v>
      </c>
      <c r="ATH10" s="1548"/>
      <c r="ATI10" s="1547">
        <f t="shared" ref="ATI10" si="585">ATG10</f>
        <v>95000</v>
      </c>
      <c r="ATJ10" s="1548"/>
      <c r="ATK10" s="1547">
        <f t="shared" ref="ATK10" si="586">ATI10</f>
        <v>95000</v>
      </c>
      <c r="ATL10" s="1548"/>
      <c r="ATM10" s="1547">
        <f t="shared" ref="ATM10" si="587">ATK10</f>
        <v>95000</v>
      </c>
      <c r="ATN10" s="1548"/>
      <c r="ATO10" s="1547">
        <f t="shared" ref="ATO10" si="588">ATM10</f>
        <v>95000</v>
      </c>
      <c r="ATP10" s="1548"/>
      <c r="ATQ10" s="1547">
        <f t="shared" ref="ATQ10" si="589">ATO10</f>
        <v>95000</v>
      </c>
      <c r="ATR10" s="1548"/>
      <c r="ATS10" s="1547">
        <f t="shared" ref="ATS10" si="590">ATQ10</f>
        <v>95000</v>
      </c>
      <c r="ATT10" s="1548"/>
      <c r="ATU10" s="1547">
        <f t="shared" ref="ATU10" si="591">ATS10</f>
        <v>95000</v>
      </c>
      <c r="ATV10" s="1548"/>
      <c r="ATW10" s="1547">
        <f t="shared" ref="ATW10" si="592">ATU10</f>
        <v>95000</v>
      </c>
      <c r="ATX10" s="1548"/>
      <c r="ATY10" s="1547">
        <f t="shared" ref="ATY10" si="593">ATW10</f>
        <v>95000</v>
      </c>
      <c r="ATZ10" s="1548"/>
      <c r="AUA10" s="1547">
        <f t="shared" ref="AUA10" si="594">ATY10</f>
        <v>95000</v>
      </c>
      <c r="AUB10" s="1548"/>
      <c r="AUC10" s="1547">
        <f t="shared" ref="AUC10" si="595">AUA10</f>
        <v>95000</v>
      </c>
      <c r="AUD10" s="1548"/>
      <c r="AUE10" s="1547">
        <f t="shared" ref="AUE10" si="596">AUC10</f>
        <v>95000</v>
      </c>
      <c r="AUF10" s="1548"/>
      <c r="AUG10" s="1547">
        <f t="shared" ref="AUG10" si="597">AUE10</f>
        <v>95000</v>
      </c>
      <c r="AUH10" s="1548"/>
      <c r="AUI10" s="1547">
        <f t="shared" ref="AUI10" si="598">AUG10</f>
        <v>95000</v>
      </c>
      <c r="AUJ10" s="1548"/>
      <c r="AUK10" s="1547">
        <f t="shared" ref="AUK10" si="599">AUI10</f>
        <v>95000</v>
      </c>
      <c r="AUL10" s="1548"/>
      <c r="AUM10" s="1547">
        <f t="shared" ref="AUM10" si="600">AUK10</f>
        <v>95000</v>
      </c>
      <c r="AUN10" s="1548"/>
      <c r="AUO10" s="1547">
        <f t="shared" ref="AUO10" si="601">AUM10</f>
        <v>95000</v>
      </c>
      <c r="AUP10" s="1548"/>
      <c r="AUQ10" s="1547">
        <f t="shared" ref="AUQ10" si="602">AUO10</f>
        <v>95000</v>
      </c>
      <c r="AUR10" s="1548"/>
      <c r="AUS10" s="1547">
        <f t="shared" ref="AUS10" si="603">AUQ10</f>
        <v>95000</v>
      </c>
      <c r="AUT10" s="1548"/>
      <c r="AUU10" s="1547">
        <f t="shared" ref="AUU10" si="604">AUS10</f>
        <v>95000</v>
      </c>
      <c r="AUV10" s="1548"/>
      <c r="AUW10" s="1547">
        <f t="shared" ref="AUW10" si="605">AUU10</f>
        <v>95000</v>
      </c>
      <c r="AUX10" s="1548"/>
      <c r="AUY10" s="1547">
        <f t="shared" ref="AUY10" si="606">AUW10</f>
        <v>95000</v>
      </c>
      <c r="AUZ10" s="1548"/>
      <c r="AVA10" s="1547">
        <f t="shared" ref="AVA10" si="607">AUY10</f>
        <v>95000</v>
      </c>
      <c r="AVB10" s="1548"/>
      <c r="AVC10" s="1547">
        <f t="shared" ref="AVC10" si="608">AVA10</f>
        <v>95000</v>
      </c>
      <c r="AVD10" s="1548"/>
      <c r="AVE10" s="1547">
        <f t="shared" ref="AVE10" si="609">AVC10</f>
        <v>95000</v>
      </c>
      <c r="AVF10" s="1548"/>
      <c r="AVG10" s="1547">
        <f t="shared" ref="AVG10" si="610">AVE10</f>
        <v>95000</v>
      </c>
      <c r="AVH10" s="1548"/>
      <c r="AVI10" s="1547">
        <f t="shared" ref="AVI10" si="611">AVG10</f>
        <v>95000</v>
      </c>
      <c r="AVJ10" s="1548"/>
      <c r="AVK10" s="1547">
        <f t="shared" ref="AVK10" si="612">AVI10</f>
        <v>95000</v>
      </c>
      <c r="AVL10" s="1548"/>
      <c r="AVM10" s="1547">
        <f t="shared" ref="AVM10" si="613">AVK10</f>
        <v>95000</v>
      </c>
      <c r="AVN10" s="1548"/>
      <c r="AVO10" s="1547">
        <f t="shared" ref="AVO10" si="614">AVM10</f>
        <v>95000</v>
      </c>
      <c r="AVP10" s="1548"/>
      <c r="AVQ10" s="1547">
        <f t="shared" ref="AVQ10" si="615">AVO10</f>
        <v>95000</v>
      </c>
      <c r="AVR10" s="1548"/>
      <c r="AVS10" s="1547">
        <f t="shared" ref="AVS10" si="616">AVQ10</f>
        <v>95000</v>
      </c>
      <c r="AVT10" s="1548"/>
      <c r="AVU10" s="1547">
        <f t="shared" ref="AVU10" si="617">AVS10</f>
        <v>95000</v>
      </c>
      <c r="AVV10" s="1548"/>
      <c r="AVW10" s="1547">
        <f t="shared" ref="AVW10" si="618">AVU10</f>
        <v>95000</v>
      </c>
      <c r="AVX10" s="1548"/>
      <c r="AVY10" s="1547">
        <f t="shared" ref="AVY10" si="619">AVW10</f>
        <v>95000</v>
      </c>
      <c r="AVZ10" s="1548"/>
      <c r="AWA10" s="1547">
        <f t="shared" ref="AWA10" si="620">AVY10</f>
        <v>95000</v>
      </c>
      <c r="AWB10" s="1548"/>
      <c r="AWC10" s="1547">
        <f t="shared" ref="AWC10" si="621">AWA10</f>
        <v>95000</v>
      </c>
      <c r="AWD10" s="1548"/>
      <c r="AWE10" s="1547">
        <f t="shared" ref="AWE10" si="622">AWC10</f>
        <v>95000</v>
      </c>
      <c r="AWF10" s="1548"/>
      <c r="AWG10" s="1547">
        <f t="shared" ref="AWG10" si="623">AWE10</f>
        <v>95000</v>
      </c>
      <c r="AWH10" s="1548"/>
      <c r="AWI10" s="1547">
        <f t="shared" ref="AWI10" si="624">AWG10</f>
        <v>95000</v>
      </c>
      <c r="AWJ10" s="1548"/>
      <c r="AWK10" s="1547">
        <f t="shared" ref="AWK10" si="625">AWI10</f>
        <v>95000</v>
      </c>
      <c r="AWL10" s="1548"/>
      <c r="AWM10" s="1547">
        <f t="shared" ref="AWM10" si="626">AWK10</f>
        <v>95000</v>
      </c>
      <c r="AWN10" s="1548"/>
      <c r="AWO10" s="1547">
        <f t="shared" ref="AWO10" si="627">AWM10</f>
        <v>95000</v>
      </c>
      <c r="AWP10" s="1548"/>
      <c r="AWQ10" s="1547">
        <f t="shared" ref="AWQ10" si="628">AWO10</f>
        <v>95000</v>
      </c>
      <c r="AWR10" s="1548"/>
      <c r="AWS10" s="1547">
        <f t="shared" ref="AWS10" si="629">AWQ10</f>
        <v>95000</v>
      </c>
      <c r="AWT10" s="1548"/>
      <c r="AWU10" s="1547">
        <f t="shared" ref="AWU10" si="630">AWS10</f>
        <v>95000</v>
      </c>
      <c r="AWV10" s="1548"/>
      <c r="AWW10" s="1547">
        <f t="shared" ref="AWW10" si="631">AWU10</f>
        <v>95000</v>
      </c>
      <c r="AWX10" s="1548"/>
      <c r="AWY10" s="1547">
        <f t="shared" ref="AWY10" si="632">AWW10</f>
        <v>95000</v>
      </c>
      <c r="AWZ10" s="1548"/>
      <c r="AXA10" s="1547">
        <f t="shared" ref="AXA10" si="633">AWY10</f>
        <v>95000</v>
      </c>
      <c r="AXB10" s="1548"/>
      <c r="AXC10" s="1547">
        <f t="shared" ref="AXC10" si="634">AXA10</f>
        <v>95000</v>
      </c>
      <c r="AXD10" s="1548"/>
      <c r="AXE10" s="1547">
        <f t="shared" ref="AXE10" si="635">AXC10</f>
        <v>95000</v>
      </c>
      <c r="AXF10" s="1548"/>
      <c r="AXG10" s="1547">
        <f t="shared" ref="AXG10" si="636">AXE10</f>
        <v>95000</v>
      </c>
      <c r="AXH10" s="1548"/>
      <c r="AXI10" s="1547">
        <f t="shared" ref="AXI10" si="637">AXG10</f>
        <v>95000</v>
      </c>
      <c r="AXJ10" s="1548"/>
      <c r="AXK10" s="1547">
        <f t="shared" ref="AXK10" si="638">AXI10</f>
        <v>95000</v>
      </c>
      <c r="AXL10" s="1548"/>
      <c r="AXM10" s="1547">
        <f t="shared" ref="AXM10" si="639">AXK10</f>
        <v>95000</v>
      </c>
      <c r="AXN10" s="1548"/>
      <c r="AXO10" s="1547">
        <f t="shared" ref="AXO10" si="640">AXM10</f>
        <v>95000</v>
      </c>
      <c r="AXP10" s="1548"/>
      <c r="AXQ10" s="1547">
        <f t="shared" ref="AXQ10" si="641">AXO10</f>
        <v>95000</v>
      </c>
      <c r="AXR10" s="1548"/>
      <c r="AXS10" s="1547">
        <f t="shared" ref="AXS10" si="642">AXQ10</f>
        <v>95000</v>
      </c>
      <c r="AXT10" s="1548"/>
      <c r="AXU10" s="1547">
        <f t="shared" ref="AXU10" si="643">AXS10</f>
        <v>95000</v>
      </c>
      <c r="AXV10" s="1548"/>
      <c r="AXW10" s="1547">
        <f t="shared" ref="AXW10" si="644">AXU10</f>
        <v>95000</v>
      </c>
      <c r="AXX10" s="1548"/>
      <c r="AXY10" s="1547">
        <f t="shared" ref="AXY10" si="645">AXW10</f>
        <v>95000</v>
      </c>
      <c r="AXZ10" s="1548"/>
      <c r="AYA10" s="1547">
        <f t="shared" ref="AYA10" si="646">AXY10</f>
        <v>95000</v>
      </c>
      <c r="AYB10" s="1548"/>
      <c r="AYC10" s="1547">
        <f t="shared" ref="AYC10" si="647">AYA10</f>
        <v>95000</v>
      </c>
      <c r="AYD10" s="1548"/>
      <c r="AYE10" s="1547">
        <f t="shared" ref="AYE10" si="648">AYC10</f>
        <v>95000</v>
      </c>
      <c r="AYF10" s="1548"/>
      <c r="AYG10" s="1547">
        <f t="shared" ref="AYG10" si="649">AYE10</f>
        <v>95000</v>
      </c>
      <c r="AYH10" s="1548"/>
      <c r="AYI10" s="1547">
        <f t="shared" ref="AYI10" si="650">AYG10</f>
        <v>95000</v>
      </c>
      <c r="AYJ10" s="1548"/>
      <c r="AYK10" s="1547">
        <f t="shared" ref="AYK10" si="651">AYI10</f>
        <v>95000</v>
      </c>
      <c r="AYL10" s="1548"/>
      <c r="AYM10" s="1547">
        <f t="shared" ref="AYM10" si="652">AYK10</f>
        <v>95000</v>
      </c>
      <c r="AYN10" s="1548"/>
      <c r="AYO10" s="1547">
        <f t="shared" ref="AYO10" si="653">AYM10</f>
        <v>95000</v>
      </c>
      <c r="AYP10" s="1548"/>
      <c r="AYQ10" s="1547">
        <f t="shared" ref="AYQ10" si="654">AYO10</f>
        <v>95000</v>
      </c>
      <c r="AYR10" s="1548"/>
      <c r="AYS10" s="1547">
        <f t="shared" ref="AYS10" si="655">AYQ10</f>
        <v>95000</v>
      </c>
      <c r="AYT10" s="1548"/>
      <c r="AYU10" s="1547">
        <f t="shared" ref="AYU10" si="656">AYS10</f>
        <v>95000</v>
      </c>
      <c r="AYV10" s="1548"/>
      <c r="AYW10" s="1547">
        <f t="shared" ref="AYW10" si="657">AYU10</f>
        <v>95000</v>
      </c>
      <c r="AYX10" s="1548"/>
      <c r="AYY10" s="1547">
        <f t="shared" ref="AYY10" si="658">AYW10</f>
        <v>95000</v>
      </c>
      <c r="AYZ10" s="1548"/>
      <c r="AZA10" s="1547">
        <f t="shared" ref="AZA10" si="659">AYY10</f>
        <v>95000</v>
      </c>
      <c r="AZB10" s="1548"/>
      <c r="AZC10" s="1547">
        <f t="shared" ref="AZC10" si="660">AZA10</f>
        <v>95000</v>
      </c>
      <c r="AZD10" s="1548"/>
      <c r="AZE10" s="1547">
        <f t="shared" ref="AZE10" si="661">AZC10</f>
        <v>95000</v>
      </c>
      <c r="AZF10" s="1548"/>
      <c r="AZG10" s="1547">
        <f t="shared" ref="AZG10" si="662">AZE10</f>
        <v>95000</v>
      </c>
      <c r="AZH10" s="1548"/>
      <c r="AZI10" s="1547">
        <f t="shared" ref="AZI10" si="663">AZG10</f>
        <v>95000</v>
      </c>
      <c r="AZJ10" s="1548"/>
      <c r="AZK10" s="1547">
        <f t="shared" ref="AZK10" si="664">AZI10</f>
        <v>95000</v>
      </c>
      <c r="AZL10" s="1548"/>
      <c r="AZM10" s="1547">
        <f t="shared" ref="AZM10" si="665">AZK10</f>
        <v>95000</v>
      </c>
      <c r="AZN10" s="1548"/>
      <c r="AZO10" s="1547">
        <f t="shared" ref="AZO10" si="666">AZM10</f>
        <v>95000</v>
      </c>
      <c r="AZP10" s="1548"/>
      <c r="AZQ10" s="1547">
        <f t="shared" ref="AZQ10" si="667">AZO10</f>
        <v>95000</v>
      </c>
      <c r="AZR10" s="1548"/>
      <c r="AZS10" s="1547">
        <f t="shared" ref="AZS10" si="668">AZQ10</f>
        <v>95000</v>
      </c>
      <c r="AZT10" s="1548"/>
      <c r="AZU10" s="1547">
        <f t="shared" ref="AZU10" si="669">AZS10</f>
        <v>95000</v>
      </c>
      <c r="AZV10" s="1548"/>
      <c r="AZW10" s="1547">
        <f t="shared" ref="AZW10" si="670">AZU10</f>
        <v>95000</v>
      </c>
      <c r="AZX10" s="1548"/>
      <c r="AZY10" s="1547">
        <f t="shared" ref="AZY10" si="671">AZW10</f>
        <v>95000</v>
      </c>
      <c r="AZZ10" s="1548"/>
      <c r="BAA10" s="1547">
        <f t="shared" ref="BAA10" si="672">AZY10</f>
        <v>95000</v>
      </c>
      <c r="BAB10" s="1548"/>
      <c r="BAC10" s="1547">
        <f t="shared" ref="BAC10" si="673">BAA10</f>
        <v>95000</v>
      </c>
      <c r="BAD10" s="1548"/>
      <c r="BAE10" s="1547">
        <f t="shared" ref="BAE10" si="674">BAC10</f>
        <v>95000</v>
      </c>
      <c r="BAF10" s="1548"/>
      <c r="BAG10" s="1547">
        <f t="shared" ref="BAG10" si="675">BAE10</f>
        <v>95000</v>
      </c>
      <c r="BAH10" s="1548"/>
      <c r="BAI10" s="1547">
        <f t="shared" ref="BAI10" si="676">BAG10</f>
        <v>95000</v>
      </c>
      <c r="BAJ10" s="1548"/>
      <c r="BAK10" s="1547">
        <f t="shared" ref="BAK10" si="677">BAI10</f>
        <v>95000</v>
      </c>
      <c r="BAL10" s="1548"/>
      <c r="BAM10" s="1547">
        <f t="shared" ref="BAM10" si="678">BAK10</f>
        <v>95000</v>
      </c>
      <c r="BAN10" s="1548"/>
      <c r="BAO10" s="1547">
        <f t="shared" ref="BAO10" si="679">BAM10</f>
        <v>95000</v>
      </c>
      <c r="BAP10" s="1548"/>
      <c r="BAQ10" s="1547">
        <f t="shared" ref="BAQ10" si="680">BAO10</f>
        <v>95000</v>
      </c>
      <c r="BAR10" s="1548"/>
      <c r="BAS10" s="1547">
        <f t="shared" ref="BAS10" si="681">BAQ10</f>
        <v>95000</v>
      </c>
      <c r="BAT10" s="1548"/>
      <c r="BAU10" s="1547">
        <f t="shared" ref="BAU10" si="682">BAS10</f>
        <v>95000</v>
      </c>
      <c r="BAV10" s="1548"/>
      <c r="BAW10" s="1547">
        <f t="shared" ref="BAW10" si="683">BAU10</f>
        <v>95000</v>
      </c>
      <c r="BAX10" s="1548"/>
      <c r="BAY10" s="1547">
        <f t="shared" ref="BAY10" si="684">BAW10</f>
        <v>95000</v>
      </c>
      <c r="BAZ10" s="1548"/>
      <c r="BBA10" s="1547">
        <f t="shared" ref="BBA10" si="685">BAY10</f>
        <v>95000</v>
      </c>
      <c r="BBB10" s="1548"/>
      <c r="BBC10" s="1547">
        <f t="shared" ref="BBC10" si="686">BBA10</f>
        <v>95000</v>
      </c>
      <c r="BBD10" s="1548"/>
      <c r="BBE10" s="1547">
        <f t="shared" ref="BBE10" si="687">BBC10</f>
        <v>95000</v>
      </c>
      <c r="BBF10" s="1548"/>
      <c r="BBG10" s="1547">
        <f t="shared" ref="BBG10" si="688">BBE10</f>
        <v>95000</v>
      </c>
      <c r="BBH10" s="1548"/>
      <c r="BBI10" s="1547">
        <f t="shared" ref="BBI10" si="689">BBG10</f>
        <v>95000</v>
      </c>
      <c r="BBJ10" s="1548"/>
      <c r="BBK10" s="1547">
        <f t="shared" ref="BBK10" si="690">BBI10</f>
        <v>95000</v>
      </c>
      <c r="BBL10" s="1548"/>
      <c r="BBM10" s="1547">
        <f t="shared" ref="BBM10" si="691">BBK10</f>
        <v>95000</v>
      </c>
      <c r="BBN10" s="1548"/>
      <c r="BBO10" s="1547">
        <f t="shared" ref="BBO10" si="692">BBM10</f>
        <v>95000</v>
      </c>
      <c r="BBP10" s="1548"/>
      <c r="BBQ10" s="1547">
        <f t="shared" ref="BBQ10" si="693">BBO10</f>
        <v>95000</v>
      </c>
      <c r="BBR10" s="1548"/>
      <c r="BBS10" s="1547">
        <f t="shared" ref="BBS10" si="694">BBQ10</f>
        <v>95000</v>
      </c>
      <c r="BBT10" s="1548"/>
      <c r="BBU10" s="1547">
        <f t="shared" ref="BBU10" si="695">BBS10</f>
        <v>95000</v>
      </c>
      <c r="BBV10" s="1548"/>
      <c r="BBW10" s="1547">
        <f t="shared" ref="BBW10" si="696">BBU10</f>
        <v>95000</v>
      </c>
      <c r="BBX10" s="1548"/>
      <c r="BBY10" s="1547">
        <f t="shared" ref="BBY10" si="697">BBW10</f>
        <v>95000</v>
      </c>
      <c r="BBZ10" s="1548"/>
      <c r="BCA10" s="1547">
        <f t="shared" ref="BCA10" si="698">BBY10</f>
        <v>95000</v>
      </c>
      <c r="BCB10" s="1548"/>
      <c r="BCC10" s="1547">
        <f t="shared" ref="BCC10" si="699">BCA10</f>
        <v>95000</v>
      </c>
      <c r="BCD10" s="1548"/>
      <c r="BCE10" s="1547">
        <f t="shared" ref="BCE10" si="700">BCC10</f>
        <v>95000</v>
      </c>
      <c r="BCF10" s="1548"/>
      <c r="BCG10" s="1547">
        <f t="shared" ref="BCG10" si="701">BCE10</f>
        <v>95000</v>
      </c>
      <c r="BCH10" s="1548"/>
      <c r="BCI10" s="1547">
        <f t="shared" ref="BCI10" si="702">BCG10</f>
        <v>95000</v>
      </c>
      <c r="BCJ10" s="1548"/>
      <c r="BCK10" s="1547">
        <f t="shared" ref="BCK10" si="703">BCI10</f>
        <v>95000</v>
      </c>
      <c r="BCL10" s="1548"/>
      <c r="BCM10" s="1547">
        <f t="shared" ref="BCM10" si="704">BCK10</f>
        <v>95000</v>
      </c>
      <c r="BCN10" s="1548"/>
      <c r="BCO10" s="1547">
        <f t="shared" ref="BCO10" si="705">BCM10</f>
        <v>95000</v>
      </c>
      <c r="BCP10" s="1548"/>
      <c r="BCQ10" s="1547">
        <f t="shared" ref="BCQ10" si="706">BCO10</f>
        <v>95000</v>
      </c>
      <c r="BCR10" s="1548"/>
      <c r="BCS10" s="1547">
        <f t="shared" ref="BCS10" si="707">BCQ10</f>
        <v>95000</v>
      </c>
      <c r="BCT10" s="1548"/>
      <c r="BCU10" s="1547">
        <f t="shared" ref="BCU10" si="708">BCS10</f>
        <v>95000</v>
      </c>
      <c r="BCV10" s="1548"/>
      <c r="BCW10" s="1547">
        <f t="shared" ref="BCW10" si="709">BCU10</f>
        <v>95000</v>
      </c>
      <c r="BCX10" s="1548"/>
      <c r="BCY10" s="1547">
        <f t="shared" ref="BCY10" si="710">BCW10</f>
        <v>95000</v>
      </c>
      <c r="BCZ10" s="1548"/>
      <c r="BDA10" s="1547">
        <f t="shared" ref="BDA10" si="711">BCY10</f>
        <v>95000</v>
      </c>
      <c r="BDB10" s="1548"/>
      <c r="BDC10" s="1547">
        <f t="shared" ref="BDC10" si="712">BDA10</f>
        <v>95000</v>
      </c>
      <c r="BDD10" s="1548"/>
      <c r="BDE10" s="1547">
        <f t="shared" ref="BDE10" si="713">BDC10</f>
        <v>95000</v>
      </c>
      <c r="BDF10" s="1548"/>
      <c r="BDG10" s="1547">
        <f t="shared" ref="BDG10" si="714">BDE10</f>
        <v>95000</v>
      </c>
      <c r="BDH10" s="1548"/>
      <c r="BDI10" s="1547">
        <f t="shared" ref="BDI10" si="715">BDG10</f>
        <v>95000</v>
      </c>
      <c r="BDJ10" s="1548"/>
      <c r="BDK10" s="1547">
        <f t="shared" ref="BDK10" si="716">BDI10</f>
        <v>95000</v>
      </c>
      <c r="BDL10" s="1548"/>
      <c r="BDM10" s="1547">
        <f t="shared" ref="BDM10" si="717">BDK10</f>
        <v>95000</v>
      </c>
      <c r="BDN10" s="1548"/>
      <c r="BDO10" s="1547">
        <f t="shared" ref="BDO10" si="718">BDM10</f>
        <v>95000</v>
      </c>
      <c r="BDP10" s="1548"/>
      <c r="BDQ10" s="1547">
        <f t="shared" ref="BDQ10" si="719">BDO10</f>
        <v>95000</v>
      </c>
      <c r="BDR10" s="1548"/>
      <c r="BDS10" s="1547">
        <f t="shared" ref="BDS10" si="720">BDQ10</f>
        <v>95000</v>
      </c>
      <c r="BDT10" s="1548"/>
      <c r="BDU10" s="1547">
        <f t="shared" ref="BDU10" si="721">BDS10</f>
        <v>95000</v>
      </c>
      <c r="BDV10" s="1548"/>
      <c r="BDW10" s="1547">
        <f t="shared" ref="BDW10" si="722">BDU10</f>
        <v>95000</v>
      </c>
      <c r="BDX10" s="1548"/>
      <c r="BDY10" s="1547">
        <f t="shared" ref="BDY10" si="723">BDW10</f>
        <v>95000</v>
      </c>
      <c r="BDZ10" s="1548"/>
      <c r="BEA10" s="1547">
        <f t="shared" ref="BEA10" si="724">BDY10</f>
        <v>95000</v>
      </c>
      <c r="BEB10" s="1548"/>
      <c r="BEC10" s="1547">
        <f t="shared" ref="BEC10" si="725">BEA10</f>
        <v>95000</v>
      </c>
      <c r="BED10" s="1548"/>
      <c r="BEE10" s="1547">
        <f t="shared" ref="BEE10" si="726">BEC10</f>
        <v>95000</v>
      </c>
      <c r="BEF10" s="1548"/>
      <c r="BEG10" s="1547">
        <f t="shared" ref="BEG10" si="727">BEE10</f>
        <v>95000</v>
      </c>
      <c r="BEH10" s="1548"/>
      <c r="BEI10" s="1547">
        <f t="shared" ref="BEI10" si="728">BEG10</f>
        <v>95000</v>
      </c>
      <c r="BEJ10" s="1548"/>
      <c r="BEK10" s="1547">
        <f t="shared" ref="BEK10" si="729">BEI10</f>
        <v>95000</v>
      </c>
      <c r="BEL10" s="1548"/>
      <c r="BEM10" s="1547">
        <f t="shared" ref="BEM10" si="730">BEK10</f>
        <v>95000</v>
      </c>
      <c r="BEN10" s="1548"/>
      <c r="BEO10" s="1547">
        <f t="shared" ref="BEO10" si="731">BEM10</f>
        <v>95000</v>
      </c>
      <c r="BEP10" s="1548"/>
      <c r="BEQ10" s="1547">
        <f t="shared" ref="BEQ10" si="732">BEO10</f>
        <v>95000</v>
      </c>
      <c r="BER10" s="1548"/>
      <c r="BES10" s="1547">
        <f t="shared" ref="BES10" si="733">BEQ10</f>
        <v>95000</v>
      </c>
      <c r="BET10" s="1548"/>
      <c r="BEU10" s="1547">
        <f t="shared" ref="BEU10" si="734">BES10</f>
        <v>95000</v>
      </c>
      <c r="BEV10" s="1548"/>
      <c r="BEW10" s="1547">
        <f t="shared" ref="BEW10" si="735">BEU10</f>
        <v>95000</v>
      </c>
      <c r="BEX10" s="1548"/>
      <c r="BEY10" s="1547">
        <f t="shared" ref="BEY10" si="736">BEW10</f>
        <v>95000</v>
      </c>
      <c r="BEZ10" s="1548"/>
      <c r="BFA10" s="1547">
        <f t="shared" ref="BFA10" si="737">BEY10</f>
        <v>95000</v>
      </c>
      <c r="BFB10" s="1548"/>
      <c r="BFC10" s="1547">
        <f t="shared" ref="BFC10" si="738">BFA10</f>
        <v>95000</v>
      </c>
      <c r="BFD10" s="1548"/>
      <c r="BFE10" s="1547">
        <f t="shared" ref="BFE10" si="739">BFC10</f>
        <v>95000</v>
      </c>
      <c r="BFF10" s="1548"/>
      <c r="BFG10" s="1547">
        <f t="shared" ref="BFG10" si="740">BFE10</f>
        <v>95000</v>
      </c>
      <c r="BFH10" s="1548"/>
      <c r="BFI10" s="1547">
        <f t="shared" ref="BFI10" si="741">BFG10</f>
        <v>95000</v>
      </c>
      <c r="BFJ10" s="1548"/>
      <c r="BFK10" s="1547">
        <f t="shared" ref="BFK10" si="742">BFI10</f>
        <v>95000</v>
      </c>
      <c r="BFL10" s="1548"/>
      <c r="BFM10" s="1547">
        <f t="shared" ref="BFM10" si="743">BFK10</f>
        <v>95000</v>
      </c>
      <c r="BFN10" s="1548"/>
      <c r="BFO10" s="1547">
        <f t="shared" ref="BFO10" si="744">BFM10</f>
        <v>95000</v>
      </c>
      <c r="BFP10" s="1548"/>
      <c r="BFQ10" s="1547">
        <f t="shared" ref="BFQ10" si="745">BFO10</f>
        <v>95000</v>
      </c>
      <c r="BFR10" s="1548"/>
      <c r="BFS10" s="1547">
        <f t="shared" ref="BFS10" si="746">BFQ10</f>
        <v>95000</v>
      </c>
      <c r="BFT10" s="1548"/>
      <c r="BFU10" s="1547">
        <f t="shared" ref="BFU10" si="747">BFS10</f>
        <v>95000</v>
      </c>
      <c r="BFV10" s="1548"/>
      <c r="BFW10" s="1547">
        <f t="shared" ref="BFW10" si="748">BFU10</f>
        <v>95000</v>
      </c>
      <c r="BFX10" s="1548"/>
      <c r="BFY10" s="1547">
        <f t="shared" ref="BFY10" si="749">BFW10</f>
        <v>95000</v>
      </c>
      <c r="BFZ10" s="1548"/>
      <c r="BGA10" s="1547">
        <f t="shared" ref="BGA10" si="750">BFY10</f>
        <v>95000</v>
      </c>
      <c r="BGB10" s="1548"/>
      <c r="BGC10" s="1547">
        <f t="shared" ref="BGC10" si="751">BGA10</f>
        <v>95000</v>
      </c>
      <c r="BGD10" s="1548"/>
      <c r="BGE10" s="1547">
        <f t="shared" ref="BGE10" si="752">BGC10</f>
        <v>95000</v>
      </c>
      <c r="BGF10" s="1548"/>
      <c r="BGG10" s="1547">
        <f t="shared" ref="BGG10" si="753">BGE10</f>
        <v>95000</v>
      </c>
      <c r="BGH10" s="1548"/>
      <c r="BGI10" s="1547">
        <f t="shared" ref="BGI10" si="754">BGG10</f>
        <v>95000</v>
      </c>
      <c r="BGJ10" s="1548"/>
      <c r="BGK10" s="1547">
        <f t="shared" ref="BGK10" si="755">BGI10</f>
        <v>95000</v>
      </c>
      <c r="BGL10" s="1548"/>
      <c r="BGM10" s="1547">
        <f t="shared" ref="BGM10" si="756">BGK10</f>
        <v>95000</v>
      </c>
      <c r="BGN10" s="1548"/>
      <c r="BGO10" s="1547">
        <f t="shared" ref="BGO10" si="757">BGM10</f>
        <v>95000</v>
      </c>
      <c r="BGP10" s="1548"/>
      <c r="BGQ10" s="1547">
        <f t="shared" ref="BGQ10" si="758">BGO10</f>
        <v>95000</v>
      </c>
      <c r="BGR10" s="1548"/>
      <c r="BGS10" s="1547">
        <f t="shared" ref="BGS10" si="759">BGQ10</f>
        <v>95000</v>
      </c>
      <c r="BGT10" s="1548"/>
      <c r="BGU10" s="1547">
        <f t="shared" ref="BGU10" si="760">BGS10</f>
        <v>95000</v>
      </c>
      <c r="BGV10" s="1548"/>
      <c r="BGW10" s="1547">
        <f t="shared" ref="BGW10" si="761">BGU10</f>
        <v>95000</v>
      </c>
      <c r="BGX10" s="1548"/>
      <c r="BGY10" s="1547">
        <f t="shared" ref="BGY10" si="762">BGW10</f>
        <v>95000</v>
      </c>
      <c r="BGZ10" s="1548"/>
      <c r="BHA10" s="1547">
        <f t="shared" ref="BHA10" si="763">BGY10</f>
        <v>95000</v>
      </c>
      <c r="BHB10" s="1548"/>
      <c r="BHC10" s="1547">
        <f t="shared" ref="BHC10" si="764">BHA10</f>
        <v>95000</v>
      </c>
      <c r="BHD10" s="1548"/>
      <c r="BHE10" s="1547">
        <f t="shared" ref="BHE10" si="765">BHC10</f>
        <v>95000</v>
      </c>
      <c r="BHF10" s="1548"/>
      <c r="BHG10" s="1547">
        <f t="shared" ref="BHG10" si="766">BHE10</f>
        <v>95000</v>
      </c>
      <c r="BHH10" s="1548"/>
      <c r="BHI10" s="1547">
        <f t="shared" ref="BHI10" si="767">BHG10</f>
        <v>95000</v>
      </c>
      <c r="BHJ10" s="1548"/>
      <c r="BHK10" s="1547">
        <f t="shared" ref="BHK10" si="768">BHI10</f>
        <v>95000</v>
      </c>
      <c r="BHL10" s="1548"/>
      <c r="BHM10" s="1547">
        <f t="shared" ref="BHM10" si="769">BHK10</f>
        <v>95000</v>
      </c>
      <c r="BHN10" s="1548"/>
      <c r="BHO10" s="1547">
        <f t="shared" ref="BHO10" si="770">BHM10</f>
        <v>95000</v>
      </c>
      <c r="BHP10" s="1548"/>
      <c r="BHQ10" s="1547">
        <f t="shared" ref="BHQ10" si="771">BHO10</f>
        <v>95000</v>
      </c>
      <c r="BHR10" s="1548"/>
      <c r="BHS10" s="1547">
        <f t="shared" ref="BHS10" si="772">BHQ10</f>
        <v>95000</v>
      </c>
      <c r="BHT10" s="1548"/>
      <c r="BHU10" s="1547">
        <f t="shared" ref="BHU10" si="773">BHS10</f>
        <v>95000</v>
      </c>
      <c r="BHV10" s="1548"/>
      <c r="BHW10" s="1547">
        <f t="shared" ref="BHW10" si="774">BHU10</f>
        <v>95000</v>
      </c>
      <c r="BHX10" s="1548"/>
      <c r="BHY10" s="1547">
        <f t="shared" ref="BHY10" si="775">BHW10</f>
        <v>95000</v>
      </c>
      <c r="BHZ10" s="1548"/>
      <c r="BIA10" s="1547">
        <f t="shared" ref="BIA10" si="776">BHY10</f>
        <v>95000</v>
      </c>
      <c r="BIB10" s="1548"/>
      <c r="BIC10" s="1547">
        <f t="shared" ref="BIC10" si="777">BIA10</f>
        <v>95000</v>
      </c>
      <c r="BID10" s="1548"/>
      <c r="BIE10" s="1547">
        <f t="shared" ref="BIE10" si="778">BIC10</f>
        <v>95000</v>
      </c>
      <c r="BIF10" s="1548"/>
      <c r="BIG10" s="1547">
        <f t="shared" ref="BIG10" si="779">BIE10</f>
        <v>95000</v>
      </c>
      <c r="BIH10" s="1548"/>
      <c r="BII10" s="1547">
        <f t="shared" ref="BII10" si="780">BIG10</f>
        <v>95000</v>
      </c>
      <c r="BIJ10" s="1548"/>
      <c r="BIK10" s="1547">
        <f t="shared" ref="BIK10" si="781">BII10</f>
        <v>95000</v>
      </c>
      <c r="BIL10" s="1548"/>
      <c r="BIM10" s="1547">
        <f t="shared" ref="BIM10" si="782">BIK10</f>
        <v>95000</v>
      </c>
      <c r="BIN10" s="1548"/>
      <c r="BIO10" s="1547">
        <f t="shared" ref="BIO10" si="783">BIM10</f>
        <v>95000</v>
      </c>
      <c r="BIP10" s="1548"/>
      <c r="BIQ10" s="1547">
        <f t="shared" ref="BIQ10" si="784">BIO10</f>
        <v>95000</v>
      </c>
      <c r="BIR10" s="1548"/>
      <c r="BIS10" s="1547">
        <f t="shared" ref="BIS10" si="785">BIQ10</f>
        <v>95000</v>
      </c>
      <c r="BIT10" s="1548"/>
      <c r="BIU10" s="1547">
        <f t="shared" ref="BIU10" si="786">BIS10</f>
        <v>95000</v>
      </c>
      <c r="BIV10" s="1548"/>
      <c r="BIW10" s="1547">
        <f t="shared" ref="BIW10" si="787">BIU10</f>
        <v>95000</v>
      </c>
      <c r="BIX10" s="1548"/>
      <c r="BIY10" s="1547">
        <f t="shared" ref="BIY10" si="788">BIW10</f>
        <v>95000</v>
      </c>
      <c r="BIZ10" s="1548"/>
      <c r="BJA10" s="1547">
        <f t="shared" ref="BJA10" si="789">BIY10</f>
        <v>95000</v>
      </c>
      <c r="BJB10" s="1548"/>
      <c r="BJC10" s="1547">
        <f t="shared" ref="BJC10" si="790">BJA10</f>
        <v>95000</v>
      </c>
      <c r="BJD10" s="1548"/>
      <c r="BJE10" s="1547">
        <f t="shared" ref="BJE10" si="791">BJC10</f>
        <v>95000</v>
      </c>
      <c r="BJF10" s="1548"/>
      <c r="BJG10" s="1547">
        <f t="shared" ref="BJG10" si="792">BJE10</f>
        <v>95000</v>
      </c>
      <c r="BJH10" s="1548"/>
      <c r="BJI10" s="1547">
        <f t="shared" ref="BJI10" si="793">BJG10</f>
        <v>95000</v>
      </c>
      <c r="BJJ10" s="1548"/>
      <c r="BJK10" s="1547">
        <f t="shared" ref="BJK10" si="794">BJI10</f>
        <v>95000</v>
      </c>
      <c r="BJL10" s="1548"/>
      <c r="BJM10" s="1547">
        <f t="shared" ref="BJM10" si="795">BJK10</f>
        <v>95000</v>
      </c>
      <c r="BJN10" s="1548"/>
      <c r="BJO10" s="1547">
        <f t="shared" ref="BJO10" si="796">BJM10</f>
        <v>95000</v>
      </c>
      <c r="BJP10" s="1548"/>
      <c r="BJQ10" s="1547">
        <f t="shared" ref="BJQ10" si="797">BJO10</f>
        <v>95000</v>
      </c>
      <c r="BJR10" s="1548"/>
      <c r="BJS10" s="1547">
        <f t="shared" ref="BJS10" si="798">BJQ10</f>
        <v>95000</v>
      </c>
      <c r="BJT10" s="1548"/>
      <c r="BJU10" s="1547">
        <f t="shared" ref="BJU10" si="799">BJS10</f>
        <v>95000</v>
      </c>
      <c r="BJV10" s="1548"/>
      <c r="BJW10" s="1547">
        <f t="shared" ref="BJW10" si="800">BJU10</f>
        <v>95000</v>
      </c>
      <c r="BJX10" s="1548"/>
      <c r="BJY10" s="1547">
        <f t="shared" ref="BJY10" si="801">BJW10</f>
        <v>95000</v>
      </c>
      <c r="BJZ10" s="1548"/>
      <c r="BKA10" s="1547">
        <f t="shared" ref="BKA10" si="802">BJY10</f>
        <v>95000</v>
      </c>
      <c r="BKB10" s="1548"/>
      <c r="BKC10" s="1547">
        <f t="shared" ref="BKC10" si="803">BKA10</f>
        <v>95000</v>
      </c>
      <c r="BKD10" s="1548"/>
      <c r="BKE10" s="1547">
        <f t="shared" ref="BKE10" si="804">BKC10</f>
        <v>95000</v>
      </c>
      <c r="BKF10" s="1548"/>
      <c r="BKG10" s="1547">
        <f t="shared" ref="BKG10" si="805">BKE10</f>
        <v>95000</v>
      </c>
      <c r="BKH10" s="1548"/>
      <c r="BKI10" s="1547">
        <f t="shared" ref="BKI10" si="806">BKG10</f>
        <v>95000</v>
      </c>
      <c r="BKJ10" s="1548"/>
      <c r="BKK10" s="1547">
        <f t="shared" ref="BKK10" si="807">BKI10</f>
        <v>95000</v>
      </c>
      <c r="BKL10" s="1548"/>
      <c r="BKM10" s="1547">
        <f t="shared" ref="BKM10" si="808">BKK10</f>
        <v>95000</v>
      </c>
      <c r="BKN10" s="1548"/>
      <c r="BKO10" s="1547">
        <f t="shared" ref="BKO10" si="809">BKM10</f>
        <v>95000</v>
      </c>
      <c r="BKP10" s="1548"/>
      <c r="BKQ10" s="1547">
        <f t="shared" ref="BKQ10" si="810">BKO10</f>
        <v>95000</v>
      </c>
      <c r="BKR10" s="1548"/>
      <c r="BKS10" s="1547">
        <f t="shared" ref="BKS10" si="811">BKQ10</f>
        <v>95000</v>
      </c>
      <c r="BKT10" s="1548"/>
      <c r="BKU10" s="1547">
        <f t="shared" ref="BKU10" si="812">BKS10</f>
        <v>95000</v>
      </c>
      <c r="BKV10" s="1548"/>
      <c r="BKW10" s="1547">
        <f t="shared" ref="BKW10" si="813">BKU10</f>
        <v>95000</v>
      </c>
      <c r="BKX10" s="1548"/>
      <c r="BKY10" s="1547">
        <f t="shared" ref="BKY10" si="814">BKW10</f>
        <v>95000</v>
      </c>
      <c r="BKZ10" s="1548"/>
      <c r="BLA10" s="1547">
        <f t="shared" ref="BLA10" si="815">BKY10</f>
        <v>95000</v>
      </c>
      <c r="BLB10" s="1548"/>
      <c r="BLC10" s="1547">
        <f t="shared" ref="BLC10" si="816">BLA10</f>
        <v>95000</v>
      </c>
      <c r="BLD10" s="1548"/>
      <c r="BLE10" s="1547">
        <f t="shared" ref="BLE10" si="817">BLC10</f>
        <v>95000</v>
      </c>
      <c r="BLF10" s="1548"/>
      <c r="BLG10" s="1547">
        <f t="shared" ref="BLG10" si="818">BLE10</f>
        <v>95000</v>
      </c>
      <c r="BLH10" s="1548"/>
      <c r="BLI10" s="1547">
        <f t="shared" ref="BLI10" si="819">BLG10</f>
        <v>95000</v>
      </c>
      <c r="BLJ10" s="1548"/>
      <c r="BLK10" s="1547">
        <f t="shared" ref="BLK10" si="820">BLI10</f>
        <v>95000</v>
      </c>
      <c r="BLL10" s="1548"/>
      <c r="BLM10" s="1547">
        <f t="shared" ref="BLM10" si="821">BLK10</f>
        <v>95000</v>
      </c>
      <c r="BLN10" s="1548"/>
      <c r="BLO10" s="1547">
        <f t="shared" ref="BLO10" si="822">BLM10</f>
        <v>95000</v>
      </c>
      <c r="BLP10" s="1548"/>
      <c r="BLQ10" s="1547">
        <f t="shared" ref="BLQ10" si="823">BLO10</f>
        <v>95000</v>
      </c>
      <c r="BLR10" s="1548"/>
      <c r="BLS10" s="1547">
        <f t="shared" ref="BLS10" si="824">BLQ10</f>
        <v>95000</v>
      </c>
      <c r="BLT10" s="1548"/>
      <c r="BLU10" s="1547">
        <f t="shared" ref="BLU10" si="825">BLS10</f>
        <v>95000</v>
      </c>
      <c r="BLV10" s="1548"/>
      <c r="BLW10" s="1547">
        <f t="shared" ref="BLW10" si="826">BLU10</f>
        <v>95000</v>
      </c>
      <c r="BLX10" s="1548"/>
      <c r="BLY10" s="1547">
        <f t="shared" ref="BLY10" si="827">BLW10</f>
        <v>95000</v>
      </c>
      <c r="BLZ10" s="1548"/>
      <c r="BMA10" s="1547">
        <f t="shared" ref="BMA10" si="828">BLY10</f>
        <v>95000</v>
      </c>
      <c r="BMB10" s="1548"/>
      <c r="BMC10" s="1547">
        <f t="shared" ref="BMC10" si="829">BMA10</f>
        <v>95000</v>
      </c>
      <c r="BMD10" s="1548"/>
      <c r="BME10" s="1547">
        <f t="shared" ref="BME10" si="830">BMC10</f>
        <v>95000</v>
      </c>
      <c r="BMF10" s="1548"/>
      <c r="BMG10" s="1547">
        <f t="shared" ref="BMG10" si="831">BME10</f>
        <v>95000</v>
      </c>
      <c r="BMH10" s="1548"/>
      <c r="BMI10" s="1547">
        <f t="shared" ref="BMI10" si="832">BMG10</f>
        <v>95000</v>
      </c>
      <c r="BMJ10" s="1548"/>
      <c r="BMK10" s="1547">
        <f t="shared" ref="BMK10" si="833">BMI10</f>
        <v>95000</v>
      </c>
      <c r="BML10" s="1548"/>
      <c r="BMM10" s="1547">
        <f t="shared" ref="BMM10" si="834">BMK10</f>
        <v>95000</v>
      </c>
      <c r="BMN10" s="1548"/>
      <c r="BMO10" s="1547">
        <f t="shared" ref="BMO10" si="835">BMM10</f>
        <v>95000</v>
      </c>
      <c r="BMP10" s="1548"/>
      <c r="BMQ10" s="1547">
        <f t="shared" ref="BMQ10" si="836">BMO10</f>
        <v>95000</v>
      </c>
      <c r="BMR10" s="1548"/>
      <c r="BMS10" s="1547">
        <f t="shared" ref="BMS10" si="837">BMQ10</f>
        <v>95000</v>
      </c>
      <c r="BMT10" s="1548"/>
      <c r="BMU10" s="1547">
        <f t="shared" ref="BMU10" si="838">BMS10</f>
        <v>95000</v>
      </c>
      <c r="BMV10" s="1548"/>
      <c r="BMW10" s="1547">
        <f t="shared" ref="BMW10" si="839">BMU10</f>
        <v>95000</v>
      </c>
      <c r="BMX10" s="1548"/>
      <c r="BMY10" s="1547">
        <f t="shared" ref="BMY10" si="840">BMW10</f>
        <v>95000</v>
      </c>
      <c r="BMZ10" s="1548"/>
      <c r="BNA10" s="1547">
        <f t="shared" ref="BNA10" si="841">BMY10</f>
        <v>95000</v>
      </c>
      <c r="BNB10" s="1548"/>
      <c r="BNC10" s="1547">
        <f t="shared" ref="BNC10" si="842">BNA10</f>
        <v>95000</v>
      </c>
      <c r="BND10" s="1548"/>
      <c r="BNE10" s="1547">
        <f t="shared" ref="BNE10" si="843">BNC10</f>
        <v>95000</v>
      </c>
      <c r="BNF10" s="1548"/>
      <c r="BNG10" s="1547">
        <f t="shared" ref="BNG10" si="844">BNE10</f>
        <v>95000</v>
      </c>
      <c r="BNH10" s="1548"/>
      <c r="BNI10" s="1547">
        <f t="shared" ref="BNI10" si="845">BNG10</f>
        <v>95000</v>
      </c>
      <c r="BNJ10" s="1548"/>
      <c r="BNK10" s="1547">
        <f t="shared" ref="BNK10" si="846">BNI10</f>
        <v>95000</v>
      </c>
      <c r="BNL10" s="1548"/>
      <c r="BNM10" s="1547">
        <f t="shared" ref="BNM10" si="847">BNK10</f>
        <v>95000</v>
      </c>
      <c r="BNN10" s="1548"/>
      <c r="BNO10" s="1547">
        <f t="shared" ref="BNO10" si="848">BNM10</f>
        <v>95000</v>
      </c>
      <c r="BNP10" s="1548"/>
      <c r="BNQ10" s="1547">
        <f t="shared" ref="BNQ10" si="849">BNO10</f>
        <v>95000</v>
      </c>
      <c r="BNR10" s="1548"/>
      <c r="BNS10" s="1547">
        <f t="shared" ref="BNS10" si="850">BNQ10</f>
        <v>95000</v>
      </c>
      <c r="BNT10" s="1548"/>
      <c r="BNU10" s="1547">
        <f t="shared" ref="BNU10" si="851">BNS10</f>
        <v>95000</v>
      </c>
      <c r="BNV10" s="1548"/>
      <c r="BNW10" s="1547">
        <f t="shared" ref="BNW10" si="852">BNU10</f>
        <v>95000</v>
      </c>
      <c r="BNX10" s="1548"/>
      <c r="BNY10" s="1547">
        <f t="shared" ref="BNY10" si="853">BNW10</f>
        <v>95000</v>
      </c>
      <c r="BNZ10" s="1548"/>
      <c r="BOA10" s="1547">
        <f t="shared" ref="BOA10" si="854">BNY10</f>
        <v>95000</v>
      </c>
      <c r="BOB10" s="1548"/>
      <c r="BOC10" s="1547">
        <f t="shared" ref="BOC10" si="855">BOA10</f>
        <v>95000</v>
      </c>
      <c r="BOD10" s="1548"/>
      <c r="BOE10" s="1547">
        <f t="shared" ref="BOE10" si="856">BOC10</f>
        <v>95000</v>
      </c>
      <c r="BOF10" s="1548"/>
      <c r="BOG10" s="1547">
        <f t="shared" ref="BOG10" si="857">BOE10</f>
        <v>95000</v>
      </c>
      <c r="BOH10" s="1548"/>
      <c r="BOI10" s="1547">
        <f t="shared" ref="BOI10" si="858">BOG10</f>
        <v>95000</v>
      </c>
      <c r="BOJ10" s="1548"/>
      <c r="BOK10" s="1547">
        <f t="shared" ref="BOK10" si="859">BOI10</f>
        <v>95000</v>
      </c>
      <c r="BOL10" s="1548"/>
      <c r="BOM10" s="1547">
        <f t="shared" ref="BOM10" si="860">BOK10</f>
        <v>95000</v>
      </c>
      <c r="BON10" s="1548"/>
      <c r="BOO10" s="1547">
        <f t="shared" ref="BOO10" si="861">BOM10</f>
        <v>95000</v>
      </c>
      <c r="BOP10" s="1548"/>
      <c r="BOQ10" s="1547">
        <f t="shared" ref="BOQ10" si="862">BOO10</f>
        <v>95000</v>
      </c>
      <c r="BOR10" s="1548"/>
      <c r="BOS10" s="1547">
        <f t="shared" ref="BOS10" si="863">BOQ10</f>
        <v>95000</v>
      </c>
      <c r="BOT10" s="1548"/>
      <c r="BOU10" s="1547">
        <f t="shared" ref="BOU10" si="864">BOS10</f>
        <v>95000</v>
      </c>
      <c r="BOV10" s="1548"/>
      <c r="BOW10" s="1547">
        <f t="shared" ref="BOW10" si="865">BOU10</f>
        <v>95000</v>
      </c>
      <c r="BOX10" s="1548"/>
      <c r="BOY10" s="1547">
        <f t="shared" ref="BOY10" si="866">BOW10</f>
        <v>95000</v>
      </c>
      <c r="BOZ10" s="1548"/>
      <c r="BPA10" s="1547">
        <f t="shared" ref="BPA10" si="867">BOY10</f>
        <v>95000</v>
      </c>
      <c r="BPB10" s="1548"/>
      <c r="BPC10" s="1547">
        <f t="shared" ref="BPC10" si="868">BPA10</f>
        <v>95000</v>
      </c>
      <c r="BPD10" s="1548"/>
      <c r="BPE10" s="1547">
        <f t="shared" ref="BPE10" si="869">BPC10</f>
        <v>95000</v>
      </c>
      <c r="BPF10" s="1548"/>
      <c r="BPG10" s="1547">
        <f t="shared" ref="BPG10" si="870">BPE10</f>
        <v>95000</v>
      </c>
      <c r="BPH10" s="1548"/>
      <c r="BPI10" s="1547">
        <f t="shared" ref="BPI10" si="871">BPG10</f>
        <v>95000</v>
      </c>
      <c r="BPJ10" s="1548"/>
      <c r="BPK10" s="1547">
        <f t="shared" ref="BPK10" si="872">BPI10</f>
        <v>95000</v>
      </c>
      <c r="BPL10" s="1548"/>
      <c r="BPM10" s="1547">
        <f t="shared" ref="BPM10" si="873">BPK10</f>
        <v>95000</v>
      </c>
      <c r="BPN10" s="1548"/>
      <c r="BPO10" s="1547">
        <f t="shared" ref="BPO10" si="874">BPM10</f>
        <v>95000</v>
      </c>
      <c r="BPP10" s="1548"/>
      <c r="BPQ10" s="1547">
        <f t="shared" ref="BPQ10" si="875">BPO10</f>
        <v>95000</v>
      </c>
      <c r="BPR10" s="1548"/>
      <c r="BPS10" s="1547">
        <f t="shared" ref="BPS10" si="876">BPQ10</f>
        <v>95000</v>
      </c>
      <c r="BPT10" s="1548"/>
      <c r="BPU10" s="1547">
        <f t="shared" ref="BPU10" si="877">BPS10</f>
        <v>95000</v>
      </c>
      <c r="BPV10" s="1548"/>
      <c r="BPW10" s="1547">
        <f t="shared" ref="BPW10" si="878">BPU10</f>
        <v>95000</v>
      </c>
      <c r="BPX10" s="1548"/>
      <c r="BPY10" s="1547">
        <f t="shared" ref="BPY10" si="879">BPW10</f>
        <v>95000</v>
      </c>
      <c r="BPZ10" s="1548"/>
      <c r="BQA10" s="1547">
        <f t="shared" ref="BQA10" si="880">BPY10</f>
        <v>95000</v>
      </c>
      <c r="BQB10" s="1548"/>
      <c r="BQC10" s="1547">
        <f t="shared" ref="BQC10" si="881">BQA10</f>
        <v>95000</v>
      </c>
      <c r="BQD10" s="1548"/>
      <c r="BQE10" s="1547">
        <f t="shared" ref="BQE10" si="882">BQC10</f>
        <v>95000</v>
      </c>
      <c r="BQF10" s="1548"/>
      <c r="BQG10" s="1547">
        <f t="shared" ref="BQG10" si="883">BQE10</f>
        <v>95000</v>
      </c>
      <c r="BQH10" s="1548"/>
      <c r="BQI10" s="1547">
        <f t="shared" ref="BQI10" si="884">BQG10</f>
        <v>95000</v>
      </c>
      <c r="BQJ10" s="1548"/>
      <c r="BQK10" s="1547">
        <f t="shared" ref="BQK10" si="885">BQI10</f>
        <v>95000</v>
      </c>
      <c r="BQL10" s="1548"/>
      <c r="BQM10" s="1547">
        <f t="shared" ref="BQM10" si="886">BQK10</f>
        <v>95000</v>
      </c>
      <c r="BQN10" s="1548"/>
      <c r="BQO10" s="1547">
        <f t="shared" ref="BQO10" si="887">BQM10</f>
        <v>95000</v>
      </c>
      <c r="BQP10" s="1548"/>
      <c r="BQQ10" s="1547">
        <f t="shared" ref="BQQ10" si="888">BQO10</f>
        <v>95000</v>
      </c>
      <c r="BQR10" s="1548"/>
      <c r="BQS10" s="1547">
        <f t="shared" ref="BQS10" si="889">BQQ10</f>
        <v>95000</v>
      </c>
      <c r="BQT10" s="1548"/>
      <c r="BQU10" s="1547">
        <f t="shared" ref="BQU10" si="890">BQS10</f>
        <v>95000</v>
      </c>
      <c r="BQV10" s="1548"/>
      <c r="BQW10" s="1547">
        <f t="shared" ref="BQW10" si="891">BQU10</f>
        <v>95000</v>
      </c>
      <c r="BQX10" s="1548"/>
      <c r="BQY10" s="1547">
        <f t="shared" ref="BQY10" si="892">BQW10</f>
        <v>95000</v>
      </c>
      <c r="BQZ10" s="1548"/>
      <c r="BRA10" s="1547">
        <f t="shared" ref="BRA10" si="893">BQY10</f>
        <v>95000</v>
      </c>
      <c r="BRB10" s="1548"/>
      <c r="BRC10" s="1547">
        <f t="shared" ref="BRC10" si="894">BRA10</f>
        <v>95000</v>
      </c>
      <c r="BRD10" s="1548"/>
      <c r="BRE10" s="1547">
        <f t="shared" ref="BRE10" si="895">BRC10</f>
        <v>95000</v>
      </c>
      <c r="BRF10" s="1548"/>
      <c r="BRG10" s="1547">
        <f t="shared" ref="BRG10" si="896">BRE10</f>
        <v>95000</v>
      </c>
      <c r="BRH10" s="1548"/>
      <c r="BRI10" s="1547">
        <f t="shared" ref="BRI10" si="897">BRG10</f>
        <v>95000</v>
      </c>
      <c r="BRJ10" s="1548"/>
      <c r="BRK10" s="1547">
        <f t="shared" ref="BRK10" si="898">BRI10</f>
        <v>95000</v>
      </c>
      <c r="BRL10" s="1548"/>
      <c r="BRM10" s="1547">
        <f t="shared" ref="BRM10" si="899">BRK10</f>
        <v>95000</v>
      </c>
      <c r="BRN10" s="1548"/>
      <c r="BRO10" s="1547">
        <f t="shared" ref="BRO10" si="900">BRM10</f>
        <v>95000</v>
      </c>
      <c r="BRP10" s="1548"/>
      <c r="BRQ10" s="1547">
        <f t="shared" ref="BRQ10" si="901">BRO10</f>
        <v>95000</v>
      </c>
      <c r="BRR10" s="1548"/>
      <c r="BRS10" s="1547">
        <f t="shared" ref="BRS10" si="902">BRQ10</f>
        <v>95000</v>
      </c>
      <c r="BRT10" s="1548"/>
      <c r="BRU10" s="1547">
        <f t="shared" ref="BRU10" si="903">BRS10</f>
        <v>95000</v>
      </c>
      <c r="BRV10" s="1548"/>
      <c r="BRW10" s="1547">
        <f t="shared" ref="BRW10" si="904">BRU10</f>
        <v>95000</v>
      </c>
      <c r="BRX10" s="1548"/>
      <c r="BRY10" s="1547">
        <f t="shared" ref="BRY10" si="905">BRW10</f>
        <v>95000</v>
      </c>
      <c r="BRZ10" s="1548"/>
      <c r="BSA10" s="1547">
        <f t="shared" ref="BSA10" si="906">BRY10</f>
        <v>95000</v>
      </c>
      <c r="BSB10" s="1548"/>
      <c r="BSC10" s="1547">
        <f t="shared" ref="BSC10" si="907">BSA10</f>
        <v>95000</v>
      </c>
      <c r="BSD10" s="1548"/>
      <c r="BSE10" s="1547">
        <f t="shared" ref="BSE10" si="908">BSC10</f>
        <v>95000</v>
      </c>
      <c r="BSF10" s="1548"/>
      <c r="BSG10" s="1547">
        <f t="shared" ref="BSG10" si="909">BSE10</f>
        <v>95000</v>
      </c>
      <c r="BSH10" s="1548"/>
      <c r="BSI10" s="1547">
        <f t="shared" ref="BSI10" si="910">BSG10</f>
        <v>95000</v>
      </c>
      <c r="BSJ10" s="1548"/>
      <c r="BSK10" s="1547">
        <f t="shared" ref="BSK10" si="911">BSI10</f>
        <v>95000</v>
      </c>
      <c r="BSL10" s="1548"/>
      <c r="BSM10" s="1547">
        <f t="shared" ref="BSM10" si="912">BSK10</f>
        <v>95000</v>
      </c>
      <c r="BSN10" s="1548"/>
      <c r="BSO10" s="1547">
        <f t="shared" ref="BSO10" si="913">BSM10</f>
        <v>95000</v>
      </c>
      <c r="BSP10" s="1548"/>
      <c r="BSQ10" s="1547">
        <f t="shared" ref="BSQ10" si="914">BSO10</f>
        <v>95000</v>
      </c>
      <c r="BSR10" s="1548"/>
      <c r="BSS10" s="1547">
        <f t="shared" ref="BSS10" si="915">BSQ10</f>
        <v>95000</v>
      </c>
      <c r="BST10" s="1548"/>
      <c r="BSU10" s="1547">
        <f t="shared" ref="BSU10" si="916">BSS10</f>
        <v>95000</v>
      </c>
      <c r="BSV10" s="1548"/>
      <c r="BSW10" s="1547">
        <f t="shared" ref="BSW10" si="917">BSU10</f>
        <v>95000</v>
      </c>
      <c r="BSX10" s="1548"/>
      <c r="BSY10" s="1547">
        <f t="shared" ref="BSY10" si="918">BSW10</f>
        <v>95000</v>
      </c>
      <c r="BSZ10" s="1548"/>
      <c r="BTA10" s="1547">
        <f t="shared" ref="BTA10" si="919">BSY10</f>
        <v>95000</v>
      </c>
      <c r="BTB10" s="1548"/>
      <c r="BTC10" s="1547">
        <f t="shared" ref="BTC10" si="920">BTA10</f>
        <v>95000</v>
      </c>
      <c r="BTD10" s="1548"/>
      <c r="BTE10" s="1547">
        <f t="shared" ref="BTE10" si="921">BTC10</f>
        <v>95000</v>
      </c>
      <c r="BTF10" s="1548"/>
      <c r="BTG10" s="1547">
        <f t="shared" ref="BTG10" si="922">BTE10</f>
        <v>95000</v>
      </c>
      <c r="BTH10" s="1548"/>
      <c r="BTI10" s="1547">
        <f t="shared" ref="BTI10" si="923">BTG10</f>
        <v>95000</v>
      </c>
      <c r="BTJ10" s="1548"/>
      <c r="BTK10" s="1547">
        <f t="shared" ref="BTK10" si="924">BTI10</f>
        <v>95000</v>
      </c>
      <c r="BTL10" s="1548"/>
      <c r="BTM10" s="1547">
        <f t="shared" ref="BTM10" si="925">BTK10</f>
        <v>95000</v>
      </c>
      <c r="BTN10" s="1548"/>
      <c r="BTO10" s="1547">
        <f t="shared" ref="BTO10" si="926">BTM10</f>
        <v>95000</v>
      </c>
      <c r="BTP10" s="1548"/>
      <c r="BTQ10" s="1547">
        <f t="shared" ref="BTQ10" si="927">BTO10</f>
        <v>95000</v>
      </c>
      <c r="BTR10" s="1548"/>
      <c r="BTS10" s="1547">
        <f t="shared" ref="BTS10" si="928">BTQ10</f>
        <v>95000</v>
      </c>
      <c r="BTT10" s="1548"/>
      <c r="BTU10" s="1547">
        <f t="shared" ref="BTU10" si="929">BTS10</f>
        <v>95000</v>
      </c>
      <c r="BTV10" s="1548"/>
      <c r="BTW10" s="1547">
        <f t="shared" ref="BTW10" si="930">BTU10</f>
        <v>95000</v>
      </c>
      <c r="BTX10" s="1548"/>
      <c r="BTY10" s="1547">
        <f t="shared" ref="BTY10" si="931">BTW10</f>
        <v>95000</v>
      </c>
      <c r="BTZ10" s="1548"/>
      <c r="BUA10" s="1547">
        <f t="shared" ref="BUA10" si="932">BTY10</f>
        <v>95000</v>
      </c>
      <c r="BUB10" s="1548"/>
      <c r="BUC10" s="1547">
        <f t="shared" ref="BUC10" si="933">BUA10</f>
        <v>95000</v>
      </c>
      <c r="BUD10" s="1548"/>
      <c r="BUE10" s="1547">
        <f t="shared" ref="BUE10" si="934">BUC10</f>
        <v>95000</v>
      </c>
      <c r="BUF10" s="1548"/>
      <c r="BUG10" s="1547">
        <f t="shared" ref="BUG10" si="935">BUE10</f>
        <v>95000</v>
      </c>
      <c r="BUH10" s="1548"/>
      <c r="BUI10" s="1547">
        <f t="shared" ref="BUI10" si="936">BUG10</f>
        <v>95000</v>
      </c>
      <c r="BUJ10" s="1548"/>
      <c r="BUK10" s="1547">
        <f t="shared" ref="BUK10" si="937">BUI10</f>
        <v>95000</v>
      </c>
      <c r="BUL10" s="1548"/>
      <c r="BUM10" s="1547">
        <f t="shared" ref="BUM10" si="938">BUK10</f>
        <v>95000</v>
      </c>
      <c r="BUN10" s="1548"/>
      <c r="BUO10" s="1547">
        <f t="shared" ref="BUO10" si="939">BUM10</f>
        <v>95000</v>
      </c>
      <c r="BUP10" s="1548"/>
      <c r="BUQ10" s="1547">
        <f t="shared" ref="BUQ10" si="940">BUO10</f>
        <v>95000</v>
      </c>
      <c r="BUR10" s="1548"/>
      <c r="BUS10" s="1547">
        <f t="shared" ref="BUS10" si="941">BUQ10</f>
        <v>95000</v>
      </c>
      <c r="BUT10" s="1548"/>
      <c r="BUU10" s="1547">
        <f t="shared" ref="BUU10" si="942">BUS10</f>
        <v>95000</v>
      </c>
      <c r="BUV10" s="1548"/>
      <c r="BUW10" s="1547">
        <f t="shared" ref="BUW10" si="943">BUU10</f>
        <v>95000</v>
      </c>
      <c r="BUX10" s="1548"/>
      <c r="BUY10" s="1547">
        <f t="shared" ref="BUY10" si="944">BUW10</f>
        <v>95000</v>
      </c>
      <c r="BUZ10" s="1548"/>
      <c r="BVA10" s="1547">
        <f t="shared" ref="BVA10" si="945">BUY10</f>
        <v>95000</v>
      </c>
      <c r="BVB10" s="1548"/>
      <c r="BVC10" s="1547">
        <f t="shared" ref="BVC10" si="946">BVA10</f>
        <v>95000</v>
      </c>
      <c r="BVD10" s="1548"/>
      <c r="BVE10" s="1547">
        <f t="shared" ref="BVE10" si="947">BVC10</f>
        <v>95000</v>
      </c>
      <c r="BVF10" s="1548"/>
      <c r="BVG10" s="1547">
        <f t="shared" ref="BVG10" si="948">BVE10</f>
        <v>95000</v>
      </c>
      <c r="BVH10" s="1548"/>
      <c r="BVI10" s="1547">
        <f t="shared" ref="BVI10" si="949">BVG10</f>
        <v>95000</v>
      </c>
      <c r="BVJ10" s="1548"/>
      <c r="BVK10" s="1547">
        <f t="shared" ref="BVK10" si="950">BVI10</f>
        <v>95000</v>
      </c>
      <c r="BVL10" s="1548"/>
      <c r="BVM10" s="1547">
        <f t="shared" ref="BVM10" si="951">BVK10</f>
        <v>95000</v>
      </c>
      <c r="BVN10" s="1548"/>
      <c r="BVO10" s="1547">
        <f t="shared" ref="BVO10" si="952">BVM10</f>
        <v>95000</v>
      </c>
      <c r="BVP10" s="1548"/>
      <c r="BVQ10" s="1547">
        <f t="shared" ref="BVQ10" si="953">BVO10</f>
        <v>95000</v>
      </c>
      <c r="BVR10" s="1548"/>
      <c r="BVS10" s="1547">
        <f t="shared" ref="BVS10" si="954">BVQ10</f>
        <v>95000</v>
      </c>
      <c r="BVT10" s="1548"/>
      <c r="BVU10" s="1547">
        <f t="shared" ref="BVU10" si="955">BVS10</f>
        <v>95000</v>
      </c>
      <c r="BVV10" s="1548"/>
      <c r="BVW10" s="1547">
        <f t="shared" ref="BVW10" si="956">BVU10</f>
        <v>95000</v>
      </c>
      <c r="BVX10" s="1548"/>
      <c r="BVY10" s="1547">
        <f t="shared" ref="BVY10" si="957">BVW10</f>
        <v>95000</v>
      </c>
      <c r="BVZ10" s="1548"/>
      <c r="BWA10" s="1547">
        <f t="shared" ref="BWA10" si="958">BVY10</f>
        <v>95000</v>
      </c>
      <c r="BWB10" s="1548"/>
      <c r="BWC10" s="1547">
        <f t="shared" ref="BWC10" si="959">BWA10</f>
        <v>95000</v>
      </c>
      <c r="BWD10" s="1548"/>
      <c r="BWE10" s="1547">
        <f t="shared" ref="BWE10" si="960">BWC10</f>
        <v>95000</v>
      </c>
      <c r="BWF10" s="1548"/>
      <c r="BWG10" s="1547">
        <f t="shared" ref="BWG10" si="961">BWE10</f>
        <v>95000</v>
      </c>
      <c r="BWH10" s="1548"/>
      <c r="BWI10" s="1547">
        <f t="shared" ref="BWI10" si="962">BWG10</f>
        <v>95000</v>
      </c>
      <c r="BWJ10" s="1548"/>
      <c r="BWK10" s="1547">
        <f t="shared" ref="BWK10" si="963">BWI10</f>
        <v>95000</v>
      </c>
      <c r="BWL10" s="1548"/>
      <c r="BWM10" s="1547">
        <f t="shared" ref="BWM10" si="964">BWK10</f>
        <v>95000</v>
      </c>
      <c r="BWN10" s="1548"/>
      <c r="BWO10" s="1547">
        <f t="shared" ref="BWO10" si="965">BWM10</f>
        <v>95000</v>
      </c>
      <c r="BWP10" s="1548"/>
      <c r="BWQ10" s="1547">
        <f t="shared" ref="BWQ10" si="966">BWO10</f>
        <v>95000</v>
      </c>
      <c r="BWR10" s="1548"/>
      <c r="BWS10" s="1547">
        <f t="shared" ref="BWS10" si="967">BWQ10</f>
        <v>95000</v>
      </c>
      <c r="BWT10" s="1548"/>
      <c r="BWU10" s="1547">
        <f t="shared" ref="BWU10" si="968">BWS10</f>
        <v>95000</v>
      </c>
      <c r="BWV10" s="1548"/>
      <c r="BWW10" s="1547">
        <f t="shared" ref="BWW10" si="969">BWU10</f>
        <v>95000</v>
      </c>
      <c r="BWX10" s="1548"/>
      <c r="BWY10" s="1547">
        <f t="shared" ref="BWY10" si="970">BWW10</f>
        <v>95000</v>
      </c>
      <c r="BWZ10" s="1548"/>
      <c r="BXA10" s="1547">
        <f t="shared" ref="BXA10" si="971">BWY10</f>
        <v>95000</v>
      </c>
      <c r="BXB10" s="1548"/>
      <c r="BXC10" s="1547">
        <f t="shared" ref="BXC10" si="972">BXA10</f>
        <v>95000</v>
      </c>
      <c r="BXD10" s="1548"/>
      <c r="BXE10" s="1547">
        <f t="shared" ref="BXE10" si="973">BXC10</f>
        <v>95000</v>
      </c>
      <c r="BXF10" s="1548"/>
      <c r="BXG10" s="1547">
        <f t="shared" ref="BXG10" si="974">BXE10</f>
        <v>95000</v>
      </c>
      <c r="BXH10" s="1548"/>
      <c r="BXI10" s="1547">
        <f t="shared" ref="BXI10" si="975">BXG10</f>
        <v>95000</v>
      </c>
      <c r="BXJ10" s="1548"/>
      <c r="BXK10" s="1547">
        <f t="shared" ref="BXK10" si="976">BXI10</f>
        <v>95000</v>
      </c>
      <c r="BXL10" s="1548"/>
      <c r="BXM10" s="1547">
        <f t="shared" ref="BXM10" si="977">BXK10</f>
        <v>95000</v>
      </c>
      <c r="BXN10" s="1548"/>
      <c r="BXO10" s="1547">
        <f t="shared" ref="BXO10" si="978">BXM10</f>
        <v>95000</v>
      </c>
      <c r="BXP10" s="1548"/>
      <c r="BXQ10" s="1547">
        <f t="shared" ref="BXQ10" si="979">BXO10</f>
        <v>95000</v>
      </c>
      <c r="BXR10" s="1548"/>
      <c r="BXS10" s="1547">
        <f t="shared" ref="BXS10" si="980">BXQ10</f>
        <v>95000</v>
      </c>
      <c r="BXT10" s="1548"/>
      <c r="BXU10" s="1547">
        <f t="shared" ref="BXU10" si="981">BXS10</f>
        <v>95000</v>
      </c>
      <c r="BXV10" s="1548"/>
      <c r="BXW10" s="1547">
        <f t="shared" ref="BXW10" si="982">BXU10</f>
        <v>95000</v>
      </c>
      <c r="BXX10" s="1548"/>
      <c r="BXY10" s="1547">
        <f t="shared" ref="BXY10" si="983">BXW10</f>
        <v>95000</v>
      </c>
      <c r="BXZ10" s="1548"/>
      <c r="BYA10" s="1547">
        <f t="shared" ref="BYA10" si="984">BXY10</f>
        <v>95000</v>
      </c>
      <c r="BYB10" s="1548"/>
      <c r="BYC10" s="1547">
        <f t="shared" ref="BYC10" si="985">BYA10</f>
        <v>95000</v>
      </c>
      <c r="BYD10" s="1548"/>
      <c r="BYE10" s="1547">
        <f t="shared" ref="BYE10" si="986">BYC10</f>
        <v>95000</v>
      </c>
      <c r="BYF10" s="1548"/>
      <c r="BYG10" s="1547">
        <f t="shared" ref="BYG10" si="987">BYE10</f>
        <v>95000</v>
      </c>
      <c r="BYH10" s="1548"/>
      <c r="BYI10" s="1547">
        <f t="shared" ref="BYI10" si="988">BYG10</f>
        <v>95000</v>
      </c>
      <c r="BYJ10" s="1548"/>
      <c r="BYK10" s="1547">
        <f t="shared" ref="BYK10" si="989">BYI10</f>
        <v>95000</v>
      </c>
      <c r="BYL10" s="1548"/>
      <c r="BYM10" s="1547">
        <f t="shared" ref="BYM10" si="990">BYK10</f>
        <v>95000</v>
      </c>
      <c r="BYN10" s="1548"/>
      <c r="BYO10" s="1547">
        <f t="shared" ref="BYO10" si="991">BYM10</f>
        <v>95000</v>
      </c>
      <c r="BYP10" s="1548"/>
      <c r="BYQ10" s="1547">
        <f t="shared" ref="BYQ10" si="992">BYO10</f>
        <v>95000</v>
      </c>
      <c r="BYR10" s="1548"/>
      <c r="BYS10" s="1547">
        <f t="shared" ref="BYS10" si="993">BYQ10</f>
        <v>95000</v>
      </c>
      <c r="BYT10" s="1548"/>
      <c r="BYU10" s="1547">
        <f t="shared" ref="BYU10" si="994">BYS10</f>
        <v>95000</v>
      </c>
      <c r="BYV10" s="1548"/>
      <c r="BYW10" s="1547">
        <f t="shared" ref="BYW10" si="995">BYU10</f>
        <v>95000</v>
      </c>
      <c r="BYX10" s="1548"/>
      <c r="BYY10" s="1547">
        <f t="shared" ref="BYY10" si="996">BYW10</f>
        <v>95000</v>
      </c>
      <c r="BYZ10" s="1548"/>
      <c r="BZA10" s="1547">
        <f t="shared" ref="BZA10" si="997">BYY10</f>
        <v>95000</v>
      </c>
      <c r="BZB10" s="1548"/>
      <c r="BZC10" s="1547">
        <f t="shared" ref="BZC10" si="998">BZA10</f>
        <v>95000</v>
      </c>
      <c r="BZD10" s="1548"/>
      <c r="BZE10" s="1547">
        <f t="shared" ref="BZE10" si="999">BZC10</f>
        <v>95000</v>
      </c>
      <c r="BZF10" s="1548"/>
      <c r="BZG10" s="1547">
        <f t="shared" ref="BZG10" si="1000">BZE10</f>
        <v>95000</v>
      </c>
      <c r="BZH10" s="1548"/>
      <c r="BZI10" s="1547">
        <f t="shared" ref="BZI10" si="1001">BZG10</f>
        <v>95000</v>
      </c>
      <c r="BZJ10" s="1548"/>
      <c r="BZK10" s="1547">
        <f t="shared" ref="BZK10" si="1002">BZI10</f>
        <v>95000</v>
      </c>
      <c r="BZL10" s="1548"/>
      <c r="BZM10" s="1547">
        <f t="shared" ref="BZM10" si="1003">BZK10</f>
        <v>95000</v>
      </c>
      <c r="BZN10" s="1548"/>
      <c r="BZO10" s="1547">
        <f t="shared" ref="BZO10" si="1004">BZM10</f>
        <v>95000</v>
      </c>
      <c r="BZP10" s="1548"/>
      <c r="BZQ10" s="1547">
        <f t="shared" ref="BZQ10" si="1005">BZO10</f>
        <v>95000</v>
      </c>
      <c r="BZR10" s="1548"/>
      <c r="BZS10" s="1547">
        <f t="shared" ref="BZS10" si="1006">BZQ10</f>
        <v>95000</v>
      </c>
      <c r="BZT10" s="1548"/>
      <c r="BZU10" s="1547">
        <f t="shared" ref="BZU10" si="1007">BZS10</f>
        <v>95000</v>
      </c>
      <c r="BZV10" s="1548"/>
      <c r="BZW10" s="1547">
        <f t="shared" ref="BZW10" si="1008">BZU10</f>
        <v>95000</v>
      </c>
      <c r="BZX10" s="1548"/>
      <c r="BZY10" s="1547">
        <f t="shared" ref="BZY10" si="1009">BZW10</f>
        <v>95000</v>
      </c>
      <c r="BZZ10" s="1548"/>
      <c r="CAA10" s="1547">
        <f t="shared" ref="CAA10" si="1010">BZY10</f>
        <v>95000</v>
      </c>
      <c r="CAB10" s="1548"/>
      <c r="CAC10" s="1547">
        <f t="shared" ref="CAC10" si="1011">CAA10</f>
        <v>95000</v>
      </c>
      <c r="CAD10" s="1548"/>
      <c r="CAE10" s="1547">
        <f t="shared" ref="CAE10" si="1012">CAC10</f>
        <v>95000</v>
      </c>
      <c r="CAF10" s="1548"/>
      <c r="CAG10" s="1547">
        <f t="shared" ref="CAG10" si="1013">CAE10</f>
        <v>95000</v>
      </c>
      <c r="CAH10" s="1548"/>
      <c r="CAI10" s="1547">
        <f t="shared" ref="CAI10" si="1014">CAG10</f>
        <v>95000</v>
      </c>
      <c r="CAJ10" s="1548"/>
      <c r="CAK10" s="1547">
        <f t="shared" ref="CAK10" si="1015">CAI10</f>
        <v>95000</v>
      </c>
      <c r="CAL10" s="1548"/>
      <c r="CAM10" s="1547">
        <f t="shared" ref="CAM10" si="1016">CAK10</f>
        <v>95000</v>
      </c>
      <c r="CAN10" s="1548"/>
      <c r="CAO10" s="1547">
        <f t="shared" ref="CAO10" si="1017">CAM10</f>
        <v>95000</v>
      </c>
      <c r="CAP10" s="1548"/>
      <c r="CAQ10" s="1547">
        <f t="shared" ref="CAQ10" si="1018">CAO10</f>
        <v>95000</v>
      </c>
      <c r="CAR10" s="1548"/>
      <c r="CAS10" s="1547">
        <f t="shared" ref="CAS10" si="1019">CAQ10</f>
        <v>95000</v>
      </c>
      <c r="CAT10" s="1548"/>
      <c r="CAU10" s="1547">
        <f t="shared" ref="CAU10" si="1020">CAS10</f>
        <v>95000</v>
      </c>
      <c r="CAV10" s="1548"/>
      <c r="CAW10" s="1547">
        <f t="shared" ref="CAW10" si="1021">CAU10</f>
        <v>95000</v>
      </c>
      <c r="CAX10" s="1548"/>
      <c r="CAY10" s="1547">
        <f t="shared" ref="CAY10" si="1022">CAW10</f>
        <v>95000</v>
      </c>
      <c r="CAZ10" s="1548"/>
      <c r="CBA10" s="1547">
        <f t="shared" ref="CBA10" si="1023">CAY10</f>
        <v>95000</v>
      </c>
      <c r="CBB10" s="1548"/>
      <c r="CBC10" s="1547">
        <f t="shared" ref="CBC10" si="1024">CBA10</f>
        <v>95000</v>
      </c>
      <c r="CBD10" s="1548"/>
      <c r="CBE10" s="1547">
        <f t="shared" ref="CBE10" si="1025">CBC10</f>
        <v>95000</v>
      </c>
      <c r="CBF10" s="1548"/>
      <c r="CBG10" s="1547">
        <f t="shared" ref="CBG10" si="1026">CBE10</f>
        <v>95000</v>
      </c>
      <c r="CBH10" s="1548"/>
      <c r="CBI10" s="1547">
        <f t="shared" ref="CBI10" si="1027">CBG10</f>
        <v>95000</v>
      </c>
      <c r="CBJ10" s="1548"/>
      <c r="CBK10" s="1547">
        <f t="shared" ref="CBK10" si="1028">CBI10</f>
        <v>95000</v>
      </c>
      <c r="CBL10" s="1548"/>
      <c r="CBM10" s="1547">
        <f t="shared" ref="CBM10" si="1029">CBK10</f>
        <v>95000</v>
      </c>
      <c r="CBN10" s="1548"/>
      <c r="CBO10" s="1547">
        <f t="shared" ref="CBO10" si="1030">CBM10</f>
        <v>95000</v>
      </c>
      <c r="CBP10" s="1548"/>
      <c r="CBQ10" s="1547">
        <f t="shared" ref="CBQ10" si="1031">CBO10</f>
        <v>95000</v>
      </c>
      <c r="CBR10" s="1548"/>
      <c r="CBS10" s="1547">
        <f t="shared" ref="CBS10" si="1032">CBQ10</f>
        <v>95000</v>
      </c>
      <c r="CBT10" s="1548"/>
      <c r="CBU10" s="1547">
        <f t="shared" ref="CBU10" si="1033">CBS10</f>
        <v>95000</v>
      </c>
      <c r="CBV10" s="1548"/>
      <c r="CBW10" s="1547">
        <f t="shared" ref="CBW10" si="1034">CBU10</f>
        <v>95000</v>
      </c>
      <c r="CBX10" s="1548"/>
      <c r="CBY10" s="1547">
        <f t="shared" ref="CBY10" si="1035">CBW10</f>
        <v>95000</v>
      </c>
      <c r="CBZ10" s="1548"/>
      <c r="CCA10" s="1547">
        <f t="shared" ref="CCA10" si="1036">CBY10</f>
        <v>95000</v>
      </c>
      <c r="CCB10" s="1548"/>
      <c r="CCC10" s="1547">
        <f t="shared" ref="CCC10" si="1037">CCA10</f>
        <v>95000</v>
      </c>
      <c r="CCD10" s="1548"/>
      <c r="CCE10" s="1547">
        <f t="shared" ref="CCE10" si="1038">CCC10</f>
        <v>95000</v>
      </c>
      <c r="CCF10" s="1548"/>
      <c r="CCG10" s="1547">
        <f t="shared" ref="CCG10" si="1039">CCE10</f>
        <v>95000</v>
      </c>
      <c r="CCH10" s="1548"/>
      <c r="CCI10" s="1547">
        <f t="shared" ref="CCI10" si="1040">CCG10</f>
        <v>95000</v>
      </c>
      <c r="CCJ10" s="1548"/>
      <c r="CCK10" s="1547">
        <f t="shared" ref="CCK10" si="1041">CCI10</f>
        <v>95000</v>
      </c>
      <c r="CCL10" s="1548"/>
      <c r="CCM10" s="1547">
        <f t="shared" ref="CCM10" si="1042">CCK10</f>
        <v>95000</v>
      </c>
      <c r="CCN10" s="1548"/>
      <c r="CCO10" s="1547">
        <f t="shared" ref="CCO10" si="1043">CCM10</f>
        <v>95000</v>
      </c>
      <c r="CCP10" s="1548"/>
      <c r="CCQ10" s="1547">
        <f t="shared" ref="CCQ10" si="1044">CCO10</f>
        <v>95000</v>
      </c>
      <c r="CCR10" s="1548"/>
      <c r="CCS10" s="1547">
        <f t="shared" ref="CCS10" si="1045">CCQ10</f>
        <v>95000</v>
      </c>
      <c r="CCT10" s="1548"/>
      <c r="CCU10" s="1547">
        <f t="shared" ref="CCU10" si="1046">CCS10</f>
        <v>95000</v>
      </c>
      <c r="CCV10" s="1548"/>
      <c r="CCW10" s="1547">
        <f t="shared" ref="CCW10" si="1047">CCU10</f>
        <v>95000</v>
      </c>
      <c r="CCX10" s="1548"/>
      <c r="CCY10" s="1547">
        <f t="shared" ref="CCY10" si="1048">CCW10</f>
        <v>95000</v>
      </c>
      <c r="CCZ10" s="1548"/>
      <c r="CDA10" s="1547">
        <f t="shared" ref="CDA10" si="1049">CCY10</f>
        <v>95000</v>
      </c>
      <c r="CDB10" s="1548"/>
      <c r="CDC10" s="1547">
        <f t="shared" ref="CDC10" si="1050">CDA10</f>
        <v>95000</v>
      </c>
      <c r="CDD10" s="1548"/>
      <c r="CDE10" s="1547">
        <f t="shared" ref="CDE10" si="1051">CDC10</f>
        <v>95000</v>
      </c>
      <c r="CDF10" s="1548"/>
      <c r="CDG10" s="1547">
        <f t="shared" ref="CDG10" si="1052">CDE10</f>
        <v>95000</v>
      </c>
      <c r="CDH10" s="1548"/>
      <c r="CDI10" s="1547">
        <f t="shared" ref="CDI10" si="1053">CDG10</f>
        <v>95000</v>
      </c>
      <c r="CDJ10" s="1548"/>
      <c r="CDK10" s="1547">
        <f t="shared" ref="CDK10" si="1054">CDI10</f>
        <v>95000</v>
      </c>
      <c r="CDL10" s="1548"/>
      <c r="CDM10" s="1547">
        <f t="shared" ref="CDM10" si="1055">CDK10</f>
        <v>95000</v>
      </c>
      <c r="CDN10" s="1548"/>
      <c r="CDO10" s="1547">
        <f t="shared" ref="CDO10" si="1056">CDM10</f>
        <v>95000</v>
      </c>
      <c r="CDP10" s="1548"/>
      <c r="CDQ10" s="1547">
        <f t="shared" ref="CDQ10" si="1057">CDO10</f>
        <v>95000</v>
      </c>
      <c r="CDR10" s="1548"/>
      <c r="CDS10" s="1547">
        <f t="shared" ref="CDS10" si="1058">CDQ10</f>
        <v>95000</v>
      </c>
      <c r="CDT10" s="1548"/>
      <c r="CDU10" s="1547">
        <f t="shared" ref="CDU10" si="1059">CDS10</f>
        <v>95000</v>
      </c>
      <c r="CDV10" s="1548"/>
      <c r="CDW10" s="1547">
        <f t="shared" ref="CDW10" si="1060">CDU10</f>
        <v>95000</v>
      </c>
      <c r="CDX10" s="1548"/>
      <c r="CDY10" s="1547">
        <f t="shared" ref="CDY10" si="1061">CDW10</f>
        <v>95000</v>
      </c>
      <c r="CDZ10" s="1548"/>
      <c r="CEA10" s="1547">
        <f t="shared" ref="CEA10" si="1062">CDY10</f>
        <v>95000</v>
      </c>
      <c r="CEB10" s="1548"/>
      <c r="CEC10" s="1547">
        <f t="shared" ref="CEC10" si="1063">CEA10</f>
        <v>95000</v>
      </c>
      <c r="CED10" s="1548"/>
      <c r="CEE10" s="1547">
        <f t="shared" ref="CEE10" si="1064">CEC10</f>
        <v>95000</v>
      </c>
      <c r="CEF10" s="1548"/>
      <c r="CEG10" s="1547">
        <f t="shared" ref="CEG10" si="1065">CEE10</f>
        <v>95000</v>
      </c>
      <c r="CEH10" s="1548"/>
      <c r="CEI10" s="1547">
        <f t="shared" ref="CEI10" si="1066">CEG10</f>
        <v>95000</v>
      </c>
      <c r="CEJ10" s="1548"/>
      <c r="CEK10" s="1547">
        <f t="shared" ref="CEK10" si="1067">CEI10</f>
        <v>95000</v>
      </c>
      <c r="CEL10" s="1548"/>
      <c r="CEM10" s="1547">
        <f t="shared" ref="CEM10" si="1068">CEK10</f>
        <v>95000</v>
      </c>
      <c r="CEN10" s="1548"/>
      <c r="CEO10" s="1547">
        <f t="shared" ref="CEO10" si="1069">CEM10</f>
        <v>95000</v>
      </c>
      <c r="CEP10" s="1548"/>
      <c r="CEQ10" s="1547">
        <f t="shared" ref="CEQ10" si="1070">CEO10</f>
        <v>95000</v>
      </c>
      <c r="CER10" s="1548"/>
      <c r="CES10" s="1547">
        <f t="shared" ref="CES10" si="1071">CEQ10</f>
        <v>95000</v>
      </c>
      <c r="CET10" s="1548"/>
      <c r="CEU10" s="1547">
        <f t="shared" ref="CEU10" si="1072">CES10</f>
        <v>95000</v>
      </c>
      <c r="CEV10" s="1548"/>
      <c r="CEW10" s="1547">
        <f t="shared" ref="CEW10" si="1073">CEU10</f>
        <v>95000</v>
      </c>
      <c r="CEX10" s="1548"/>
      <c r="CEY10" s="1547">
        <f t="shared" ref="CEY10" si="1074">CEW10</f>
        <v>95000</v>
      </c>
      <c r="CEZ10" s="1548"/>
      <c r="CFA10" s="1547">
        <f t="shared" ref="CFA10" si="1075">CEY10</f>
        <v>95000</v>
      </c>
      <c r="CFB10" s="1548"/>
      <c r="CFC10" s="1547">
        <f t="shared" ref="CFC10" si="1076">CFA10</f>
        <v>95000</v>
      </c>
      <c r="CFD10" s="1548"/>
      <c r="CFE10" s="1547">
        <f t="shared" ref="CFE10" si="1077">CFC10</f>
        <v>95000</v>
      </c>
      <c r="CFF10" s="1548"/>
      <c r="CFG10" s="1547">
        <f t="shared" ref="CFG10" si="1078">CFE10</f>
        <v>95000</v>
      </c>
      <c r="CFH10" s="1548"/>
      <c r="CFI10" s="1547">
        <f t="shared" ref="CFI10" si="1079">CFG10</f>
        <v>95000</v>
      </c>
      <c r="CFJ10" s="1548"/>
      <c r="CFK10" s="1547">
        <f t="shared" ref="CFK10" si="1080">CFI10</f>
        <v>95000</v>
      </c>
      <c r="CFL10" s="1548"/>
      <c r="CFM10" s="1547">
        <f t="shared" ref="CFM10" si="1081">CFK10</f>
        <v>95000</v>
      </c>
      <c r="CFN10" s="1548"/>
      <c r="CFO10" s="1547">
        <f t="shared" ref="CFO10" si="1082">CFM10</f>
        <v>95000</v>
      </c>
      <c r="CFP10" s="1548"/>
      <c r="CFQ10" s="1547">
        <f t="shared" ref="CFQ10" si="1083">CFO10</f>
        <v>95000</v>
      </c>
      <c r="CFR10" s="1548"/>
      <c r="CFS10" s="1547">
        <f t="shared" ref="CFS10" si="1084">CFQ10</f>
        <v>95000</v>
      </c>
      <c r="CFT10" s="1548"/>
      <c r="CFU10" s="1547">
        <f t="shared" ref="CFU10" si="1085">CFS10</f>
        <v>95000</v>
      </c>
      <c r="CFV10" s="1548"/>
      <c r="CFW10" s="1547">
        <f t="shared" ref="CFW10" si="1086">CFU10</f>
        <v>95000</v>
      </c>
      <c r="CFX10" s="1548"/>
      <c r="CFY10" s="1547">
        <f t="shared" ref="CFY10" si="1087">CFW10</f>
        <v>95000</v>
      </c>
      <c r="CFZ10" s="1548"/>
      <c r="CGA10" s="1547">
        <f t="shared" ref="CGA10" si="1088">CFY10</f>
        <v>95000</v>
      </c>
      <c r="CGB10" s="1548"/>
      <c r="CGC10" s="1547">
        <f t="shared" ref="CGC10" si="1089">CGA10</f>
        <v>95000</v>
      </c>
      <c r="CGD10" s="1548"/>
      <c r="CGE10" s="1547">
        <f t="shared" ref="CGE10" si="1090">CGC10</f>
        <v>95000</v>
      </c>
      <c r="CGF10" s="1548"/>
      <c r="CGG10" s="1547">
        <f t="shared" ref="CGG10" si="1091">CGE10</f>
        <v>95000</v>
      </c>
      <c r="CGH10" s="1548"/>
      <c r="CGI10" s="1547">
        <f t="shared" ref="CGI10" si="1092">CGG10</f>
        <v>95000</v>
      </c>
      <c r="CGJ10" s="1548"/>
      <c r="CGK10" s="1547">
        <f t="shared" ref="CGK10" si="1093">CGI10</f>
        <v>95000</v>
      </c>
      <c r="CGL10" s="1548"/>
      <c r="CGM10" s="1547">
        <f t="shared" ref="CGM10" si="1094">CGK10</f>
        <v>95000</v>
      </c>
      <c r="CGN10" s="1548"/>
      <c r="CGO10" s="1547">
        <f t="shared" ref="CGO10" si="1095">CGM10</f>
        <v>95000</v>
      </c>
      <c r="CGP10" s="1548"/>
      <c r="CGQ10" s="1547">
        <f t="shared" ref="CGQ10" si="1096">CGO10</f>
        <v>95000</v>
      </c>
      <c r="CGR10" s="1548"/>
      <c r="CGS10" s="1547">
        <f t="shared" ref="CGS10" si="1097">CGQ10</f>
        <v>95000</v>
      </c>
      <c r="CGT10" s="1548"/>
      <c r="CGU10" s="1547">
        <f t="shared" ref="CGU10" si="1098">CGS10</f>
        <v>95000</v>
      </c>
      <c r="CGV10" s="1548"/>
      <c r="CGW10" s="1547">
        <f t="shared" ref="CGW10" si="1099">CGU10</f>
        <v>95000</v>
      </c>
      <c r="CGX10" s="1548"/>
      <c r="CGY10" s="1547">
        <f t="shared" ref="CGY10" si="1100">CGW10</f>
        <v>95000</v>
      </c>
      <c r="CGZ10" s="1548"/>
      <c r="CHA10" s="1547">
        <f t="shared" ref="CHA10" si="1101">CGY10</f>
        <v>95000</v>
      </c>
      <c r="CHB10" s="1548"/>
      <c r="CHC10" s="1547">
        <f t="shared" ref="CHC10" si="1102">CHA10</f>
        <v>95000</v>
      </c>
      <c r="CHD10" s="1548"/>
      <c r="CHE10" s="1547">
        <f t="shared" ref="CHE10" si="1103">CHC10</f>
        <v>95000</v>
      </c>
      <c r="CHF10" s="1548"/>
      <c r="CHG10" s="1547">
        <f t="shared" ref="CHG10" si="1104">CHE10</f>
        <v>95000</v>
      </c>
      <c r="CHH10" s="1548"/>
      <c r="CHI10" s="1547">
        <f t="shared" ref="CHI10" si="1105">CHG10</f>
        <v>95000</v>
      </c>
      <c r="CHJ10" s="1548"/>
      <c r="CHK10" s="1547">
        <f t="shared" ref="CHK10" si="1106">CHI10</f>
        <v>95000</v>
      </c>
      <c r="CHL10" s="1548"/>
      <c r="CHM10" s="1547">
        <f t="shared" ref="CHM10" si="1107">CHK10</f>
        <v>95000</v>
      </c>
      <c r="CHN10" s="1548"/>
      <c r="CHO10" s="1547">
        <f t="shared" ref="CHO10" si="1108">CHM10</f>
        <v>95000</v>
      </c>
      <c r="CHP10" s="1548"/>
      <c r="CHQ10" s="1547">
        <f t="shared" ref="CHQ10" si="1109">CHO10</f>
        <v>95000</v>
      </c>
      <c r="CHR10" s="1548"/>
      <c r="CHS10" s="1547">
        <f t="shared" ref="CHS10" si="1110">CHQ10</f>
        <v>95000</v>
      </c>
      <c r="CHT10" s="1548"/>
      <c r="CHU10" s="1547">
        <f t="shared" ref="CHU10" si="1111">CHS10</f>
        <v>95000</v>
      </c>
      <c r="CHV10" s="1548"/>
      <c r="CHW10" s="1547">
        <f t="shared" ref="CHW10" si="1112">CHU10</f>
        <v>95000</v>
      </c>
      <c r="CHX10" s="1548"/>
      <c r="CHY10" s="1547">
        <f t="shared" ref="CHY10" si="1113">CHW10</f>
        <v>95000</v>
      </c>
      <c r="CHZ10" s="1548"/>
      <c r="CIA10" s="1547">
        <f t="shared" ref="CIA10" si="1114">CHY10</f>
        <v>95000</v>
      </c>
      <c r="CIB10" s="1548"/>
      <c r="CIC10" s="1547">
        <f t="shared" ref="CIC10" si="1115">CIA10</f>
        <v>95000</v>
      </c>
      <c r="CID10" s="1548"/>
      <c r="CIE10" s="1547">
        <f t="shared" ref="CIE10" si="1116">CIC10</f>
        <v>95000</v>
      </c>
      <c r="CIF10" s="1548"/>
      <c r="CIG10" s="1547">
        <f t="shared" ref="CIG10" si="1117">CIE10</f>
        <v>95000</v>
      </c>
      <c r="CIH10" s="1548"/>
      <c r="CII10" s="1547">
        <f t="shared" ref="CII10" si="1118">CIG10</f>
        <v>95000</v>
      </c>
      <c r="CIJ10" s="1548"/>
      <c r="CIK10" s="1547">
        <f t="shared" ref="CIK10" si="1119">CII10</f>
        <v>95000</v>
      </c>
      <c r="CIL10" s="1548"/>
      <c r="CIM10" s="1547">
        <f t="shared" ref="CIM10" si="1120">CIK10</f>
        <v>95000</v>
      </c>
      <c r="CIN10" s="1548"/>
      <c r="CIO10" s="1547">
        <f t="shared" ref="CIO10" si="1121">CIM10</f>
        <v>95000</v>
      </c>
      <c r="CIP10" s="1548"/>
      <c r="CIQ10" s="1547">
        <f t="shared" ref="CIQ10" si="1122">CIO10</f>
        <v>95000</v>
      </c>
      <c r="CIR10" s="1548"/>
      <c r="CIS10" s="1547">
        <f t="shared" ref="CIS10" si="1123">CIQ10</f>
        <v>95000</v>
      </c>
      <c r="CIT10" s="1548"/>
      <c r="CIU10" s="1547">
        <f t="shared" ref="CIU10" si="1124">CIS10</f>
        <v>95000</v>
      </c>
      <c r="CIV10" s="1548"/>
      <c r="CIW10" s="1547">
        <f t="shared" ref="CIW10" si="1125">CIU10</f>
        <v>95000</v>
      </c>
      <c r="CIX10" s="1548"/>
      <c r="CIY10" s="1547">
        <f t="shared" ref="CIY10" si="1126">CIW10</f>
        <v>95000</v>
      </c>
      <c r="CIZ10" s="1548"/>
      <c r="CJA10" s="1547">
        <f t="shared" ref="CJA10" si="1127">CIY10</f>
        <v>95000</v>
      </c>
      <c r="CJB10" s="1548"/>
      <c r="CJC10" s="1547">
        <f t="shared" ref="CJC10" si="1128">CJA10</f>
        <v>95000</v>
      </c>
      <c r="CJD10" s="1548"/>
      <c r="CJE10" s="1547">
        <f t="shared" ref="CJE10" si="1129">CJC10</f>
        <v>95000</v>
      </c>
      <c r="CJF10" s="1548"/>
      <c r="CJG10" s="1547">
        <f t="shared" ref="CJG10" si="1130">CJE10</f>
        <v>95000</v>
      </c>
      <c r="CJH10" s="1548"/>
      <c r="CJI10" s="1547">
        <f t="shared" ref="CJI10" si="1131">CJG10</f>
        <v>95000</v>
      </c>
      <c r="CJJ10" s="1548"/>
      <c r="CJK10" s="1547">
        <f t="shared" ref="CJK10" si="1132">CJI10</f>
        <v>95000</v>
      </c>
      <c r="CJL10" s="1548"/>
      <c r="CJM10" s="1547">
        <f t="shared" ref="CJM10" si="1133">CJK10</f>
        <v>95000</v>
      </c>
      <c r="CJN10" s="1548"/>
      <c r="CJO10" s="1547">
        <f t="shared" ref="CJO10" si="1134">CJM10</f>
        <v>95000</v>
      </c>
      <c r="CJP10" s="1548"/>
      <c r="CJQ10" s="1547">
        <f t="shared" ref="CJQ10" si="1135">CJO10</f>
        <v>95000</v>
      </c>
      <c r="CJR10" s="1548"/>
      <c r="CJS10" s="1547">
        <f t="shared" ref="CJS10" si="1136">CJQ10</f>
        <v>95000</v>
      </c>
      <c r="CJT10" s="1548"/>
      <c r="CJU10" s="1547">
        <f t="shared" ref="CJU10" si="1137">CJS10</f>
        <v>95000</v>
      </c>
      <c r="CJV10" s="1548"/>
      <c r="CJW10" s="1547">
        <f t="shared" ref="CJW10" si="1138">CJU10</f>
        <v>95000</v>
      </c>
      <c r="CJX10" s="1548"/>
      <c r="CJY10" s="1547">
        <f t="shared" ref="CJY10" si="1139">CJW10</f>
        <v>95000</v>
      </c>
      <c r="CJZ10" s="1548"/>
      <c r="CKA10" s="1547">
        <f t="shared" ref="CKA10" si="1140">CJY10</f>
        <v>95000</v>
      </c>
      <c r="CKB10" s="1548"/>
      <c r="CKC10" s="1547">
        <f t="shared" ref="CKC10" si="1141">CKA10</f>
        <v>95000</v>
      </c>
      <c r="CKD10" s="1548"/>
      <c r="CKE10" s="1547">
        <f t="shared" ref="CKE10" si="1142">CKC10</f>
        <v>95000</v>
      </c>
      <c r="CKF10" s="1548"/>
      <c r="CKG10" s="1547">
        <f t="shared" ref="CKG10" si="1143">CKE10</f>
        <v>95000</v>
      </c>
      <c r="CKH10" s="1548"/>
      <c r="CKI10" s="1547">
        <f t="shared" ref="CKI10" si="1144">CKG10</f>
        <v>95000</v>
      </c>
      <c r="CKJ10" s="1548"/>
      <c r="CKK10" s="1547">
        <f t="shared" ref="CKK10" si="1145">CKI10</f>
        <v>95000</v>
      </c>
      <c r="CKL10" s="1548"/>
      <c r="CKM10" s="1547">
        <f t="shared" ref="CKM10" si="1146">CKK10</f>
        <v>95000</v>
      </c>
      <c r="CKN10" s="1548"/>
      <c r="CKO10" s="1547">
        <f t="shared" ref="CKO10" si="1147">CKM10</f>
        <v>95000</v>
      </c>
      <c r="CKP10" s="1548"/>
      <c r="CKQ10" s="1547">
        <f t="shared" ref="CKQ10" si="1148">CKO10</f>
        <v>95000</v>
      </c>
      <c r="CKR10" s="1548"/>
      <c r="CKS10" s="1547">
        <f t="shared" ref="CKS10" si="1149">CKQ10</f>
        <v>95000</v>
      </c>
      <c r="CKT10" s="1548"/>
      <c r="CKU10" s="1547">
        <f t="shared" ref="CKU10" si="1150">CKS10</f>
        <v>95000</v>
      </c>
      <c r="CKV10" s="1548"/>
      <c r="CKW10" s="1547">
        <f t="shared" ref="CKW10" si="1151">CKU10</f>
        <v>95000</v>
      </c>
      <c r="CKX10" s="1548"/>
      <c r="CKY10" s="1547">
        <f t="shared" ref="CKY10" si="1152">CKW10</f>
        <v>95000</v>
      </c>
      <c r="CKZ10" s="1548"/>
      <c r="CLA10" s="1547">
        <f t="shared" ref="CLA10" si="1153">CKY10</f>
        <v>95000</v>
      </c>
      <c r="CLB10" s="1548"/>
      <c r="CLC10" s="1547">
        <f t="shared" ref="CLC10" si="1154">CLA10</f>
        <v>95000</v>
      </c>
      <c r="CLD10" s="1548"/>
      <c r="CLE10" s="1547">
        <f t="shared" ref="CLE10" si="1155">CLC10</f>
        <v>95000</v>
      </c>
      <c r="CLF10" s="1548"/>
      <c r="CLG10" s="1547">
        <f t="shared" ref="CLG10" si="1156">CLE10</f>
        <v>95000</v>
      </c>
      <c r="CLH10" s="1548"/>
      <c r="CLI10" s="1547">
        <f t="shared" ref="CLI10" si="1157">CLG10</f>
        <v>95000</v>
      </c>
      <c r="CLJ10" s="1548"/>
      <c r="CLK10" s="1547">
        <f t="shared" ref="CLK10" si="1158">CLI10</f>
        <v>95000</v>
      </c>
      <c r="CLL10" s="1548"/>
      <c r="CLM10" s="1547">
        <f t="shared" ref="CLM10" si="1159">CLK10</f>
        <v>95000</v>
      </c>
      <c r="CLN10" s="1548"/>
      <c r="CLO10" s="1547">
        <f t="shared" ref="CLO10" si="1160">CLM10</f>
        <v>95000</v>
      </c>
      <c r="CLP10" s="1548"/>
      <c r="CLQ10" s="1547">
        <f t="shared" ref="CLQ10" si="1161">CLO10</f>
        <v>95000</v>
      </c>
      <c r="CLR10" s="1548"/>
      <c r="CLS10" s="1547">
        <f t="shared" ref="CLS10" si="1162">CLQ10</f>
        <v>95000</v>
      </c>
      <c r="CLT10" s="1548"/>
      <c r="CLU10" s="1547">
        <f t="shared" ref="CLU10" si="1163">CLS10</f>
        <v>95000</v>
      </c>
      <c r="CLV10" s="1548"/>
      <c r="CLW10" s="1547">
        <f t="shared" ref="CLW10" si="1164">CLU10</f>
        <v>95000</v>
      </c>
      <c r="CLX10" s="1548"/>
      <c r="CLY10" s="1547">
        <f t="shared" ref="CLY10" si="1165">CLW10</f>
        <v>95000</v>
      </c>
      <c r="CLZ10" s="1548"/>
      <c r="CMA10" s="1547">
        <f t="shared" ref="CMA10" si="1166">CLY10</f>
        <v>95000</v>
      </c>
      <c r="CMB10" s="1548"/>
      <c r="CMC10" s="1547">
        <f t="shared" ref="CMC10" si="1167">CMA10</f>
        <v>95000</v>
      </c>
      <c r="CMD10" s="1548"/>
      <c r="CME10" s="1547">
        <f t="shared" ref="CME10" si="1168">CMC10</f>
        <v>95000</v>
      </c>
      <c r="CMF10" s="1548"/>
      <c r="CMG10" s="1547">
        <f t="shared" ref="CMG10" si="1169">CME10</f>
        <v>95000</v>
      </c>
      <c r="CMH10" s="1548"/>
      <c r="CMI10" s="1547">
        <f t="shared" ref="CMI10" si="1170">CMG10</f>
        <v>95000</v>
      </c>
      <c r="CMJ10" s="1548"/>
      <c r="CMK10" s="1547">
        <f t="shared" ref="CMK10" si="1171">CMI10</f>
        <v>95000</v>
      </c>
      <c r="CML10" s="1548"/>
      <c r="CMM10" s="1547">
        <f t="shared" ref="CMM10" si="1172">CMK10</f>
        <v>95000</v>
      </c>
      <c r="CMN10" s="1548"/>
      <c r="CMO10" s="1547">
        <f t="shared" ref="CMO10" si="1173">CMM10</f>
        <v>95000</v>
      </c>
      <c r="CMP10" s="1548"/>
      <c r="CMQ10" s="1547">
        <f t="shared" ref="CMQ10" si="1174">CMO10</f>
        <v>95000</v>
      </c>
      <c r="CMR10" s="1548"/>
      <c r="CMS10" s="1547">
        <f t="shared" ref="CMS10" si="1175">CMQ10</f>
        <v>95000</v>
      </c>
      <c r="CMT10" s="1548"/>
      <c r="CMU10" s="1547">
        <f t="shared" ref="CMU10" si="1176">CMS10</f>
        <v>95000</v>
      </c>
      <c r="CMV10" s="1548"/>
      <c r="CMW10" s="1547">
        <f t="shared" ref="CMW10" si="1177">CMU10</f>
        <v>95000</v>
      </c>
      <c r="CMX10" s="1548"/>
      <c r="CMY10" s="1547">
        <f t="shared" ref="CMY10" si="1178">CMW10</f>
        <v>95000</v>
      </c>
      <c r="CMZ10" s="1548"/>
      <c r="CNA10" s="1547">
        <f t="shared" ref="CNA10" si="1179">CMY10</f>
        <v>95000</v>
      </c>
      <c r="CNB10" s="1548"/>
      <c r="CNC10" s="1547">
        <f t="shared" ref="CNC10" si="1180">CNA10</f>
        <v>95000</v>
      </c>
      <c r="CND10" s="1548"/>
      <c r="CNE10" s="1547">
        <f t="shared" ref="CNE10" si="1181">CNC10</f>
        <v>95000</v>
      </c>
      <c r="CNF10" s="1548"/>
      <c r="CNG10" s="1547">
        <f t="shared" ref="CNG10" si="1182">CNE10</f>
        <v>95000</v>
      </c>
      <c r="CNH10" s="1548"/>
      <c r="CNI10" s="1547">
        <f t="shared" ref="CNI10" si="1183">CNG10</f>
        <v>95000</v>
      </c>
      <c r="CNJ10" s="1548"/>
      <c r="CNK10" s="1547">
        <f t="shared" ref="CNK10" si="1184">CNI10</f>
        <v>95000</v>
      </c>
      <c r="CNL10" s="1548"/>
      <c r="CNM10" s="1547">
        <f t="shared" ref="CNM10" si="1185">CNK10</f>
        <v>95000</v>
      </c>
      <c r="CNN10" s="1548"/>
      <c r="CNO10" s="1547">
        <f t="shared" ref="CNO10" si="1186">CNM10</f>
        <v>95000</v>
      </c>
      <c r="CNP10" s="1548"/>
      <c r="CNQ10" s="1547">
        <f t="shared" ref="CNQ10" si="1187">CNO10</f>
        <v>95000</v>
      </c>
      <c r="CNR10" s="1548"/>
      <c r="CNS10" s="1547">
        <f t="shared" ref="CNS10" si="1188">CNQ10</f>
        <v>95000</v>
      </c>
      <c r="CNT10" s="1548"/>
      <c r="CNU10" s="1547">
        <f t="shared" ref="CNU10" si="1189">CNS10</f>
        <v>95000</v>
      </c>
      <c r="CNV10" s="1548"/>
      <c r="CNW10" s="1547">
        <f t="shared" ref="CNW10" si="1190">CNU10</f>
        <v>95000</v>
      </c>
      <c r="CNX10" s="1548"/>
      <c r="CNY10" s="1547">
        <f t="shared" ref="CNY10" si="1191">CNW10</f>
        <v>95000</v>
      </c>
      <c r="CNZ10" s="1548"/>
      <c r="COA10" s="1547">
        <f t="shared" ref="COA10" si="1192">CNY10</f>
        <v>95000</v>
      </c>
      <c r="COB10" s="1548"/>
      <c r="COC10" s="1547">
        <f t="shared" ref="COC10" si="1193">COA10</f>
        <v>95000</v>
      </c>
      <c r="COD10" s="1548"/>
      <c r="COE10" s="1547">
        <f t="shared" ref="COE10" si="1194">COC10</f>
        <v>95000</v>
      </c>
      <c r="COF10" s="1548"/>
      <c r="COG10" s="1547">
        <f t="shared" ref="COG10" si="1195">COE10</f>
        <v>95000</v>
      </c>
      <c r="COH10" s="1548"/>
      <c r="COI10" s="1547">
        <f t="shared" ref="COI10" si="1196">COG10</f>
        <v>95000</v>
      </c>
      <c r="COJ10" s="1548"/>
      <c r="COK10" s="1547">
        <f t="shared" ref="COK10" si="1197">COI10</f>
        <v>95000</v>
      </c>
      <c r="COL10" s="1548"/>
      <c r="COM10" s="1547">
        <f t="shared" ref="COM10" si="1198">COK10</f>
        <v>95000</v>
      </c>
      <c r="CON10" s="1548"/>
      <c r="COO10" s="1547">
        <f t="shared" ref="COO10" si="1199">COM10</f>
        <v>95000</v>
      </c>
      <c r="COP10" s="1548"/>
      <c r="COQ10" s="1547">
        <f t="shared" ref="COQ10" si="1200">COO10</f>
        <v>95000</v>
      </c>
      <c r="COR10" s="1548"/>
      <c r="COS10" s="1547">
        <f t="shared" ref="COS10" si="1201">COQ10</f>
        <v>95000</v>
      </c>
      <c r="COT10" s="1548"/>
      <c r="COU10" s="1547">
        <f t="shared" ref="COU10" si="1202">COS10</f>
        <v>95000</v>
      </c>
      <c r="COV10" s="1548"/>
      <c r="COW10" s="1547">
        <f t="shared" ref="COW10" si="1203">COU10</f>
        <v>95000</v>
      </c>
      <c r="COX10" s="1548"/>
      <c r="COY10" s="1547">
        <f t="shared" ref="COY10" si="1204">COW10</f>
        <v>95000</v>
      </c>
      <c r="COZ10" s="1548"/>
      <c r="CPA10" s="1547">
        <f t="shared" ref="CPA10" si="1205">COY10</f>
        <v>95000</v>
      </c>
      <c r="CPB10" s="1548"/>
      <c r="CPC10" s="1547">
        <f t="shared" ref="CPC10" si="1206">CPA10</f>
        <v>95000</v>
      </c>
      <c r="CPD10" s="1548"/>
      <c r="CPE10" s="1547">
        <f t="shared" ref="CPE10" si="1207">CPC10</f>
        <v>95000</v>
      </c>
      <c r="CPF10" s="1548"/>
      <c r="CPG10" s="1547">
        <f t="shared" ref="CPG10" si="1208">CPE10</f>
        <v>95000</v>
      </c>
      <c r="CPH10" s="1548"/>
      <c r="CPI10" s="1547">
        <f t="shared" ref="CPI10" si="1209">CPG10</f>
        <v>95000</v>
      </c>
      <c r="CPJ10" s="1548"/>
      <c r="CPK10" s="1547">
        <f t="shared" ref="CPK10" si="1210">CPI10</f>
        <v>95000</v>
      </c>
      <c r="CPL10" s="1548"/>
      <c r="CPM10" s="1547">
        <f t="shared" ref="CPM10" si="1211">CPK10</f>
        <v>95000</v>
      </c>
      <c r="CPN10" s="1548"/>
      <c r="CPO10" s="1547">
        <f t="shared" ref="CPO10" si="1212">CPM10</f>
        <v>95000</v>
      </c>
      <c r="CPP10" s="1548"/>
      <c r="CPQ10" s="1547">
        <f t="shared" ref="CPQ10" si="1213">CPO10</f>
        <v>95000</v>
      </c>
      <c r="CPR10" s="1548"/>
      <c r="CPS10" s="1547">
        <f t="shared" ref="CPS10" si="1214">CPQ10</f>
        <v>95000</v>
      </c>
      <c r="CPT10" s="1548"/>
      <c r="CPU10" s="1547">
        <f t="shared" ref="CPU10" si="1215">CPS10</f>
        <v>95000</v>
      </c>
      <c r="CPV10" s="1548"/>
      <c r="CPW10" s="1547">
        <f t="shared" ref="CPW10" si="1216">CPU10</f>
        <v>95000</v>
      </c>
      <c r="CPX10" s="1548"/>
      <c r="CPY10" s="1547">
        <f t="shared" ref="CPY10" si="1217">CPW10</f>
        <v>95000</v>
      </c>
      <c r="CPZ10" s="1548"/>
      <c r="CQA10" s="1547">
        <f t="shared" ref="CQA10" si="1218">CPY10</f>
        <v>95000</v>
      </c>
      <c r="CQB10" s="1548"/>
      <c r="CQC10" s="1547">
        <f t="shared" ref="CQC10" si="1219">CQA10</f>
        <v>95000</v>
      </c>
      <c r="CQD10" s="1548"/>
      <c r="CQE10" s="1547">
        <f t="shared" ref="CQE10" si="1220">CQC10</f>
        <v>95000</v>
      </c>
      <c r="CQF10" s="1548"/>
      <c r="CQG10" s="1547">
        <f t="shared" ref="CQG10" si="1221">CQE10</f>
        <v>95000</v>
      </c>
      <c r="CQH10" s="1548"/>
      <c r="CQI10" s="1547">
        <f t="shared" ref="CQI10" si="1222">CQG10</f>
        <v>95000</v>
      </c>
      <c r="CQJ10" s="1548"/>
      <c r="CQK10" s="1547">
        <f t="shared" ref="CQK10" si="1223">CQI10</f>
        <v>95000</v>
      </c>
      <c r="CQL10" s="1548"/>
      <c r="CQM10" s="1547">
        <f t="shared" ref="CQM10" si="1224">CQK10</f>
        <v>95000</v>
      </c>
      <c r="CQN10" s="1548"/>
      <c r="CQO10" s="1547">
        <f t="shared" ref="CQO10" si="1225">CQM10</f>
        <v>95000</v>
      </c>
      <c r="CQP10" s="1548"/>
      <c r="CQQ10" s="1547">
        <f t="shared" ref="CQQ10" si="1226">CQO10</f>
        <v>95000</v>
      </c>
      <c r="CQR10" s="1548"/>
      <c r="CQS10" s="1547">
        <f t="shared" ref="CQS10" si="1227">CQQ10</f>
        <v>95000</v>
      </c>
      <c r="CQT10" s="1548"/>
      <c r="CQU10" s="1547">
        <f t="shared" ref="CQU10" si="1228">CQS10</f>
        <v>95000</v>
      </c>
      <c r="CQV10" s="1548"/>
      <c r="CQW10" s="1547">
        <f t="shared" ref="CQW10" si="1229">CQU10</f>
        <v>95000</v>
      </c>
      <c r="CQX10" s="1548"/>
      <c r="CQY10" s="1547">
        <f t="shared" ref="CQY10" si="1230">CQW10</f>
        <v>95000</v>
      </c>
      <c r="CQZ10" s="1548"/>
      <c r="CRA10" s="1547">
        <f t="shared" ref="CRA10" si="1231">CQY10</f>
        <v>95000</v>
      </c>
      <c r="CRB10" s="1548"/>
      <c r="CRC10" s="1547">
        <f t="shared" ref="CRC10" si="1232">CRA10</f>
        <v>95000</v>
      </c>
      <c r="CRD10" s="1548"/>
      <c r="CRE10" s="1547">
        <f t="shared" ref="CRE10" si="1233">CRC10</f>
        <v>95000</v>
      </c>
      <c r="CRF10" s="1548"/>
      <c r="CRG10" s="1547">
        <f t="shared" ref="CRG10" si="1234">CRE10</f>
        <v>95000</v>
      </c>
      <c r="CRH10" s="1548"/>
      <c r="CRI10" s="1547">
        <f t="shared" ref="CRI10" si="1235">CRG10</f>
        <v>95000</v>
      </c>
      <c r="CRJ10" s="1548"/>
      <c r="CRK10" s="1547">
        <f t="shared" ref="CRK10" si="1236">CRI10</f>
        <v>95000</v>
      </c>
      <c r="CRL10" s="1548"/>
      <c r="CRM10" s="1547">
        <f t="shared" ref="CRM10" si="1237">CRK10</f>
        <v>95000</v>
      </c>
      <c r="CRN10" s="1548"/>
      <c r="CRO10" s="1547">
        <f t="shared" ref="CRO10" si="1238">CRM10</f>
        <v>95000</v>
      </c>
      <c r="CRP10" s="1548"/>
      <c r="CRQ10" s="1547">
        <f t="shared" ref="CRQ10" si="1239">CRO10</f>
        <v>95000</v>
      </c>
      <c r="CRR10" s="1548"/>
      <c r="CRS10" s="1547">
        <f t="shared" ref="CRS10" si="1240">CRQ10</f>
        <v>95000</v>
      </c>
      <c r="CRT10" s="1548"/>
      <c r="CRU10" s="1547">
        <f t="shared" ref="CRU10" si="1241">CRS10</f>
        <v>95000</v>
      </c>
      <c r="CRV10" s="1548"/>
      <c r="CRW10" s="1547">
        <f t="shared" ref="CRW10" si="1242">CRU10</f>
        <v>95000</v>
      </c>
      <c r="CRX10" s="1548"/>
      <c r="CRY10" s="1547">
        <f t="shared" ref="CRY10" si="1243">CRW10</f>
        <v>95000</v>
      </c>
      <c r="CRZ10" s="1548"/>
      <c r="CSA10" s="1547">
        <f t="shared" ref="CSA10" si="1244">CRY10</f>
        <v>95000</v>
      </c>
      <c r="CSB10" s="1548"/>
      <c r="CSC10" s="1547">
        <f t="shared" ref="CSC10" si="1245">CSA10</f>
        <v>95000</v>
      </c>
      <c r="CSD10" s="1548"/>
      <c r="CSE10" s="1547">
        <f t="shared" ref="CSE10" si="1246">CSC10</f>
        <v>95000</v>
      </c>
      <c r="CSF10" s="1548"/>
      <c r="CSG10" s="1547">
        <f t="shared" ref="CSG10" si="1247">CSE10</f>
        <v>95000</v>
      </c>
      <c r="CSH10" s="1548"/>
      <c r="CSI10" s="1547">
        <f t="shared" ref="CSI10" si="1248">CSG10</f>
        <v>95000</v>
      </c>
      <c r="CSJ10" s="1548"/>
      <c r="CSK10" s="1547">
        <f t="shared" ref="CSK10" si="1249">CSI10</f>
        <v>95000</v>
      </c>
      <c r="CSL10" s="1548"/>
      <c r="CSM10" s="1547">
        <f t="shared" ref="CSM10" si="1250">CSK10</f>
        <v>95000</v>
      </c>
      <c r="CSN10" s="1548"/>
      <c r="CSO10" s="1547">
        <f t="shared" ref="CSO10" si="1251">CSM10</f>
        <v>95000</v>
      </c>
      <c r="CSP10" s="1548"/>
      <c r="CSQ10" s="1547">
        <f t="shared" ref="CSQ10" si="1252">CSO10</f>
        <v>95000</v>
      </c>
      <c r="CSR10" s="1548"/>
      <c r="CSS10" s="1547">
        <f t="shared" ref="CSS10" si="1253">CSQ10</f>
        <v>95000</v>
      </c>
      <c r="CST10" s="1548"/>
      <c r="CSU10" s="1547">
        <f t="shared" ref="CSU10" si="1254">CSS10</f>
        <v>95000</v>
      </c>
      <c r="CSV10" s="1548"/>
      <c r="CSW10" s="1547">
        <f t="shared" ref="CSW10" si="1255">CSU10</f>
        <v>95000</v>
      </c>
      <c r="CSX10" s="1548"/>
      <c r="CSY10" s="1547">
        <f t="shared" ref="CSY10" si="1256">CSW10</f>
        <v>95000</v>
      </c>
      <c r="CSZ10" s="1548"/>
      <c r="CTA10" s="1547">
        <f t="shared" ref="CTA10" si="1257">CSY10</f>
        <v>95000</v>
      </c>
      <c r="CTB10" s="1548"/>
      <c r="CTC10" s="1547">
        <f t="shared" ref="CTC10" si="1258">CTA10</f>
        <v>95000</v>
      </c>
      <c r="CTD10" s="1548"/>
      <c r="CTE10" s="1547">
        <f t="shared" ref="CTE10" si="1259">CTC10</f>
        <v>95000</v>
      </c>
      <c r="CTF10" s="1548"/>
      <c r="CTG10" s="1547">
        <f t="shared" ref="CTG10" si="1260">CTE10</f>
        <v>95000</v>
      </c>
      <c r="CTH10" s="1548"/>
      <c r="CTI10" s="1547">
        <f t="shared" ref="CTI10" si="1261">CTG10</f>
        <v>95000</v>
      </c>
      <c r="CTJ10" s="1548"/>
      <c r="CTK10" s="1547">
        <f t="shared" ref="CTK10" si="1262">CTI10</f>
        <v>95000</v>
      </c>
      <c r="CTL10" s="1548"/>
      <c r="CTM10" s="1547">
        <f t="shared" ref="CTM10" si="1263">CTK10</f>
        <v>95000</v>
      </c>
      <c r="CTN10" s="1548"/>
      <c r="CTO10" s="1547">
        <f t="shared" ref="CTO10" si="1264">CTM10</f>
        <v>95000</v>
      </c>
      <c r="CTP10" s="1548"/>
      <c r="CTQ10" s="1547">
        <f t="shared" ref="CTQ10" si="1265">CTO10</f>
        <v>95000</v>
      </c>
      <c r="CTR10" s="1548"/>
      <c r="CTS10" s="1547">
        <f t="shared" ref="CTS10" si="1266">CTQ10</f>
        <v>95000</v>
      </c>
      <c r="CTT10" s="1548"/>
      <c r="CTU10" s="1547">
        <f t="shared" ref="CTU10" si="1267">CTS10</f>
        <v>95000</v>
      </c>
      <c r="CTV10" s="1548"/>
      <c r="CTW10" s="1547">
        <f t="shared" ref="CTW10" si="1268">CTU10</f>
        <v>95000</v>
      </c>
      <c r="CTX10" s="1548"/>
      <c r="CTY10" s="1547">
        <f t="shared" ref="CTY10" si="1269">CTW10</f>
        <v>95000</v>
      </c>
      <c r="CTZ10" s="1548"/>
      <c r="CUA10" s="1547">
        <f t="shared" ref="CUA10" si="1270">CTY10</f>
        <v>95000</v>
      </c>
      <c r="CUB10" s="1548"/>
      <c r="CUC10" s="1547">
        <f t="shared" ref="CUC10" si="1271">CUA10</f>
        <v>95000</v>
      </c>
      <c r="CUD10" s="1548"/>
      <c r="CUE10" s="1547">
        <f t="shared" ref="CUE10" si="1272">CUC10</f>
        <v>95000</v>
      </c>
      <c r="CUF10" s="1548"/>
      <c r="CUG10" s="1547">
        <f t="shared" ref="CUG10" si="1273">CUE10</f>
        <v>95000</v>
      </c>
      <c r="CUH10" s="1548"/>
      <c r="CUI10" s="1547">
        <f t="shared" ref="CUI10" si="1274">CUG10</f>
        <v>95000</v>
      </c>
      <c r="CUJ10" s="1548"/>
      <c r="CUK10" s="1547">
        <f t="shared" ref="CUK10" si="1275">CUI10</f>
        <v>95000</v>
      </c>
      <c r="CUL10" s="1548"/>
      <c r="CUM10" s="1547">
        <f t="shared" ref="CUM10" si="1276">CUK10</f>
        <v>95000</v>
      </c>
      <c r="CUN10" s="1548"/>
      <c r="CUO10" s="1547">
        <f t="shared" ref="CUO10" si="1277">CUM10</f>
        <v>95000</v>
      </c>
      <c r="CUP10" s="1548"/>
      <c r="CUQ10" s="1547">
        <f t="shared" ref="CUQ10" si="1278">CUO10</f>
        <v>95000</v>
      </c>
      <c r="CUR10" s="1548"/>
      <c r="CUS10" s="1547">
        <f t="shared" ref="CUS10" si="1279">CUQ10</f>
        <v>95000</v>
      </c>
      <c r="CUT10" s="1548"/>
      <c r="CUU10" s="1547">
        <f t="shared" ref="CUU10" si="1280">CUS10</f>
        <v>95000</v>
      </c>
      <c r="CUV10" s="1548"/>
      <c r="CUW10" s="1547">
        <f t="shared" ref="CUW10" si="1281">CUU10</f>
        <v>95000</v>
      </c>
      <c r="CUX10" s="1548"/>
      <c r="CUY10" s="1547">
        <f t="shared" ref="CUY10" si="1282">CUW10</f>
        <v>95000</v>
      </c>
      <c r="CUZ10" s="1548"/>
      <c r="CVA10" s="1547">
        <f t="shared" ref="CVA10" si="1283">CUY10</f>
        <v>95000</v>
      </c>
      <c r="CVB10" s="1548"/>
      <c r="CVC10" s="1547">
        <f t="shared" ref="CVC10" si="1284">CVA10</f>
        <v>95000</v>
      </c>
      <c r="CVD10" s="1548"/>
      <c r="CVE10" s="1547">
        <f t="shared" ref="CVE10" si="1285">CVC10</f>
        <v>95000</v>
      </c>
      <c r="CVF10" s="1548"/>
      <c r="CVG10" s="1547">
        <f t="shared" ref="CVG10" si="1286">CVE10</f>
        <v>95000</v>
      </c>
      <c r="CVH10" s="1548"/>
      <c r="CVI10" s="1547">
        <f t="shared" ref="CVI10" si="1287">CVG10</f>
        <v>95000</v>
      </c>
      <c r="CVJ10" s="1548"/>
      <c r="CVK10" s="1547">
        <f t="shared" ref="CVK10" si="1288">CVI10</f>
        <v>95000</v>
      </c>
      <c r="CVL10" s="1548"/>
      <c r="CVM10" s="1547">
        <f t="shared" ref="CVM10" si="1289">CVK10</f>
        <v>95000</v>
      </c>
      <c r="CVN10" s="1548"/>
      <c r="CVO10" s="1547">
        <f t="shared" ref="CVO10" si="1290">CVM10</f>
        <v>95000</v>
      </c>
      <c r="CVP10" s="1548"/>
      <c r="CVQ10" s="1547">
        <f t="shared" ref="CVQ10" si="1291">CVO10</f>
        <v>95000</v>
      </c>
      <c r="CVR10" s="1548"/>
      <c r="CVS10" s="1547">
        <f t="shared" ref="CVS10" si="1292">CVQ10</f>
        <v>95000</v>
      </c>
      <c r="CVT10" s="1548"/>
      <c r="CVU10" s="1547">
        <f t="shared" ref="CVU10" si="1293">CVS10</f>
        <v>95000</v>
      </c>
      <c r="CVV10" s="1548"/>
      <c r="CVW10" s="1547">
        <f t="shared" ref="CVW10" si="1294">CVU10</f>
        <v>95000</v>
      </c>
      <c r="CVX10" s="1548"/>
      <c r="CVY10" s="1547">
        <f t="shared" ref="CVY10" si="1295">CVW10</f>
        <v>95000</v>
      </c>
      <c r="CVZ10" s="1548"/>
      <c r="CWA10" s="1547">
        <f t="shared" ref="CWA10" si="1296">CVY10</f>
        <v>95000</v>
      </c>
      <c r="CWB10" s="1548"/>
      <c r="CWC10" s="1547">
        <f t="shared" ref="CWC10" si="1297">CWA10</f>
        <v>95000</v>
      </c>
      <c r="CWD10" s="1548"/>
      <c r="CWE10" s="1547">
        <f t="shared" ref="CWE10" si="1298">CWC10</f>
        <v>95000</v>
      </c>
      <c r="CWF10" s="1548"/>
      <c r="CWG10" s="1547">
        <f t="shared" ref="CWG10" si="1299">CWE10</f>
        <v>95000</v>
      </c>
      <c r="CWH10" s="1548"/>
      <c r="CWI10" s="1547">
        <f t="shared" ref="CWI10" si="1300">CWG10</f>
        <v>95000</v>
      </c>
      <c r="CWJ10" s="1548"/>
      <c r="CWK10" s="1547">
        <f t="shared" ref="CWK10" si="1301">CWI10</f>
        <v>95000</v>
      </c>
      <c r="CWL10" s="1548"/>
      <c r="CWM10" s="1547">
        <f t="shared" ref="CWM10" si="1302">CWK10</f>
        <v>95000</v>
      </c>
      <c r="CWN10" s="1548"/>
      <c r="CWO10" s="1547">
        <f t="shared" ref="CWO10" si="1303">CWM10</f>
        <v>95000</v>
      </c>
      <c r="CWP10" s="1548"/>
      <c r="CWQ10" s="1547">
        <f t="shared" ref="CWQ10" si="1304">CWO10</f>
        <v>95000</v>
      </c>
      <c r="CWR10" s="1548"/>
      <c r="CWS10" s="1547">
        <f t="shared" ref="CWS10" si="1305">CWQ10</f>
        <v>95000</v>
      </c>
      <c r="CWT10" s="1548"/>
      <c r="CWU10" s="1547">
        <f t="shared" ref="CWU10" si="1306">CWS10</f>
        <v>95000</v>
      </c>
      <c r="CWV10" s="1548"/>
      <c r="CWW10" s="1547">
        <f t="shared" ref="CWW10" si="1307">CWU10</f>
        <v>95000</v>
      </c>
      <c r="CWX10" s="1548"/>
      <c r="CWY10" s="1547">
        <f t="shared" ref="CWY10" si="1308">CWW10</f>
        <v>95000</v>
      </c>
      <c r="CWZ10" s="1548"/>
      <c r="CXA10" s="1547">
        <f t="shared" ref="CXA10" si="1309">CWY10</f>
        <v>95000</v>
      </c>
      <c r="CXB10" s="1548"/>
      <c r="CXC10" s="1547">
        <f t="shared" ref="CXC10" si="1310">CXA10</f>
        <v>95000</v>
      </c>
      <c r="CXD10" s="1548"/>
      <c r="CXE10" s="1547">
        <f t="shared" ref="CXE10" si="1311">CXC10</f>
        <v>95000</v>
      </c>
      <c r="CXF10" s="1548"/>
      <c r="CXG10" s="1547">
        <f t="shared" ref="CXG10" si="1312">CXE10</f>
        <v>95000</v>
      </c>
      <c r="CXH10" s="1548"/>
      <c r="CXI10" s="1547">
        <f t="shared" ref="CXI10" si="1313">CXG10</f>
        <v>95000</v>
      </c>
      <c r="CXJ10" s="1548"/>
      <c r="CXK10" s="1547">
        <f t="shared" ref="CXK10" si="1314">CXI10</f>
        <v>95000</v>
      </c>
      <c r="CXL10" s="1548"/>
      <c r="CXM10" s="1547">
        <f t="shared" ref="CXM10" si="1315">CXK10</f>
        <v>95000</v>
      </c>
      <c r="CXN10" s="1548"/>
      <c r="CXO10" s="1547">
        <f t="shared" ref="CXO10" si="1316">CXM10</f>
        <v>95000</v>
      </c>
      <c r="CXP10" s="1548"/>
      <c r="CXQ10" s="1547">
        <f t="shared" ref="CXQ10" si="1317">CXO10</f>
        <v>95000</v>
      </c>
      <c r="CXR10" s="1548"/>
      <c r="CXS10" s="1547">
        <f t="shared" ref="CXS10" si="1318">CXQ10</f>
        <v>95000</v>
      </c>
      <c r="CXT10" s="1548"/>
      <c r="CXU10" s="1547">
        <f t="shared" ref="CXU10" si="1319">CXS10</f>
        <v>95000</v>
      </c>
      <c r="CXV10" s="1548"/>
      <c r="CXW10" s="1547">
        <f t="shared" ref="CXW10" si="1320">CXU10</f>
        <v>95000</v>
      </c>
      <c r="CXX10" s="1548"/>
      <c r="CXY10" s="1547">
        <f t="shared" ref="CXY10" si="1321">CXW10</f>
        <v>95000</v>
      </c>
      <c r="CXZ10" s="1548"/>
      <c r="CYA10" s="1547">
        <f t="shared" ref="CYA10" si="1322">CXY10</f>
        <v>95000</v>
      </c>
      <c r="CYB10" s="1548"/>
      <c r="CYC10" s="1547">
        <f t="shared" ref="CYC10" si="1323">CYA10</f>
        <v>95000</v>
      </c>
      <c r="CYD10" s="1548"/>
      <c r="CYE10" s="1547">
        <f t="shared" ref="CYE10" si="1324">CYC10</f>
        <v>95000</v>
      </c>
      <c r="CYF10" s="1548"/>
      <c r="CYG10" s="1547">
        <f t="shared" ref="CYG10" si="1325">CYE10</f>
        <v>95000</v>
      </c>
      <c r="CYH10" s="1548"/>
      <c r="CYI10" s="1547">
        <f t="shared" ref="CYI10" si="1326">CYG10</f>
        <v>95000</v>
      </c>
      <c r="CYJ10" s="1548"/>
      <c r="CYK10" s="1547">
        <f t="shared" ref="CYK10" si="1327">CYI10</f>
        <v>95000</v>
      </c>
      <c r="CYL10" s="1548"/>
      <c r="CYM10" s="1547">
        <f t="shared" ref="CYM10" si="1328">CYK10</f>
        <v>95000</v>
      </c>
      <c r="CYN10" s="1548"/>
      <c r="CYO10" s="1547">
        <f t="shared" ref="CYO10" si="1329">CYM10</f>
        <v>95000</v>
      </c>
      <c r="CYP10" s="1548"/>
      <c r="CYQ10" s="1547">
        <f t="shared" ref="CYQ10" si="1330">CYO10</f>
        <v>95000</v>
      </c>
      <c r="CYR10" s="1548"/>
      <c r="CYS10" s="1547">
        <f t="shared" ref="CYS10" si="1331">CYQ10</f>
        <v>95000</v>
      </c>
      <c r="CYT10" s="1548"/>
      <c r="CYU10" s="1547">
        <f t="shared" ref="CYU10" si="1332">CYS10</f>
        <v>95000</v>
      </c>
      <c r="CYV10" s="1548"/>
      <c r="CYW10" s="1547">
        <f t="shared" ref="CYW10" si="1333">CYU10</f>
        <v>95000</v>
      </c>
      <c r="CYX10" s="1548"/>
      <c r="CYY10" s="1547">
        <f t="shared" ref="CYY10" si="1334">CYW10</f>
        <v>95000</v>
      </c>
      <c r="CYZ10" s="1548"/>
      <c r="CZA10" s="1547">
        <f t="shared" ref="CZA10" si="1335">CYY10</f>
        <v>95000</v>
      </c>
      <c r="CZB10" s="1548"/>
      <c r="CZC10" s="1547">
        <f t="shared" ref="CZC10" si="1336">CZA10</f>
        <v>95000</v>
      </c>
      <c r="CZD10" s="1548"/>
      <c r="CZE10" s="1547">
        <f t="shared" ref="CZE10" si="1337">CZC10</f>
        <v>95000</v>
      </c>
      <c r="CZF10" s="1548"/>
      <c r="CZG10" s="1547">
        <f t="shared" ref="CZG10" si="1338">CZE10</f>
        <v>95000</v>
      </c>
      <c r="CZH10" s="1548"/>
      <c r="CZI10" s="1547">
        <f t="shared" ref="CZI10" si="1339">CZG10</f>
        <v>95000</v>
      </c>
      <c r="CZJ10" s="1548"/>
      <c r="CZK10" s="1547">
        <f t="shared" ref="CZK10" si="1340">CZI10</f>
        <v>95000</v>
      </c>
      <c r="CZL10" s="1548"/>
      <c r="CZM10" s="1547">
        <f t="shared" ref="CZM10" si="1341">CZK10</f>
        <v>95000</v>
      </c>
      <c r="CZN10" s="1548"/>
      <c r="CZO10" s="1547">
        <f t="shared" ref="CZO10" si="1342">CZM10</f>
        <v>95000</v>
      </c>
      <c r="CZP10" s="1548"/>
      <c r="CZQ10" s="1547">
        <f t="shared" ref="CZQ10" si="1343">CZO10</f>
        <v>95000</v>
      </c>
      <c r="CZR10" s="1548"/>
      <c r="CZS10" s="1547">
        <f t="shared" ref="CZS10" si="1344">CZQ10</f>
        <v>95000</v>
      </c>
      <c r="CZT10" s="1548"/>
      <c r="CZU10" s="1547">
        <f t="shared" ref="CZU10" si="1345">CZS10</f>
        <v>95000</v>
      </c>
      <c r="CZV10" s="1548"/>
      <c r="CZW10" s="1547">
        <f t="shared" ref="CZW10" si="1346">CZU10</f>
        <v>95000</v>
      </c>
      <c r="CZX10" s="1548"/>
      <c r="CZY10" s="1547">
        <f t="shared" ref="CZY10" si="1347">CZW10</f>
        <v>95000</v>
      </c>
      <c r="CZZ10" s="1548"/>
      <c r="DAA10" s="1547">
        <f t="shared" ref="DAA10" si="1348">CZY10</f>
        <v>95000</v>
      </c>
      <c r="DAB10" s="1548"/>
      <c r="DAC10" s="1547">
        <f t="shared" ref="DAC10" si="1349">DAA10</f>
        <v>95000</v>
      </c>
      <c r="DAD10" s="1548"/>
      <c r="DAE10" s="1547">
        <f t="shared" ref="DAE10" si="1350">DAC10</f>
        <v>95000</v>
      </c>
      <c r="DAF10" s="1548"/>
      <c r="DAG10" s="1547">
        <f t="shared" ref="DAG10" si="1351">DAE10</f>
        <v>95000</v>
      </c>
      <c r="DAH10" s="1548"/>
      <c r="DAI10" s="1547">
        <f t="shared" ref="DAI10" si="1352">DAG10</f>
        <v>95000</v>
      </c>
      <c r="DAJ10" s="1548"/>
      <c r="DAK10" s="1547">
        <f t="shared" ref="DAK10" si="1353">DAI10</f>
        <v>95000</v>
      </c>
      <c r="DAL10" s="1548"/>
      <c r="DAM10" s="1547">
        <f t="shared" ref="DAM10" si="1354">DAK10</f>
        <v>95000</v>
      </c>
      <c r="DAN10" s="1548"/>
      <c r="DAO10" s="1547">
        <f t="shared" ref="DAO10" si="1355">DAM10</f>
        <v>95000</v>
      </c>
      <c r="DAP10" s="1548"/>
      <c r="DAQ10" s="1547">
        <f t="shared" ref="DAQ10" si="1356">DAO10</f>
        <v>95000</v>
      </c>
      <c r="DAR10" s="1548"/>
      <c r="DAS10" s="1547">
        <f t="shared" ref="DAS10" si="1357">DAQ10</f>
        <v>95000</v>
      </c>
      <c r="DAT10" s="1548"/>
      <c r="DAU10" s="1547">
        <f t="shared" ref="DAU10" si="1358">DAS10</f>
        <v>95000</v>
      </c>
      <c r="DAV10" s="1548"/>
      <c r="DAW10" s="1547">
        <f t="shared" ref="DAW10" si="1359">DAU10</f>
        <v>95000</v>
      </c>
      <c r="DAX10" s="1548"/>
      <c r="DAY10" s="1547">
        <f t="shared" ref="DAY10" si="1360">DAW10</f>
        <v>95000</v>
      </c>
      <c r="DAZ10" s="1548"/>
      <c r="DBA10" s="1547">
        <f t="shared" ref="DBA10" si="1361">DAY10</f>
        <v>95000</v>
      </c>
      <c r="DBB10" s="1548"/>
      <c r="DBC10" s="1547">
        <f t="shared" ref="DBC10" si="1362">DBA10</f>
        <v>95000</v>
      </c>
      <c r="DBD10" s="1548"/>
      <c r="DBE10" s="1547">
        <f t="shared" ref="DBE10" si="1363">DBC10</f>
        <v>95000</v>
      </c>
      <c r="DBF10" s="1548"/>
      <c r="DBG10" s="1547">
        <f t="shared" ref="DBG10" si="1364">DBE10</f>
        <v>95000</v>
      </c>
      <c r="DBH10" s="1548"/>
      <c r="DBI10" s="1547">
        <f t="shared" ref="DBI10" si="1365">DBG10</f>
        <v>95000</v>
      </c>
      <c r="DBJ10" s="1548"/>
      <c r="DBK10" s="1547">
        <f t="shared" ref="DBK10" si="1366">DBI10</f>
        <v>95000</v>
      </c>
      <c r="DBL10" s="1548"/>
      <c r="DBM10" s="1547">
        <f t="shared" ref="DBM10" si="1367">DBK10</f>
        <v>95000</v>
      </c>
      <c r="DBN10" s="1548"/>
      <c r="DBO10" s="1547">
        <f t="shared" ref="DBO10" si="1368">DBM10</f>
        <v>95000</v>
      </c>
      <c r="DBP10" s="1548"/>
      <c r="DBQ10" s="1547">
        <f t="shared" ref="DBQ10" si="1369">DBO10</f>
        <v>95000</v>
      </c>
      <c r="DBR10" s="1548"/>
      <c r="DBS10" s="1547">
        <f t="shared" ref="DBS10" si="1370">DBQ10</f>
        <v>95000</v>
      </c>
      <c r="DBT10" s="1548"/>
      <c r="DBU10" s="1547">
        <f t="shared" ref="DBU10" si="1371">DBS10</f>
        <v>95000</v>
      </c>
      <c r="DBV10" s="1548"/>
      <c r="DBW10" s="1547">
        <f t="shared" ref="DBW10" si="1372">DBU10</f>
        <v>95000</v>
      </c>
      <c r="DBX10" s="1548"/>
      <c r="DBY10" s="1547">
        <f t="shared" ref="DBY10" si="1373">DBW10</f>
        <v>95000</v>
      </c>
      <c r="DBZ10" s="1548"/>
      <c r="DCA10" s="1547">
        <f t="shared" ref="DCA10" si="1374">DBY10</f>
        <v>95000</v>
      </c>
      <c r="DCB10" s="1548"/>
      <c r="DCC10" s="1547">
        <f t="shared" ref="DCC10" si="1375">DCA10</f>
        <v>95000</v>
      </c>
      <c r="DCD10" s="1548"/>
      <c r="DCE10" s="1547">
        <f t="shared" ref="DCE10" si="1376">DCC10</f>
        <v>95000</v>
      </c>
      <c r="DCF10" s="1548"/>
      <c r="DCG10" s="1547">
        <f t="shared" ref="DCG10" si="1377">DCE10</f>
        <v>95000</v>
      </c>
      <c r="DCH10" s="1548"/>
      <c r="DCI10" s="1547">
        <f t="shared" ref="DCI10" si="1378">DCG10</f>
        <v>95000</v>
      </c>
      <c r="DCJ10" s="1548"/>
      <c r="DCK10" s="1547">
        <f t="shared" ref="DCK10" si="1379">DCI10</f>
        <v>95000</v>
      </c>
      <c r="DCL10" s="1548"/>
      <c r="DCM10" s="1547">
        <f t="shared" ref="DCM10" si="1380">DCK10</f>
        <v>95000</v>
      </c>
      <c r="DCN10" s="1548"/>
      <c r="DCO10" s="1547">
        <f t="shared" ref="DCO10" si="1381">DCM10</f>
        <v>95000</v>
      </c>
      <c r="DCP10" s="1548"/>
      <c r="DCQ10" s="1547">
        <f t="shared" ref="DCQ10" si="1382">DCO10</f>
        <v>95000</v>
      </c>
      <c r="DCR10" s="1548"/>
      <c r="DCS10" s="1547">
        <f t="shared" ref="DCS10" si="1383">DCQ10</f>
        <v>95000</v>
      </c>
      <c r="DCT10" s="1548"/>
      <c r="DCU10" s="1547">
        <f t="shared" ref="DCU10" si="1384">DCS10</f>
        <v>95000</v>
      </c>
      <c r="DCV10" s="1548"/>
      <c r="DCW10" s="1547">
        <f t="shared" ref="DCW10" si="1385">DCU10</f>
        <v>95000</v>
      </c>
      <c r="DCX10" s="1548"/>
      <c r="DCY10" s="1547">
        <f t="shared" ref="DCY10" si="1386">DCW10</f>
        <v>95000</v>
      </c>
      <c r="DCZ10" s="1548"/>
      <c r="DDA10" s="1547">
        <f t="shared" ref="DDA10" si="1387">DCY10</f>
        <v>95000</v>
      </c>
      <c r="DDB10" s="1548"/>
      <c r="DDC10" s="1547">
        <f t="shared" ref="DDC10" si="1388">DDA10</f>
        <v>95000</v>
      </c>
      <c r="DDD10" s="1548"/>
      <c r="DDE10" s="1547">
        <f t="shared" ref="DDE10" si="1389">DDC10</f>
        <v>95000</v>
      </c>
      <c r="DDF10" s="1548"/>
      <c r="DDG10" s="1547">
        <f t="shared" ref="DDG10" si="1390">DDE10</f>
        <v>95000</v>
      </c>
      <c r="DDH10" s="1548"/>
      <c r="DDI10" s="1547">
        <f t="shared" ref="DDI10" si="1391">DDG10</f>
        <v>95000</v>
      </c>
      <c r="DDJ10" s="1548"/>
      <c r="DDK10" s="1547">
        <f t="shared" ref="DDK10" si="1392">DDI10</f>
        <v>95000</v>
      </c>
      <c r="DDL10" s="1548"/>
      <c r="DDM10" s="1547">
        <f t="shared" ref="DDM10" si="1393">DDK10</f>
        <v>95000</v>
      </c>
      <c r="DDN10" s="1548"/>
      <c r="DDO10" s="1547">
        <f t="shared" ref="DDO10" si="1394">DDM10</f>
        <v>95000</v>
      </c>
      <c r="DDP10" s="1548"/>
      <c r="DDQ10" s="1547">
        <f t="shared" ref="DDQ10" si="1395">DDO10</f>
        <v>95000</v>
      </c>
      <c r="DDR10" s="1548"/>
      <c r="DDS10" s="1547">
        <f t="shared" ref="DDS10" si="1396">DDQ10</f>
        <v>95000</v>
      </c>
      <c r="DDT10" s="1548"/>
      <c r="DDU10" s="1547">
        <f t="shared" ref="DDU10" si="1397">DDS10</f>
        <v>95000</v>
      </c>
      <c r="DDV10" s="1548"/>
      <c r="DDW10" s="1547">
        <f t="shared" ref="DDW10" si="1398">DDU10</f>
        <v>95000</v>
      </c>
      <c r="DDX10" s="1548"/>
      <c r="DDY10" s="1547">
        <f t="shared" ref="DDY10" si="1399">DDW10</f>
        <v>95000</v>
      </c>
      <c r="DDZ10" s="1548"/>
      <c r="DEA10" s="1547">
        <f t="shared" ref="DEA10" si="1400">DDY10</f>
        <v>95000</v>
      </c>
      <c r="DEB10" s="1548"/>
      <c r="DEC10" s="1547">
        <f t="shared" ref="DEC10" si="1401">DEA10</f>
        <v>95000</v>
      </c>
      <c r="DED10" s="1548"/>
      <c r="DEE10" s="1547">
        <f t="shared" ref="DEE10" si="1402">DEC10</f>
        <v>95000</v>
      </c>
      <c r="DEF10" s="1548"/>
      <c r="DEG10" s="1547">
        <f t="shared" ref="DEG10" si="1403">DEE10</f>
        <v>95000</v>
      </c>
      <c r="DEH10" s="1548"/>
      <c r="DEI10" s="1547">
        <f t="shared" ref="DEI10" si="1404">DEG10</f>
        <v>95000</v>
      </c>
      <c r="DEJ10" s="1548"/>
      <c r="DEK10" s="1547">
        <f t="shared" ref="DEK10" si="1405">DEI10</f>
        <v>95000</v>
      </c>
      <c r="DEL10" s="1548"/>
      <c r="DEM10" s="1547">
        <f t="shared" ref="DEM10" si="1406">DEK10</f>
        <v>95000</v>
      </c>
      <c r="DEN10" s="1548"/>
      <c r="DEO10" s="1547">
        <f t="shared" ref="DEO10" si="1407">DEM10</f>
        <v>95000</v>
      </c>
      <c r="DEP10" s="1548"/>
      <c r="DEQ10" s="1547">
        <f t="shared" ref="DEQ10" si="1408">DEO10</f>
        <v>95000</v>
      </c>
      <c r="DER10" s="1548"/>
      <c r="DES10" s="1547">
        <f t="shared" ref="DES10" si="1409">DEQ10</f>
        <v>95000</v>
      </c>
      <c r="DET10" s="1548"/>
      <c r="DEU10" s="1547">
        <f t="shared" ref="DEU10" si="1410">DES10</f>
        <v>95000</v>
      </c>
      <c r="DEV10" s="1548"/>
      <c r="DEW10" s="1547">
        <f t="shared" ref="DEW10" si="1411">DEU10</f>
        <v>95000</v>
      </c>
      <c r="DEX10" s="1548"/>
      <c r="DEY10" s="1547">
        <f t="shared" ref="DEY10" si="1412">DEW10</f>
        <v>95000</v>
      </c>
      <c r="DEZ10" s="1548"/>
      <c r="DFA10" s="1547">
        <f t="shared" ref="DFA10" si="1413">DEY10</f>
        <v>95000</v>
      </c>
      <c r="DFB10" s="1548"/>
      <c r="DFC10" s="1547">
        <f t="shared" ref="DFC10" si="1414">DFA10</f>
        <v>95000</v>
      </c>
      <c r="DFD10" s="1548"/>
      <c r="DFE10" s="1547">
        <f t="shared" ref="DFE10" si="1415">DFC10</f>
        <v>95000</v>
      </c>
      <c r="DFF10" s="1548"/>
      <c r="DFG10" s="1547">
        <f t="shared" ref="DFG10" si="1416">DFE10</f>
        <v>95000</v>
      </c>
      <c r="DFH10" s="1548"/>
      <c r="DFI10" s="1547">
        <f t="shared" ref="DFI10" si="1417">DFG10</f>
        <v>95000</v>
      </c>
      <c r="DFJ10" s="1548"/>
      <c r="DFK10" s="1547">
        <f t="shared" ref="DFK10" si="1418">DFI10</f>
        <v>95000</v>
      </c>
      <c r="DFL10" s="1548"/>
      <c r="DFM10" s="1547">
        <f t="shared" ref="DFM10" si="1419">DFK10</f>
        <v>95000</v>
      </c>
      <c r="DFN10" s="1548"/>
      <c r="DFO10" s="1547">
        <f t="shared" ref="DFO10" si="1420">DFM10</f>
        <v>95000</v>
      </c>
      <c r="DFP10" s="1548"/>
      <c r="DFQ10" s="1547">
        <f t="shared" ref="DFQ10" si="1421">DFO10</f>
        <v>95000</v>
      </c>
      <c r="DFR10" s="1548"/>
      <c r="DFS10" s="1547">
        <f t="shared" ref="DFS10" si="1422">DFQ10</f>
        <v>95000</v>
      </c>
      <c r="DFT10" s="1548"/>
      <c r="DFU10" s="1547">
        <f t="shared" ref="DFU10" si="1423">DFS10</f>
        <v>95000</v>
      </c>
      <c r="DFV10" s="1548"/>
      <c r="DFW10" s="1547">
        <f t="shared" ref="DFW10" si="1424">DFU10</f>
        <v>95000</v>
      </c>
      <c r="DFX10" s="1548"/>
      <c r="DFY10" s="1547">
        <f t="shared" ref="DFY10" si="1425">DFW10</f>
        <v>95000</v>
      </c>
      <c r="DFZ10" s="1548"/>
      <c r="DGA10" s="1547">
        <f t="shared" ref="DGA10" si="1426">DFY10</f>
        <v>95000</v>
      </c>
      <c r="DGB10" s="1548"/>
      <c r="DGC10" s="1547">
        <f t="shared" ref="DGC10" si="1427">DGA10</f>
        <v>95000</v>
      </c>
      <c r="DGD10" s="1548"/>
      <c r="DGE10" s="1547">
        <f t="shared" ref="DGE10" si="1428">DGC10</f>
        <v>95000</v>
      </c>
      <c r="DGF10" s="1548"/>
      <c r="DGG10" s="1547">
        <f t="shared" ref="DGG10" si="1429">DGE10</f>
        <v>95000</v>
      </c>
      <c r="DGH10" s="1548"/>
      <c r="DGI10" s="1547">
        <f t="shared" ref="DGI10" si="1430">DGG10</f>
        <v>95000</v>
      </c>
      <c r="DGJ10" s="1548"/>
      <c r="DGK10" s="1547">
        <f t="shared" ref="DGK10" si="1431">DGI10</f>
        <v>95000</v>
      </c>
      <c r="DGL10" s="1548"/>
      <c r="DGM10" s="1547">
        <f t="shared" ref="DGM10" si="1432">DGK10</f>
        <v>95000</v>
      </c>
      <c r="DGN10" s="1548"/>
      <c r="DGO10" s="1547">
        <f t="shared" ref="DGO10" si="1433">DGM10</f>
        <v>95000</v>
      </c>
      <c r="DGP10" s="1548"/>
      <c r="DGQ10" s="1547">
        <f t="shared" ref="DGQ10" si="1434">DGO10</f>
        <v>95000</v>
      </c>
      <c r="DGR10" s="1548"/>
      <c r="DGS10" s="1547">
        <f t="shared" ref="DGS10" si="1435">DGQ10</f>
        <v>95000</v>
      </c>
      <c r="DGT10" s="1548"/>
      <c r="DGU10" s="1547">
        <f t="shared" ref="DGU10" si="1436">DGS10</f>
        <v>95000</v>
      </c>
      <c r="DGV10" s="1548"/>
      <c r="DGW10" s="1547">
        <f t="shared" ref="DGW10" si="1437">DGU10</f>
        <v>95000</v>
      </c>
      <c r="DGX10" s="1548"/>
      <c r="DGY10" s="1547">
        <f t="shared" ref="DGY10" si="1438">DGW10</f>
        <v>95000</v>
      </c>
      <c r="DGZ10" s="1548"/>
      <c r="DHA10" s="1547">
        <f t="shared" ref="DHA10" si="1439">DGY10</f>
        <v>95000</v>
      </c>
      <c r="DHB10" s="1548"/>
      <c r="DHC10" s="1547">
        <f t="shared" ref="DHC10" si="1440">DHA10</f>
        <v>95000</v>
      </c>
      <c r="DHD10" s="1548"/>
      <c r="DHE10" s="1547">
        <f t="shared" ref="DHE10" si="1441">DHC10</f>
        <v>95000</v>
      </c>
      <c r="DHF10" s="1548"/>
      <c r="DHG10" s="1547">
        <f t="shared" ref="DHG10" si="1442">DHE10</f>
        <v>95000</v>
      </c>
      <c r="DHH10" s="1548"/>
      <c r="DHI10" s="1547">
        <f t="shared" ref="DHI10" si="1443">DHG10</f>
        <v>95000</v>
      </c>
      <c r="DHJ10" s="1548"/>
      <c r="DHK10" s="1547">
        <f t="shared" ref="DHK10" si="1444">DHI10</f>
        <v>95000</v>
      </c>
      <c r="DHL10" s="1548"/>
      <c r="DHM10" s="1547">
        <f t="shared" ref="DHM10" si="1445">DHK10</f>
        <v>95000</v>
      </c>
      <c r="DHN10" s="1548"/>
      <c r="DHO10" s="1547">
        <f t="shared" ref="DHO10" si="1446">DHM10</f>
        <v>95000</v>
      </c>
      <c r="DHP10" s="1548"/>
      <c r="DHQ10" s="1547">
        <f t="shared" ref="DHQ10" si="1447">DHO10</f>
        <v>95000</v>
      </c>
      <c r="DHR10" s="1548"/>
      <c r="DHS10" s="1547">
        <f t="shared" ref="DHS10" si="1448">DHQ10</f>
        <v>95000</v>
      </c>
      <c r="DHT10" s="1548"/>
      <c r="DHU10" s="1547">
        <f t="shared" ref="DHU10" si="1449">DHS10</f>
        <v>95000</v>
      </c>
      <c r="DHV10" s="1548"/>
      <c r="DHW10" s="1547">
        <f t="shared" ref="DHW10" si="1450">DHU10</f>
        <v>95000</v>
      </c>
      <c r="DHX10" s="1548"/>
      <c r="DHY10" s="1547">
        <f t="shared" ref="DHY10" si="1451">DHW10</f>
        <v>95000</v>
      </c>
      <c r="DHZ10" s="1548"/>
      <c r="DIA10" s="1547">
        <f t="shared" ref="DIA10" si="1452">DHY10</f>
        <v>95000</v>
      </c>
      <c r="DIB10" s="1548"/>
      <c r="DIC10" s="1547">
        <f t="shared" ref="DIC10" si="1453">DIA10</f>
        <v>95000</v>
      </c>
      <c r="DID10" s="1548"/>
      <c r="DIE10" s="1547">
        <f t="shared" ref="DIE10" si="1454">DIC10</f>
        <v>95000</v>
      </c>
      <c r="DIF10" s="1548"/>
      <c r="DIG10" s="1547">
        <f t="shared" ref="DIG10" si="1455">DIE10</f>
        <v>95000</v>
      </c>
      <c r="DIH10" s="1548"/>
      <c r="DII10" s="1547">
        <f t="shared" ref="DII10" si="1456">DIG10</f>
        <v>95000</v>
      </c>
      <c r="DIJ10" s="1548"/>
      <c r="DIK10" s="1547">
        <f t="shared" ref="DIK10" si="1457">DII10</f>
        <v>95000</v>
      </c>
      <c r="DIL10" s="1548"/>
      <c r="DIM10" s="1547">
        <f t="shared" ref="DIM10" si="1458">DIK10</f>
        <v>95000</v>
      </c>
      <c r="DIN10" s="1548"/>
      <c r="DIO10" s="1547">
        <f t="shared" ref="DIO10" si="1459">DIM10</f>
        <v>95000</v>
      </c>
      <c r="DIP10" s="1548"/>
      <c r="DIQ10" s="1547">
        <f t="shared" ref="DIQ10" si="1460">DIO10</f>
        <v>95000</v>
      </c>
      <c r="DIR10" s="1548"/>
      <c r="DIS10" s="1547">
        <f t="shared" ref="DIS10" si="1461">DIQ10</f>
        <v>95000</v>
      </c>
      <c r="DIT10" s="1548"/>
      <c r="DIU10" s="1547">
        <f t="shared" ref="DIU10" si="1462">DIS10</f>
        <v>95000</v>
      </c>
      <c r="DIV10" s="1548"/>
      <c r="DIW10" s="1547">
        <f t="shared" ref="DIW10" si="1463">DIU10</f>
        <v>95000</v>
      </c>
      <c r="DIX10" s="1548"/>
      <c r="DIY10" s="1547">
        <f t="shared" ref="DIY10" si="1464">DIW10</f>
        <v>95000</v>
      </c>
      <c r="DIZ10" s="1548"/>
      <c r="DJA10" s="1547">
        <f t="shared" ref="DJA10" si="1465">DIY10</f>
        <v>95000</v>
      </c>
      <c r="DJB10" s="1548"/>
      <c r="DJC10" s="1547">
        <f t="shared" ref="DJC10" si="1466">DJA10</f>
        <v>95000</v>
      </c>
      <c r="DJD10" s="1548"/>
      <c r="DJE10" s="1547">
        <f t="shared" ref="DJE10" si="1467">DJC10</f>
        <v>95000</v>
      </c>
      <c r="DJF10" s="1548"/>
      <c r="DJG10" s="1547">
        <f t="shared" ref="DJG10" si="1468">DJE10</f>
        <v>95000</v>
      </c>
      <c r="DJH10" s="1548"/>
      <c r="DJI10" s="1547">
        <f t="shared" ref="DJI10" si="1469">DJG10</f>
        <v>95000</v>
      </c>
      <c r="DJJ10" s="1548"/>
      <c r="DJK10" s="1547">
        <f t="shared" ref="DJK10" si="1470">DJI10</f>
        <v>95000</v>
      </c>
      <c r="DJL10" s="1548"/>
      <c r="DJM10" s="1547">
        <f t="shared" ref="DJM10" si="1471">DJK10</f>
        <v>95000</v>
      </c>
      <c r="DJN10" s="1548"/>
      <c r="DJO10" s="1547">
        <f t="shared" ref="DJO10" si="1472">DJM10</f>
        <v>95000</v>
      </c>
      <c r="DJP10" s="1548"/>
      <c r="DJQ10" s="1547">
        <f t="shared" ref="DJQ10" si="1473">DJO10</f>
        <v>95000</v>
      </c>
      <c r="DJR10" s="1548"/>
      <c r="DJS10" s="1547">
        <f t="shared" ref="DJS10" si="1474">DJQ10</f>
        <v>95000</v>
      </c>
      <c r="DJT10" s="1548"/>
      <c r="DJU10" s="1547">
        <f t="shared" ref="DJU10" si="1475">DJS10</f>
        <v>95000</v>
      </c>
      <c r="DJV10" s="1548"/>
      <c r="DJW10" s="1547">
        <f t="shared" ref="DJW10" si="1476">DJU10</f>
        <v>95000</v>
      </c>
      <c r="DJX10" s="1548"/>
      <c r="DJY10" s="1547">
        <f t="shared" ref="DJY10" si="1477">DJW10</f>
        <v>95000</v>
      </c>
      <c r="DJZ10" s="1548"/>
      <c r="DKA10" s="1547">
        <f t="shared" ref="DKA10" si="1478">DJY10</f>
        <v>95000</v>
      </c>
      <c r="DKB10" s="1548"/>
      <c r="DKC10" s="1547">
        <f t="shared" ref="DKC10" si="1479">DKA10</f>
        <v>95000</v>
      </c>
      <c r="DKD10" s="1548"/>
      <c r="DKE10" s="1547">
        <f t="shared" ref="DKE10" si="1480">DKC10</f>
        <v>95000</v>
      </c>
      <c r="DKF10" s="1548"/>
      <c r="DKG10" s="1547">
        <f t="shared" ref="DKG10" si="1481">DKE10</f>
        <v>95000</v>
      </c>
      <c r="DKH10" s="1548"/>
      <c r="DKI10" s="1547">
        <f t="shared" ref="DKI10" si="1482">DKG10</f>
        <v>95000</v>
      </c>
      <c r="DKJ10" s="1548"/>
      <c r="DKK10" s="1547">
        <f t="shared" ref="DKK10" si="1483">DKI10</f>
        <v>95000</v>
      </c>
      <c r="DKL10" s="1548"/>
      <c r="DKM10" s="1547">
        <f t="shared" ref="DKM10" si="1484">DKK10</f>
        <v>95000</v>
      </c>
      <c r="DKN10" s="1548"/>
      <c r="DKO10" s="1547">
        <f t="shared" ref="DKO10" si="1485">DKM10</f>
        <v>95000</v>
      </c>
      <c r="DKP10" s="1548"/>
      <c r="DKQ10" s="1547">
        <f t="shared" ref="DKQ10" si="1486">DKO10</f>
        <v>95000</v>
      </c>
      <c r="DKR10" s="1548"/>
      <c r="DKS10" s="1547">
        <f t="shared" ref="DKS10" si="1487">DKQ10</f>
        <v>95000</v>
      </c>
      <c r="DKT10" s="1548"/>
      <c r="DKU10" s="1547">
        <f t="shared" ref="DKU10" si="1488">DKS10</f>
        <v>95000</v>
      </c>
      <c r="DKV10" s="1548"/>
      <c r="DKW10" s="1547">
        <f t="shared" ref="DKW10" si="1489">DKU10</f>
        <v>95000</v>
      </c>
      <c r="DKX10" s="1548"/>
      <c r="DKY10" s="1547">
        <f t="shared" ref="DKY10" si="1490">DKW10</f>
        <v>95000</v>
      </c>
      <c r="DKZ10" s="1548"/>
      <c r="DLA10" s="1547">
        <f t="shared" ref="DLA10" si="1491">DKY10</f>
        <v>95000</v>
      </c>
      <c r="DLB10" s="1548"/>
      <c r="DLC10" s="1547">
        <f t="shared" ref="DLC10" si="1492">DLA10</f>
        <v>95000</v>
      </c>
      <c r="DLD10" s="1548"/>
      <c r="DLE10" s="1547">
        <f t="shared" ref="DLE10" si="1493">DLC10</f>
        <v>95000</v>
      </c>
      <c r="DLF10" s="1548"/>
      <c r="DLG10" s="1547">
        <f t="shared" ref="DLG10" si="1494">DLE10</f>
        <v>95000</v>
      </c>
      <c r="DLH10" s="1548"/>
      <c r="DLI10" s="1547">
        <f t="shared" ref="DLI10" si="1495">DLG10</f>
        <v>95000</v>
      </c>
      <c r="DLJ10" s="1548"/>
      <c r="DLK10" s="1547">
        <f t="shared" ref="DLK10" si="1496">DLI10</f>
        <v>95000</v>
      </c>
      <c r="DLL10" s="1548"/>
      <c r="DLM10" s="1547">
        <f t="shared" ref="DLM10" si="1497">DLK10</f>
        <v>95000</v>
      </c>
      <c r="DLN10" s="1548"/>
      <c r="DLO10" s="1547">
        <f t="shared" ref="DLO10" si="1498">DLM10</f>
        <v>95000</v>
      </c>
      <c r="DLP10" s="1548"/>
      <c r="DLQ10" s="1547">
        <f t="shared" ref="DLQ10" si="1499">DLO10</f>
        <v>95000</v>
      </c>
      <c r="DLR10" s="1548"/>
      <c r="DLS10" s="1547">
        <f t="shared" ref="DLS10" si="1500">DLQ10</f>
        <v>95000</v>
      </c>
      <c r="DLT10" s="1548"/>
      <c r="DLU10" s="1547">
        <f t="shared" ref="DLU10" si="1501">DLS10</f>
        <v>95000</v>
      </c>
      <c r="DLV10" s="1548"/>
      <c r="DLW10" s="1547">
        <f t="shared" ref="DLW10" si="1502">DLU10</f>
        <v>95000</v>
      </c>
      <c r="DLX10" s="1548"/>
      <c r="DLY10" s="1547">
        <f t="shared" ref="DLY10" si="1503">DLW10</f>
        <v>95000</v>
      </c>
      <c r="DLZ10" s="1548"/>
      <c r="DMA10" s="1547">
        <f t="shared" ref="DMA10" si="1504">DLY10</f>
        <v>95000</v>
      </c>
      <c r="DMB10" s="1548"/>
      <c r="DMC10" s="1547">
        <f t="shared" ref="DMC10" si="1505">DMA10</f>
        <v>95000</v>
      </c>
      <c r="DMD10" s="1548"/>
      <c r="DME10" s="1547">
        <f t="shared" ref="DME10" si="1506">DMC10</f>
        <v>95000</v>
      </c>
      <c r="DMF10" s="1548"/>
      <c r="DMG10" s="1547">
        <f t="shared" ref="DMG10" si="1507">DME10</f>
        <v>95000</v>
      </c>
      <c r="DMH10" s="1548"/>
      <c r="DMI10" s="1547">
        <f t="shared" ref="DMI10" si="1508">DMG10</f>
        <v>95000</v>
      </c>
      <c r="DMJ10" s="1548"/>
      <c r="DMK10" s="1547">
        <f t="shared" ref="DMK10" si="1509">DMI10</f>
        <v>95000</v>
      </c>
      <c r="DML10" s="1548"/>
      <c r="DMM10" s="1547">
        <f t="shared" ref="DMM10" si="1510">DMK10</f>
        <v>95000</v>
      </c>
      <c r="DMN10" s="1548"/>
      <c r="DMO10" s="1547">
        <f t="shared" ref="DMO10" si="1511">DMM10</f>
        <v>95000</v>
      </c>
      <c r="DMP10" s="1548"/>
      <c r="DMQ10" s="1547">
        <f t="shared" ref="DMQ10" si="1512">DMO10</f>
        <v>95000</v>
      </c>
      <c r="DMR10" s="1548"/>
      <c r="DMS10" s="1547">
        <f t="shared" ref="DMS10" si="1513">DMQ10</f>
        <v>95000</v>
      </c>
      <c r="DMT10" s="1548"/>
      <c r="DMU10" s="1547">
        <f t="shared" ref="DMU10" si="1514">DMS10</f>
        <v>95000</v>
      </c>
      <c r="DMV10" s="1548"/>
      <c r="DMW10" s="1547">
        <f t="shared" ref="DMW10" si="1515">DMU10</f>
        <v>95000</v>
      </c>
      <c r="DMX10" s="1548"/>
      <c r="DMY10" s="1547">
        <f t="shared" ref="DMY10" si="1516">DMW10</f>
        <v>95000</v>
      </c>
      <c r="DMZ10" s="1548"/>
      <c r="DNA10" s="1547">
        <f t="shared" ref="DNA10" si="1517">DMY10</f>
        <v>95000</v>
      </c>
      <c r="DNB10" s="1548"/>
      <c r="DNC10" s="1547">
        <f t="shared" ref="DNC10" si="1518">DNA10</f>
        <v>95000</v>
      </c>
      <c r="DND10" s="1548"/>
      <c r="DNE10" s="1547">
        <f t="shared" ref="DNE10" si="1519">DNC10</f>
        <v>95000</v>
      </c>
      <c r="DNF10" s="1548"/>
      <c r="DNG10" s="1547">
        <f t="shared" ref="DNG10" si="1520">DNE10</f>
        <v>95000</v>
      </c>
      <c r="DNH10" s="1548"/>
      <c r="DNI10" s="1547">
        <f t="shared" ref="DNI10" si="1521">DNG10</f>
        <v>95000</v>
      </c>
      <c r="DNJ10" s="1548"/>
      <c r="DNK10" s="1547">
        <f t="shared" ref="DNK10" si="1522">DNI10</f>
        <v>95000</v>
      </c>
      <c r="DNL10" s="1548"/>
      <c r="DNM10" s="1547">
        <f t="shared" ref="DNM10" si="1523">DNK10</f>
        <v>95000</v>
      </c>
      <c r="DNN10" s="1548"/>
      <c r="DNO10" s="1547">
        <f t="shared" ref="DNO10" si="1524">DNM10</f>
        <v>95000</v>
      </c>
      <c r="DNP10" s="1548"/>
      <c r="DNQ10" s="1547">
        <f t="shared" ref="DNQ10" si="1525">DNO10</f>
        <v>95000</v>
      </c>
      <c r="DNR10" s="1548"/>
      <c r="DNS10" s="1547">
        <f t="shared" ref="DNS10" si="1526">DNQ10</f>
        <v>95000</v>
      </c>
      <c r="DNT10" s="1548"/>
      <c r="DNU10" s="1547">
        <f t="shared" ref="DNU10" si="1527">DNS10</f>
        <v>95000</v>
      </c>
      <c r="DNV10" s="1548"/>
      <c r="DNW10" s="1547">
        <f t="shared" ref="DNW10" si="1528">DNU10</f>
        <v>95000</v>
      </c>
      <c r="DNX10" s="1548"/>
      <c r="DNY10" s="1547">
        <f t="shared" ref="DNY10" si="1529">DNW10</f>
        <v>95000</v>
      </c>
      <c r="DNZ10" s="1548"/>
      <c r="DOA10" s="1547">
        <f t="shared" ref="DOA10" si="1530">DNY10</f>
        <v>95000</v>
      </c>
      <c r="DOB10" s="1548"/>
      <c r="DOC10" s="1547">
        <f t="shared" ref="DOC10" si="1531">DOA10</f>
        <v>95000</v>
      </c>
      <c r="DOD10" s="1548"/>
      <c r="DOE10" s="1547">
        <f t="shared" ref="DOE10" si="1532">DOC10</f>
        <v>95000</v>
      </c>
      <c r="DOF10" s="1548"/>
      <c r="DOG10" s="1547">
        <f t="shared" ref="DOG10" si="1533">DOE10</f>
        <v>95000</v>
      </c>
      <c r="DOH10" s="1548"/>
      <c r="DOI10" s="1547">
        <f t="shared" ref="DOI10" si="1534">DOG10</f>
        <v>95000</v>
      </c>
      <c r="DOJ10" s="1548"/>
      <c r="DOK10" s="1547">
        <f t="shared" ref="DOK10" si="1535">DOI10</f>
        <v>95000</v>
      </c>
      <c r="DOL10" s="1548"/>
      <c r="DOM10" s="1547">
        <f t="shared" ref="DOM10" si="1536">DOK10</f>
        <v>95000</v>
      </c>
      <c r="DON10" s="1548"/>
      <c r="DOO10" s="1547">
        <f t="shared" ref="DOO10" si="1537">DOM10</f>
        <v>95000</v>
      </c>
      <c r="DOP10" s="1548"/>
      <c r="DOQ10" s="1547">
        <f t="shared" ref="DOQ10" si="1538">DOO10</f>
        <v>95000</v>
      </c>
      <c r="DOR10" s="1548"/>
      <c r="DOS10" s="1547">
        <f t="shared" ref="DOS10" si="1539">DOQ10</f>
        <v>95000</v>
      </c>
      <c r="DOT10" s="1548"/>
      <c r="DOU10" s="1547">
        <f t="shared" ref="DOU10" si="1540">DOS10</f>
        <v>95000</v>
      </c>
      <c r="DOV10" s="1548"/>
      <c r="DOW10" s="1547">
        <f t="shared" ref="DOW10" si="1541">DOU10</f>
        <v>95000</v>
      </c>
      <c r="DOX10" s="1548"/>
      <c r="DOY10" s="1547">
        <f t="shared" ref="DOY10" si="1542">DOW10</f>
        <v>95000</v>
      </c>
      <c r="DOZ10" s="1548"/>
      <c r="DPA10" s="1547">
        <f t="shared" ref="DPA10" si="1543">DOY10</f>
        <v>95000</v>
      </c>
      <c r="DPB10" s="1548"/>
      <c r="DPC10" s="1547">
        <f t="shared" ref="DPC10" si="1544">DPA10</f>
        <v>95000</v>
      </c>
      <c r="DPD10" s="1548"/>
      <c r="DPE10" s="1547">
        <f t="shared" ref="DPE10" si="1545">DPC10</f>
        <v>95000</v>
      </c>
      <c r="DPF10" s="1548"/>
      <c r="DPG10" s="1547">
        <f t="shared" ref="DPG10" si="1546">DPE10</f>
        <v>95000</v>
      </c>
      <c r="DPH10" s="1548"/>
      <c r="DPI10" s="1547">
        <f t="shared" ref="DPI10" si="1547">DPG10</f>
        <v>95000</v>
      </c>
      <c r="DPJ10" s="1548"/>
      <c r="DPK10" s="1547">
        <f t="shared" ref="DPK10" si="1548">DPI10</f>
        <v>95000</v>
      </c>
      <c r="DPL10" s="1548"/>
      <c r="DPM10" s="1547">
        <f t="shared" ref="DPM10" si="1549">DPK10</f>
        <v>95000</v>
      </c>
      <c r="DPN10" s="1548"/>
      <c r="DPO10" s="1547">
        <f t="shared" ref="DPO10" si="1550">DPM10</f>
        <v>95000</v>
      </c>
      <c r="DPP10" s="1548"/>
      <c r="DPQ10" s="1547">
        <f t="shared" ref="DPQ10" si="1551">DPO10</f>
        <v>95000</v>
      </c>
      <c r="DPR10" s="1548"/>
      <c r="DPS10" s="1547">
        <f t="shared" ref="DPS10" si="1552">DPQ10</f>
        <v>95000</v>
      </c>
      <c r="DPT10" s="1548"/>
      <c r="DPU10" s="1547">
        <f t="shared" ref="DPU10" si="1553">DPS10</f>
        <v>95000</v>
      </c>
      <c r="DPV10" s="1548"/>
      <c r="DPW10" s="1547">
        <f t="shared" ref="DPW10" si="1554">DPU10</f>
        <v>95000</v>
      </c>
      <c r="DPX10" s="1548"/>
      <c r="DPY10" s="1547">
        <f t="shared" ref="DPY10" si="1555">DPW10</f>
        <v>95000</v>
      </c>
      <c r="DPZ10" s="1548"/>
      <c r="DQA10" s="1547">
        <f t="shared" ref="DQA10" si="1556">DPY10</f>
        <v>95000</v>
      </c>
      <c r="DQB10" s="1548"/>
      <c r="DQC10" s="1547">
        <f t="shared" ref="DQC10" si="1557">DQA10</f>
        <v>95000</v>
      </c>
      <c r="DQD10" s="1548"/>
      <c r="DQE10" s="1547">
        <f t="shared" ref="DQE10" si="1558">DQC10</f>
        <v>95000</v>
      </c>
      <c r="DQF10" s="1548"/>
      <c r="DQG10" s="1547">
        <f t="shared" ref="DQG10" si="1559">DQE10</f>
        <v>95000</v>
      </c>
      <c r="DQH10" s="1548"/>
      <c r="DQI10" s="1547">
        <f t="shared" ref="DQI10" si="1560">DQG10</f>
        <v>95000</v>
      </c>
      <c r="DQJ10" s="1548"/>
      <c r="DQK10" s="1547">
        <f t="shared" ref="DQK10" si="1561">DQI10</f>
        <v>95000</v>
      </c>
      <c r="DQL10" s="1548"/>
      <c r="DQM10" s="1547">
        <f t="shared" ref="DQM10" si="1562">DQK10</f>
        <v>95000</v>
      </c>
      <c r="DQN10" s="1548"/>
      <c r="DQO10" s="1547">
        <f t="shared" ref="DQO10" si="1563">DQM10</f>
        <v>95000</v>
      </c>
      <c r="DQP10" s="1548"/>
      <c r="DQQ10" s="1547">
        <f t="shared" ref="DQQ10" si="1564">DQO10</f>
        <v>95000</v>
      </c>
      <c r="DQR10" s="1548"/>
      <c r="DQS10" s="1547">
        <f t="shared" ref="DQS10" si="1565">DQQ10</f>
        <v>95000</v>
      </c>
      <c r="DQT10" s="1548"/>
      <c r="DQU10" s="1547">
        <f t="shared" ref="DQU10" si="1566">DQS10</f>
        <v>95000</v>
      </c>
      <c r="DQV10" s="1548"/>
      <c r="DQW10" s="1547">
        <f t="shared" ref="DQW10" si="1567">DQU10</f>
        <v>95000</v>
      </c>
      <c r="DQX10" s="1548"/>
      <c r="DQY10" s="1547">
        <f t="shared" ref="DQY10" si="1568">DQW10</f>
        <v>95000</v>
      </c>
      <c r="DQZ10" s="1548"/>
      <c r="DRA10" s="1547">
        <f t="shared" ref="DRA10" si="1569">DQY10</f>
        <v>95000</v>
      </c>
      <c r="DRB10" s="1548"/>
      <c r="DRC10" s="1547">
        <f t="shared" ref="DRC10" si="1570">DRA10</f>
        <v>95000</v>
      </c>
      <c r="DRD10" s="1548"/>
      <c r="DRE10" s="1547">
        <f t="shared" ref="DRE10" si="1571">DRC10</f>
        <v>95000</v>
      </c>
      <c r="DRF10" s="1548"/>
      <c r="DRG10" s="1547">
        <f t="shared" ref="DRG10" si="1572">DRE10</f>
        <v>95000</v>
      </c>
      <c r="DRH10" s="1548"/>
      <c r="DRI10" s="1547">
        <f t="shared" ref="DRI10" si="1573">DRG10</f>
        <v>95000</v>
      </c>
      <c r="DRJ10" s="1548"/>
      <c r="DRK10" s="1547">
        <f t="shared" ref="DRK10" si="1574">DRI10</f>
        <v>95000</v>
      </c>
      <c r="DRL10" s="1548"/>
      <c r="DRM10" s="1547">
        <f t="shared" ref="DRM10" si="1575">DRK10</f>
        <v>95000</v>
      </c>
      <c r="DRN10" s="1548"/>
      <c r="DRO10" s="1547">
        <f t="shared" ref="DRO10" si="1576">DRM10</f>
        <v>95000</v>
      </c>
      <c r="DRP10" s="1548"/>
      <c r="DRQ10" s="1547">
        <f t="shared" ref="DRQ10" si="1577">DRO10</f>
        <v>95000</v>
      </c>
      <c r="DRR10" s="1548"/>
      <c r="DRS10" s="1547">
        <f t="shared" ref="DRS10" si="1578">DRQ10</f>
        <v>95000</v>
      </c>
      <c r="DRT10" s="1548"/>
      <c r="DRU10" s="1547">
        <f t="shared" ref="DRU10" si="1579">DRS10</f>
        <v>95000</v>
      </c>
      <c r="DRV10" s="1548"/>
      <c r="DRW10" s="1547">
        <f t="shared" ref="DRW10" si="1580">DRU10</f>
        <v>95000</v>
      </c>
      <c r="DRX10" s="1548"/>
      <c r="DRY10" s="1547">
        <f t="shared" ref="DRY10" si="1581">DRW10</f>
        <v>95000</v>
      </c>
      <c r="DRZ10" s="1548"/>
      <c r="DSA10" s="1547">
        <f t="shared" ref="DSA10" si="1582">DRY10</f>
        <v>95000</v>
      </c>
      <c r="DSB10" s="1548"/>
      <c r="DSC10" s="1547">
        <f t="shared" ref="DSC10" si="1583">DSA10</f>
        <v>95000</v>
      </c>
      <c r="DSD10" s="1548"/>
      <c r="DSE10" s="1547">
        <f t="shared" ref="DSE10" si="1584">DSC10</f>
        <v>95000</v>
      </c>
      <c r="DSF10" s="1548"/>
      <c r="DSG10" s="1547">
        <f t="shared" ref="DSG10" si="1585">DSE10</f>
        <v>95000</v>
      </c>
      <c r="DSH10" s="1548"/>
      <c r="DSI10" s="1547">
        <f t="shared" ref="DSI10" si="1586">DSG10</f>
        <v>95000</v>
      </c>
      <c r="DSJ10" s="1548"/>
      <c r="DSK10" s="1547">
        <f t="shared" ref="DSK10" si="1587">DSI10</f>
        <v>95000</v>
      </c>
      <c r="DSL10" s="1548"/>
      <c r="DSM10" s="1547">
        <f t="shared" ref="DSM10" si="1588">DSK10</f>
        <v>95000</v>
      </c>
      <c r="DSN10" s="1548"/>
      <c r="DSO10" s="1547">
        <f t="shared" ref="DSO10" si="1589">DSM10</f>
        <v>95000</v>
      </c>
      <c r="DSP10" s="1548"/>
      <c r="DSQ10" s="1547">
        <f t="shared" ref="DSQ10" si="1590">DSO10</f>
        <v>95000</v>
      </c>
      <c r="DSR10" s="1548"/>
      <c r="DSS10" s="1547">
        <f t="shared" ref="DSS10" si="1591">DSQ10</f>
        <v>95000</v>
      </c>
      <c r="DST10" s="1548"/>
      <c r="DSU10" s="1547">
        <f t="shared" ref="DSU10" si="1592">DSS10</f>
        <v>95000</v>
      </c>
      <c r="DSV10" s="1548"/>
      <c r="DSW10" s="1547">
        <f t="shared" ref="DSW10" si="1593">DSU10</f>
        <v>95000</v>
      </c>
      <c r="DSX10" s="1548"/>
      <c r="DSY10" s="1547">
        <f t="shared" ref="DSY10" si="1594">DSW10</f>
        <v>95000</v>
      </c>
      <c r="DSZ10" s="1548"/>
      <c r="DTA10" s="1547">
        <f t="shared" ref="DTA10" si="1595">DSY10</f>
        <v>95000</v>
      </c>
      <c r="DTB10" s="1548"/>
      <c r="DTC10" s="1547">
        <f t="shared" ref="DTC10" si="1596">DTA10</f>
        <v>95000</v>
      </c>
      <c r="DTD10" s="1548"/>
      <c r="DTE10" s="1547">
        <f t="shared" ref="DTE10" si="1597">DTC10</f>
        <v>95000</v>
      </c>
      <c r="DTF10" s="1548"/>
      <c r="DTG10" s="1547">
        <f t="shared" ref="DTG10" si="1598">DTE10</f>
        <v>95000</v>
      </c>
      <c r="DTH10" s="1548"/>
      <c r="DTI10" s="1547">
        <f t="shared" ref="DTI10" si="1599">DTG10</f>
        <v>95000</v>
      </c>
      <c r="DTJ10" s="1548"/>
      <c r="DTK10" s="1547">
        <f t="shared" ref="DTK10" si="1600">DTI10</f>
        <v>95000</v>
      </c>
      <c r="DTL10" s="1548"/>
      <c r="DTM10" s="1547">
        <f t="shared" ref="DTM10" si="1601">DTK10</f>
        <v>95000</v>
      </c>
      <c r="DTN10" s="1548"/>
      <c r="DTO10" s="1547">
        <f t="shared" ref="DTO10" si="1602">DTM10</f>
        <v>95000</v>
      </c>
      <c r="DTP10" s="1548"/>
      <c r="DTQ10" s="1547">
        <f t="shared" ref="DTQ10" si="1603">DTO10</f>
        <v>95000</v>
      </c>
      <c r="DTR10" s="1548"/>
      <c r="DTS10" s="1547">
        <f t="shared" ref="DTS10" si="1604">DTQ10</f>
        <v>95000</v>
      </c>
      <c r="DTT10" s="1548"/>
      <c r="DTU10" s="1547">
        <f t="shared" ref="DTU10" si="1605">DTS10</f>
        <v>95000</v>
      </c>
      <c r="DTV10" s="1548"/>
      <c r="DTW10" s="1547">
        <f t="shared" ref="DTW10" si="1606">DTU10</f>
        <v>95000</v>
      </c>
      <c r="DTX10" s="1548"/>
      <c r="DTY10" s="1547">
        <f t="shared" ref="DTY10" si="1607">DTW10</f>
        <v>95000</v>
      </c>
      <c r="DTZ10" s="1548"/>
      <c r="DUA10" s="1547">
        <f t="shared" ref="DUA10" si="1608">DTY10</f>
        <v>95000</v>
      </c>
      <c r="DUB10" s="1548"/>
      <c r="DUC10" s="1547">
        <f t="shared" ref="DUC10" si="1609">DUA10</f>
        <v>95000</v>
      </c>
      <c r="DUD10" s="1548"/>
      <c r="DUE10" s="1547">
        <f t="shared" ref="DUE10" si="1610">DUC10</f>
        <v>95000</v>
      </c>
      <c r="DUF10" s="1548"/>
      <c r="DUG10" s="1547">
        <f t="shared" ref="DUG10" si="1611">DUE10</f>
        <v>95000</v>
      </c>
      <c r="DUH10" s="1548"/>
      <c r="DUI10" s="1547">
        <f t="shared" ref="DUI10" si="1612">DUG10</f>
        <v>95000</v>
      </c>
      <c r="DUJ10" s="1548"/>
      <c r="DUK10" s="1547">
        <f t="shared" ref="DUK10" si="1613">DUI10</f>
        <v>95000</v>
      </c>
      <c r="DUL10" s="1548"/>
      <c r="DUM10" s="1547">
        <f t="shared" ref="DUM10" si="1614">DUK10</f>
        <v>95000</v>
      </c>
      <c r="DUN10" s="1548"/>
      <c r="DUO10" s="1547">
        <f t="shared" ref="DUO10" si="1615">DUM10</f>
        <v>95000</v>
      </c>
      <c r="DUP10" s="1548"/>
      <c r="DUQ10" s="1547">
        <f t="shared" ref="DUQ10" si="1616">DUO10</f>
        <v>95000</v>
      </c>
      <c r="DUR10" s="1548"/>
      <c r="DUS10" s="1547">
        <f t="shared" ref="DUS10" si="1617">DUQ10</f>
        <v>95000</v>
      </c>
      <c r="DUT10" s="1548"/>
      <c r="DUU10" s="1547">
        <f t="shared" ref="DUU10" si="1618">DUS10</f>
        <v>95000</v>
      </c>
      <c r="DUV10" s="1548"/>
      <c r="DUW10" s="1547">
        <f t="shared" ref="DUW10" si="1619">DUU10</f>
        <v>95000</v>
      </c>
      <c r="DUX10" s="1548"/>
      <c r="DUY10" s="1547">
        <f t="shared" ref="DUY10" si="1620">DUW10</f>
        <v>95000</v>
      </c>
      <c r="DUZ10" s="1548"/>
      <c r="DVA10" s="1547">
        <f t="shared" ref="DVA10" si="1621">DUY10</f>
        <v>95000</v>
      </c>
      <c r="DVB10" s="1548"/>
      <c r="DVC10" s="1547">
        <f t="shared" ref="DVC10" si="1622">DVA10</f>
        <v>95000</v>
      </c>
      <c r="DVD10" s="1548"/>
      <c r="DVE10" s="1547">
        <f t="shared" ref="DVE10" si="1623">DVC10</f>
        <v>95000</v>
      </c>
      <c r="DVF10" s="1548"/>
      <c r="DVG10" s="1547">
        <f t="shared" ref="DVG10" si="1624">DVE10</f>
        <v>95000</v>
      </c>
      <c r="DVH10" s="1548"/>
      <c r="DVI10" s="1547">
        <f t="shared" ref="DVI10" si="1625">DVG10</f>
        <v>95000</v>
      </c>
      <c r="DVJ10" s="1548"/>
      <c r="DVK10" s="1547">
        <f t="shared" ref="DVK10" si="1626">DVI10</f>
        <v>95000</v>
      </c>
      <c r="DVL10" s="1548"/>
      <c r="DVM10" s="1547">
        <f t="shared" ref="DVM10" si="1627">DVK10</f>
        <v>95000</v>
      </c>
      <c r="DVN10" s="1548"/>
      <c r="DVO10" s="1547">
        <f t="shared" ref="DVO10" si="1628">DVM10</f>
        <v>95000</v>
      </c>
      <c r="DVP10" s="1548"/>
      <c r="DVQ10" s="1547">
        <f t="shared" ref="DVQ10" si="1629">DVO10</f>
        <v>95000</v>
      </c>
      <c r="DVR10" s="1548"/>
      <c r="DVS10" s="1547">
        <f t="shared" ref="DVS10" si="1630">DVQ10</f>
        <v>95000</v>
      </c>
      <c r="DVT10" s="1548"/>
      <c r="DVU10" s="1547">
        <f t="shared" ref="DVU10" si="1631">DVS10</f>
        <v>95000</v>
      </c>
      <c r="DVV10" s="1548"/>
      <c r="DVW10" s="1547">
        <f t="shared" ref="DVW10" si="1632">DVU10</f>
        <v>95000</v>
      </c>
      <c r="DVX10" s="1548"/>
      <c r="DVY10" s="1547">
        <f t="shared" ref="DVY10" si="1633">DVW10</f>
        <v>95000</v>
      </c>
      <c r="DVZ10" s="1548"/>
      <c r="DWA10" s="1547">
        <f t="shared" ref="DWA10" si="1634">DVY10</f>
        <v>95000</v>
      </c>
      <c r="DWB10" s="1548"/>
      <c r="DWC10" s="1547">
        <f t="shared" ref="DWC10" si="1635">DWA10</f>
        <v>95000</v>
      </c>
      <c r="DWD10" s="1548"/>
      <c r="DWE10" s="1547">
        <f t="shared" ref="DWE10" si="1636">DWC10</f>
        <v>95000</v>
      </c>
      <c r="DWF10" s="1548"/>
      <c r="DWG10" s="1547">
        <f t="shared" ref="DWG10" si="1637">DWE10</f>
        <v>95000</v>
      </c>
      <c r="DWH10" s="1548"/>
      <c r="DWI10" s="1547">
        <f t="shared" ref="DWI10" si="1638">DWG10</f>
        <v>95000</v>
      </c>
      <c r="DWJ10" s="1548"/>
      <c r="DWK10" s="1547">
        <f t="shared" ref="DWK10" si="1639">DWI10</f>
        <v>95000</v>
      </c>
      <c r="DWL10" s="1548"/>
      <c r="DWM10" s="1547">
        <f t="shared" ref="DWM10" si="1640">DWK10</f>
        <v>95000</v>
      </c>
      <c r="DWN10" s="1548"/>
      <c r="DWO10" s="1547">
        <f t="shared" ref="DWO10" si="1641">DWM10</f>
        <v>95000</v>
      </c>
      <c r="DWP10" s="1548"/>
      <c r="DWQ10" s="1547">
        <f t="shared" ref="DWQ10" si="1642">DWO10</f>
        <v>95000</v>
      </c>
      <c r="DWR10" s="1548"/>
      <c r="DWS10" s="1547">
        <f t="shared" ref="DWS10" si="1643">DWQ10</f>
        <v>95000</v>
      </c>
      <c r="DWT10" s="1548"/>
      <c r="DWU10" s="1547">
        <f t="shared" ref="DWU10" si="1644">DWS10</f>
        <v>95000</v>
      </c>
      <c r="DWV10" s="1548"/>
      <c r="DWW10" s="1547">
        <f t="shared" ref="DWW10" si="1645">DWU10</f>
        <v>95000</v>
      </c>
      <c r="DWX10" s="1548"/>
      <c r="DWY10" s="1547">
        <f t="shared" ref="DWY10" si="1646">DWW10</f>
        <v>95000</v>
      </c>
      <c r="DWZ10" s="1548"/>
      <c r="DXA10" s="1547">
        <f t="shared" ref="DXA10" si="1647">DWY10</f>
        <v>95000</v>
      </c>
      <c r="DXB10" s="1548"/>
      <c r="DXC10" s="1547">
        <f t="shared" ref="DXC10" si="1648">DXA10</f>
        <v>95000</v>
      </c>
      <c r="DXD10" s="1548"/>
      <c r="DXE10" s="1547">
        <f t="shared" ref="DXE10" si="1649">DXC10</f>
        <v>95000</v>
      </c>
      <c r="DXF10" s="1548"/>
      <c r="DXG10" s="1547">
        <f t="shared" ref="DXG10" si="1650">DXE10</f>
        <v>95000</v>
      </c>
      <c r="DXH10" s="1548"/>
      <c r="DXI10" s="1547">
        <f t="shared" ref="DXI10" si="1651">DXG10</f>
        <v>95000</v>
      </c>
      <c r="DXJ10" s="1548"/>
      <c r="DXK10" s="1547">
        <f t="shared" ref="DXK10" si="1652">DXI10</f>
        <v>95000</v>
      </c>
      <c r="DXL10" s="1548"/>
      <c r="DXM10" s="1547">
        <f t="shared" ref="DXM10" si="1653">DXK10</f>
        <v>95000</v>
      </c>
      <c r="DXN10" s="1548"/>
      <c r="DXO10" s="1547">
        <f t="shared" ref="DXO10" si="1654">DXM10</f>
        <v>95000</v>
      </c>
      <c r="DXP10" s="1548"/>
      <c r="DXQ10" s="1547">
        <f t="shared" ref="DXQ10" si="1655">DXO10</f>
        <v>95000</v>
      </c>
      <c r="DXR10" s="1548"/>
      <c r="DXS10" s="1547">
        <f t="shared" ref="DXS10" si="1656">DXQ10</f>
        <v>95000</v>
      </c>
      <c r="DXT10" s="1548"/>
      <c r="DXU10" s="1547">
        <f t="shared" ref="DXU10" si="1657">DXS10</f>
        <v>95000</v>
      </c>
      <c r="DXV10" s="1548"/>
      <c r="DXW10" s="1547">
        <f t="shared" ref="DXW10" si="1658">DXU10</f>
        <v>95000</v>
      </c>
      <c r="DXX10" s="1548"/>
      <c r="DXY10" s="1547">
        <f t="shared" ref="DXY10" si="1659">DXW10</f>
        <v>95000</v>
      </c>
      <c r="DXZ10" s="1548"/>
      <c r="DYA10" s="1547">
        <f t="shared" ref="DYA10" si="1660">DXY10</f>
        <v>95000</v>
      </c>
      <c r="DYB10" s="1548"/>
      <c r="DYC10" s="1547">
        <f t="shared" ref="DYC10" si="1661">DYA10</f>
        <v>95000</v>
      </c>
      <c r="DYD10" s="1548"/>
      <c r="DYE10" s="1547">
        <f t="shared" ref="DYE10" si="1662">DYC10</f>
        <v>95000</v>
      </c>
      <c r="DYF10" s="1548"/>
      <c r="DYG10" s="1547">
        <f t="shared" ref="DYG10" si="1663">DYE10</f>
        <v>95000</v>
      </c>
      <c r="DYH10" s="1548"/>
      <c r="DYI10" s="1547">
        <f t="shared" ref="DYI10" si="1664">DYG10</f>
        <v>95000</v>
      </c>
      <c r="DYJ10" s="1548"/>
      <c r="DYK10" s="1547">
        <f t="shared" ref="DYK10" si="1665">DYI10</f>
        <v>95000</v>
      </c>
      <c r="DYL10" s="1548"/>
      <c r="DYM10" s="1547">
        <f t="shared" ref="DYM10" si="1666">DYK10</f>
        <v>95000</v>
      </c>
      <c r="DYN10" s="1548"/>
      <c r="DYO10" s="1547">
        <f t="shared" ref="DYO10" si="1667">DYM10</f>
        <v>95000</v>
      </c>
      <c r="DYP10" s="1548"/>
      <c r="DYQ10" s="1547">
        <f t="shared" ref="DYQ10" si="1668">DYO10</f>
        <v>95000</v>
      </c>
      <c r="DYR10" s="1548"/>
      <c r="DYS10" s="1547">
        <f t="shared" ref="DYS10" si="1669">DYQ10</f>
        <v>95000</v>
      </c>
      <c r="DYT10" s="1548"/>
      <c r="DYU10" s="1547">
        <f t="shared" ref="DYU10" si="1670">DYS10</f>
        <v>95000</v>
      </c>
      <c r="DYV10" s="1548"/>
      <c r="DYW10" s="1547">
        <f t="shared" ref="DYW10" si="1671">DYU10</f>
        <v>95000</v>
      </c>
      <c r="DYX10" s="1548"/>
      <c r="DYY10" s="1547">
        <f t="shared" ref="DYY10" si="1672">DYW10</f>
        <v>95000</v>
      </c>
      <c r="DYZ10" s="1548"/>
      <c r="DZA10" s="1547">
        <f t="shared" ref="DZA10" si="1673">DYY10</f>
        <v>95000</v>
      </c>
      <c r="DZB10" s="1548"/>
      <c r="DZC10" s="1547">
        <f t="shared" ref="DZC10" si="1674">DZA10</f>
        <v>95000</v>
      </c>
      <c r="DZD10" s="1548"/>
      <c r="DZE10" s="1547">
        <f t="shared" ref="DZE10" si="1675">DZC10</f>
        <v>95000</v>
      </c>
      <c r="DZF10" s="1548"/>
      <c r="DZG10" s="1547">
        <f t="shared" ref="DZG10" si="1676">DZE10</f>
        <v>95000</v>
      </c>
      <c r="DZH10" s="1548"/>
      <c r="DZI10" s="1547">
        <f t="shared" ref="DZI10" si="1677">DZG10</f>
        <v>95000</v>
      </c>
      <c r="DZJ10" s="1548"/>
      <c r="DZK10" s="1547">
        <f t="shared" ref="DZK10" si="1678">DZI10</f>
        <v>95000</v>
      </c>
      <c r="DZL10" s="1548"/>
      <c r="DZM10" s="1547">
        <f t="shared" ref="DZM10" si="1679">DZK10</f>
        <v>95000</v>
      </c>
      <c r="DZN10" s="1548"/>
      <c r="DZO10" s="1547">
        <f t="shared" ref="DZO10" si="1680">DZM10</f>
        <v>95000</v>
      </c>
      <c r="DZP10" s="1548"/>
      <c r="DZQ10" s="1547">
        <f t="shared" ref="DZQ10" si="1681">DZO10</f>
        <v>95000</v>
      </c>
      <c r="DZR10" s="1548"/>
      <c r="DZS10" s="1547">
        <f t="shared" ref="DZS10" si="1682">DZQ10</f>
        <v>95000</v>
      </c>
      <c r="DZT10" s="1548"/>
      <c r="DZU10" s="1547">
        <f t="shared" ref="DZU10" si="1683">DZS10</f>
        <v>95000</v>
      </c>
      <c r="DZV10" s="1548"/>
      <c r="DZW10" s="1547">
        <f t="shared" ref="DZW10" si="1684">DZU10</f>
        <v>95000</v>
      </c>
      <c r="DZX10" s="1548"/>
      <c r="DZY10" s="1547">
        <f t="shared" ref="DZY10" si="1685">DZW10</f>
        <v>95000</v>
      </c>
      <c r="DZZ10" s="1548"/>
      <c r="EAA10" s="1547">
        <f t="shared" ref="EAA10" si="1686">DZY10</f>
        <v>95000</v>
      </c>
      <c r="EAB10" s="1548"/>
      <c r="EAC10" s="1547">
        <f t="shared" ref="EAC10" si="1687">EAA10</f>
        <v>95000</v>
      </c>
      <c r="EAD10" s="1548"/>
      <c r="EAE10" s="1547">
        <f t="shared" ref="EAE10" si="1688">EAC10</f>
        <v>95000</v>
      </c>
      <c r="EAF10" s="1548"/>
      <c r="EAG10" s="1547">
        <f t="shared" ref="EAG10" si="1689">EAE10</f>
        <v>95000</v>
      </c>
      <c r="EAH10" s="1548"/>
      <c r="EAI10" s="1547">
        <f t="shared" ref="EAI10" si="1690">EAG10</f>
        <v>95000</v>
      </c>
      <c r="EAJ10" s="1548"/>
      <c r="EAK10" s="1547">
        <f t="shared" ref="EAK10" si="1691">EAI10</f>
        <v>95000</v>
      </c>
      <c r="EAL10" s="1548"/>
      <c r="EAM10" s="1547">
        <f t="shared" ref="EAM10" si="1692">EAK10</f>
        <v>95000</v>
      </c>
      <c r="EAN10" s="1548"/>
      <c r="EAO10" s="1547">
        <f t="shared" ref="EAO10" si="1693">EAM10</f>
        <v>95000</v>
      </c>
      <c r="EAP10" s="1548"/>
      <c r="EAQ10" s="1547">
        <f t="shared" ref="EAQ10" si="1694">EAO10</f>
        <v>95000</v>
      </c>
      <c r="EAR10" s="1548"/>
      <c r="EAS10" s="1547">
        <f t="shared" ref="EAS10" si="1695">EAQ10</f>
        <v>95000</v>
      </c>
      <c r="EAT10" s="1548"/>
      <c r="EAU10" s="1547">
        <f t="shared" ref="EAU10" si="1696">EAS10</f>
        <v>95000</v>
      </c>
      <c r="EAV10" s="1548"/>
      <c r="EAW10" s="1547">
        <f t="shared" ref="EAW10" si="1697">EAU10</f>
        <v>95000</v>
      </c>
      <c r="EAX10" s="1548"/>
      <c r="EAY10" s="1547">
        <f t="shared" ref="EAY10" si="1698">EAW10</f>
        <v>95000</v>
      </c>
      <c r="EAZ10" s="1548"/>
      <c r="EBA10" s="1547">
        <f t="shared" ref="EBA10" si="1699">EAY10</f>
        <v>95000</v>
      </c>
      <c r="EBB10" s="1548"/>
      <c r="EBC10" s="1547">
        <f t="shared" ref="EBC10" si="1700">EBA10</f>
        <v>95000</v>
      </c>
      <c r="EBD10" s="1548"/>
      <c r="EBE10" s="1547">
        <f t="shared" ref="EBE10" si="1701">EBC10</f>
        <v>95000</v>
      </c>
      <c r="EBF10" s="1548"/>
      <c r="EBG10" s="1547">
        <f t="shared" ref="EBG10" si="1702">EBE10</f>
        <v>95000</v>
      </c>
      <c r="EBH10" s="1548"/>
      <c r="EBI10" s="1547">
        <f t="shared" ref="EBI10" si="1703">EBG10</f>
        <v>95000</v>
      </c>
      <c r="EBJ10" s="1548"/>
      <c r="EBK10" s="1547">
        <f t="shared" ref="EBK10" si="1704">EBI10</f>
        <v>95000</v>
      </c>
      <c r="EBL10" s="1548"/>
      <c r="EBM10" s="1547">
        <f t="shared" ref="EBM10" si="1705">EBK10</f>
        <v>95000</v>
      </c>
      <c r="EBN10" s="1548"/>
      <c r="EBO10" s="1547">
        <f t="shared" ref="EBO10" si="1706">EBM10</f>
        <v>95000</v>
      </c>
      <c r="EBP10" s="1548"/>
      <c r="EBQ10" s="1547">
        <f t="shared" ref="EBQ10" si="1707">EBO10</f>
        <v>95000</v>
      </c>
      <c r="EBR10" s="1548"/>
      <c r="EBS10" s="1547">
        <f t="shared" ref="EBS10" si="1708">EBQ10</f>
        <v>95000</v>
      </c>
      <c r="EBT10" s="1548"/>
      <c r="EBU10" s="1547">
        <f t="shared" ref="EBU10" si="1709">EBS10</f>
        <v>95000</v>
      </c>
      <c r="EBV10" s="1548"/>
      <c r="EBW10" s="1547">
        <f t="shared" ref="EBW10" si="1710">EBU10</f>
        <v>95000</v>
      </c>
      <c r="EBX10" s="1548"/>
      <c r="EBY10" s="1547">
        <f t="shared" ref="EBY10" si="1711">EBW10</f>
        <v>95000</v>
      </c>
      <c r="EBZ10" s="1548"/>
      <c r="ECA10" s="1547">
        <f t="shared" ref="ECA10" si="1712">EBY10</f>
        <v>95000</v>
      </c>
      <c r="ECB10" s="1548"/>
      <c r="ECC10" s="1547">
        <f t="shared" ref="ECC10" si="1713">ECA10</f>
        <v>95000</v>
      </c>
      <c r="ECD10" s="1548"/>
      <c r="ECE10" s="1547">
        <f t="shared" ref="ECE10" si="1714">ECC10</f>
        <v>95000</v>
      </c>
      <c r="ECF10" s="1548"/>
      <c r="ECG10" s="1547">
        <f t="shared" ref="ECG10" si="1715">ECE10</f>
        <v>95000</v>
      </c>
      <c r="ECH10" s="1548"/>
      <c r="ECI10" s="1547">
        <f t="shared" ref="ECI10" si="1716">ECG10</f>
        <v>95000</v>
      </c>
      <c r="ECJ10" s="1548"/>
      <c r="ECK10" s="1547">
        <f t="shared" ref="ECK10" si="1717">ECI10</f>
        <v>95000</v>
      </c>
      <c r="ECL10" s="1548"/>
      <c r="ECM10" s="1547">
        <f t="shared" ref="ECM10" si="1718">ECK10</f>
        <v>95000</v>
      </c>
      <c r="ECN10" s="1548"/>
      <c r="ECO10" s="1547">
        <f t="shared" ref="ECO10" si="1719">ECM10</f>
        <v>95000</v>
      </c>
      <c r="ECP10" s="1548"/>
      <c r="ECQ10" s="1547">
        <f t="shared" ref="ECQ10" si="1720">ECO10</f>
        <v>95000</v>
      </c>
      <c r="ECR10" s="1548"/>
      <c r="ECS10" s="1547">
        <f t="shared" ref="ECS10" si="1721">ECQ10</f>
        <v>95000</v>
      </c>
      <c r="ECT10" s="1548"/>
      <c r="ECU10" s="1547">
        <f t="shared" ref="ECU10" si="1722">ECS10</f>
        <v>95000</v>
      </c>
      <c r="ECV10" s="1548"/>
      <c r="ECW10" s="1547">
        <f t="shared" ref="ECW10" si="1723">ECU10</f>
        <v>95000</v>
      </c>
      <c r="ECX10" s="1548"/>
      <c r="ECY10" s="1547">
        <f t="shared" ref="ECY10" si="1724">ECW10</f>
        <v>95000</v>
      </c>
      <c r="ECZ10" s="1548"/>
      <c r="EDA10" s="1547">
        <f t="shared" ref="EDA10" si="1725">ECY10</f>
        <v>95000</v>
      </c>
      <c r="EDB10" s="1548"/>
      <c r="EDC10" s="1547">
        <f t="shared" ref="EDC10" si="1726">EDA10</f>
        <v>95000</v>
      </c>
      <c r="EDD10" s="1548"/>
      <c r="EDE10" s="1547">
        <f t="shared" ref="EDE10" si="1727">EDC10</f>
        <v>95000</v>
      </c>
      <c r="EDF10" s="1548"/>
      <c r="EDG10" s="1547">
        <f t="shared" ref="EDG10" si="1728">EDE10</f>
        <v>95000</v>
      </c>
      <c r="EDH10" s="1548"/>
      <c r="EDI10" s="1547">
        <f t="shared" ref="EDI10" si="1729">EDG10</f>
        <v>95000</v>
      </c>
      <c r="EDJ10" s="1548"/>
      <c r="EDK10" s="1547">
        <f t="shared" ref="EDK10" si="1730">EDI10</f>
        <v>95000</v>
      </c>
      <c r="EDL10" s="1548"/>
      <c r="EDM10" s="1547">
        <f t="shared" ref="EDM10" si="1731">EDK10</f>
        <v>95000</v>
      </c>
      <c r="EDN10" s="1548"/>
      <c r="EDO10" s="1547">
        <f t="shared" ref="EDO10" si="1732">EDM10</f>
        <v>95000</v>
      </c>
      <c r="EDP10" s="1548"/>
      <c r="EDQ10" s="1547">
        <f t="shared" ref="EDQ10" si="1733">EDO10</f>
        <v>95000</v>
      </c>
      <c r="EDR10" s="1548"/>
      <c r="EDS10" s="1547">
        <f t="shared" ref="EDS10" si="1734">EDQ10</f>
        <v>95000</v>
      </c>
      <c r="EDT10" s="1548"/>
      <c r="EDU10" s="1547">
        <f t="shared" ref="EDU10" si="1735">EDS10</f>
        <v>95000</v>
      </c>
      <c r="EDV10" s="1548"/>
      <c r="EDW10" s="1547">
        <f t="shared" ref="EDW10" si="1736">EDU10</f>
        <v>95000</v>
      </c>
      <c r="EDX10" s="1548"/>
      <c r="EDY10" s="1547">
        <f t="shared" ref="EDY10" si="1737">EDW10</f>
        <v>95000</v>
      </c>
      <c r="EDZ10" s="1548"/>
      <c r="EEA10" s="1547">
        <f t="shared" ref="EEA10" si="1738">EDY10</f>
        <v>95000</v>
      </c>
      <c r="EEB10" s="1548"/>
      <c r="EEC10" s="1547">
        <f t="shared" ref="EEC10" si="1739">EEA10</f>
        <v>95000</v>
      </c>
      <c r="EED10" s="1548"/>
      <c r="EEE10" s="1547">
        <f t="shared" ref="EEE10" si="1740">EEC10</f>
        <v>95000</v>
      </c>
      <c r="EEF10" s="1548"/>
      <c r="EEG10" s="1547">
        <f t="shared" ref="EEG10" si="1741">EEE10</f>
        <v>95000</v>
      </c>
      <c r="EEH10" s="1548"/>
      <c r="EEI10" s="1547">
        <f t="shared" ref="EEI10" si="1742">EEG10</f>
        <v>95000</v>
      </c>
      <c r="EEJ10" s="1548"/>
      <c r="EEK10" s="1547">
        <f t="shared" ref="EEK10" si="1743">EEI10</f>
        <v>95000</v>
      </c>
      <c r="EEL10" s="1548"/>
      <c r="EEM10" s="1547">
        <f t="shared" ref="EEM10" si="1744">EEK10</f>
        <v>95000</v>
      </c>
      <c r="EEN10" s="1548"/>
      <c r="EEO10" s="1547">
        <f t="shared" ref="EEO10" si="1745">EEM10</f>
        <v>95000</v>
      </c>
      <c r="EEP10" s="1548"/>
      <c r="EEQ10" s="1547">
        <f t="shared" ref="EEQ10" si="1746">EEO10</f>
        <v>95000</v>
      </c>
      <c r="EER10" s="1548"/>
      <c r="EES10" s="1547">
        <f t="shared" ref="EES10" si="1747">EEQ10</f>
        <v>95000</v>
      </c>
      <c r="EET10" s="1548"/>
      <c r="EEU10" s="1547">
        <f t="shared" ref="EEU10" si="1748">EES10</f>
        <v>95000</v>
      </c>
      <c r="EEV10" s="1548"/>
      <c r="EEW10" s="1547">
        <f t="shared" ref="EEW10" si="1749">EEU10</f>
        <v>95000</v>
      </c>
      <c r="EEX10" s="1548"/>
      <c r="EEY10" s="1547">
        <f t="shared" ref="EEY10" si="1750">EEW10</f>
        <v>95000</v>
      </c>
      <c r="EEZ10" s="1548"/>
      <c r="EFA10" s="1547">
        <f t="shared" ref="EFA10" si="1751">EEY10</f>
        <v>95000</v>
      </c>
      <c r="EFB10" s="1548"/>
      <c r="EFC10" s="1547">
        <f t="shared" ref="EFC10" si="1752">EFA10</f>
        <v>95000</v>
      </c>
      <c r="EFD10" s="1548"/>
      <c r="EFE10" s="1547">
        <f t="shared" ref="EFE10" si="1753">EFC10</f>
        <v>95000</v>
      </c>
      <c r="EFF10" s="1548"/>
      <c r="EFG10" s="1547">
        <f t="shared" ref="EFG10" si="1754">EFE10</f>
        <v>95000</v>
      </c>
      <c r="EFH10" s="1548"/>
      <c r="EFI10" s="1547">
        <f t="shared" ref="EFI10" si="1755">EFG10</f>
        <v>95000</v>
      </c>
      <c r="EFJ10" s="1548"/>
      <c r="EFK10" s="1547">
        <f t="shared" ref="EFK10" si="1756">EFI10</f>
        <v>95000</v>
      </c>
      <c r="EFL10" s="1548"/>
      <c r="EFM10" s="1547">
        <f t="shared" ref="EFM10" si="1757">EFK10</f>
        <v>95000</v>
      </c>
      <c r="EFN10" s="1548"/>
      <c r="EFO10" s="1547">
        <f t="shared" ref="EFO10" si="1758">EFM10</f>
        <v>95000</v>
      </c>
      <c r="EFP10" s="1548"/>
      <c r="EFQ10" s="1547">
        <f t="shared" ref="EFQ10" si="1759">EFO10</f>
        <v>95000</v>
      </c>
      <c r="EFR10" s="1548"/>
      <c r="EFS10" s="1547">
        <f t="shared" ref="EFS10" si="1760">EFQ10</f>
        <v>95000</v>
      </c>
      <c r="EFT10" s="1548"/>
      <c r="EFU10" s="1547">
        <f t="shared" ref="EFU10" si="1761">EFS10</f>
        <v>95000</v>
      </c>
      <c r="EFV10" s="1548"/>
      <c r="EFW10" s="1547">
        <f t="shared" ref="EFW10" si="1762">EFU10</f>
        <v>95000</v>
      </c>
      <c r="EFX10" s="1548"/>
      <c r="EFY10" s="1547">
        <f t="shared" ref="EFY10" si="1763">EFW10</f>
        <v>95000</v>
      </c>
      <c r="EFZ10" s="1548"/>
      <c r="EGA10" s="1547">
        <f t="shared" ref="EGA10" si="1764">EFY10</f>
        <v>95000</v>
      </c>
      <c r="EGB10" s="1548"/>
      <c r="EGC10" s="1547">
        <f t="shared" ref="EGC10" si="1765">EGA10</f>
        <v>95000</v>
      </c>
      <c r="EGD10" s="1548"/>
      <c r="EGE10" s="1547">
        <f t="shared" ref="EGE10" si="1766">EGC10</f>
        <v>95000</v>
      </c>
      <c r="EGF10" s="1548"/>
      <c r="EGG10" s="1547">
        <f t="shared" ref="EGG10" si="1767">EGE10</f>
        <v>95000</v>
      </c>
      <c r="EGH10" s="1548"/>
      <c r="EGI10" s="1547">
        <f t="shared" ref="EGI10" si="1768">EGG10</f>
        <v>95000</v>
      </c>
      <c r="EGJ10" s="1548"/>
      <c r="EGK10" s="1547">
        <f t="shared" ref="EGK10" si="1769">EGI10</f>
        <v>95000</v>
      </c>
      <c r="EGL10" s="1548"/>
      <c r="EGM10" s="1547">
        <f t="shared" ref="EGM10" si="1770">EGK10</f>
        <v>95000</v>
      </c>
      <c r="EGN10" s="1548"/>
      <c r="EGO10" s="1547">
        <f t="shared" ref="EGO10" si="1771">EGM10</f>
        <v>95000</v>
      </c>
      <c r="EGP10" s="1548"/>
      <c r="EGQ10" s="1547">
        <f t="shared" ref="EGQ10" si="1772">EGO10</f>
        <v>95000</v>
      </c>
      <c r="EGR10" s="1548"/>
      <c r="EGS10" s="1547">
        <f t="shared" ref="EGS10" si="1773">EGQ10</f>
        <v>95000</v>
      </c>
      <c r="EGT10" s="1548"/>
      <c r="EGU10" s="1547">
        <f t="shared" ref="EGU10" si="1774">EGS10</f>
        <v>95000</v>
      </c>
      <c r="EGV10" s="1548"/>
      <c r="EGW10" s="1547">
        <f t="shared" ref="EGW10" si="1775">EGU10</f>
        <v>95000</v>
      </c>
      <c r="EGX10" s="1548"/>
      <c r="EGY10" s="1547">
        <f t="shared" ref="EGY10" si="1776">EGW10</f>
        <v>95000</v>
      </c>
      <c r="EGZ10" s="1548"/>
      <c r="EHA10" s="1547">
        <f t="shared" ref="EHA10" si="1777">EGY10</f>
        <v>95000</v>
      </c>
      <c r="EHB10" s="1548"/>
      <c r="EHC10" s="1547">
        <f t="shared" ref="EHC10" si="1778">EHA10</f>
        <v>95000</v>
      </c>
      <c r="EHD10" s="1548"/>
      <c r="EHE10" s="1547">
        <f t="shared" ref="EHE10" si="1779">EHC10</f>
        <v>95000</v>
      </c>
      <c r="EHF10" s="1548"/>
      <c r="EHG10" s="1547">
        <f t="shared" ref="EHG10" si="1780">EHE10</f>
        <v>95000</v>
      </c>
      <c r="EHH10" s="1548"/>
      <c r="EHI10" s="1547">
        <f t="shared" ref="EHI10" si="1781">EHG10</f>
        <v>95000</v>
      </c>
      <c r="EHJ10" s="1548"/>
      <c r="EHK10" s="1547">
        <f t="shared" ref="EHK10" si="1782">EHI10</f>
        <v>95000</v>
      </c>
      <c r="EHL10" s="1548"/>
      <c r="EHM10" s="1547">
        <f t="shared" ref="EHM10" si="1783">EHK10</f>
        <v>95000</v>
      </c>
      <c r="EHN10" s="1548"/>
      <c r="EHO10" s="1547">
        <f t="shared" ref="EHO10" si="1784">EHM10</f>
        <v>95000</v>
      </c>
      <c r="EHP10" s="1548"/>
      <c r="EHQ10" s="1547">
        <f t="shared" ref="EHQ10" si="1785">EHO10</f>
        <v>95000</v>
      </c>
      <c r="EHR10" s="1548"/>
      <c r="EHS10" s="1547">
        <f t="shared" ref="EHS10" si="1786">EHQ10</f>
        <v>95000</v>
      </c>
      <c r="EHT10" s="1548"/>
      <c r="EHU10" s="1547">
        <f t="shared" ref="EHU10" si="1787">EHS10</f>
        <v>95000</v>
      </c>
      <c r="EHV10" s="1548"/>
      <c r="EHW10" s="1547">
        <f t="shared" ref="EHW10" si="1788">EHU10</f>
        <v>95000</v>
      </c>
      <c r="EHX10" s="1548"/>
      <c r="EHY10" s="1547">
        <f t="shared" ref="EHY10" si="1789">EHW10</f>
        <v>95000</v>
      </c>
      <c r="EHZ10" s="1548"/>
      <c r="EIA10" s="1547">
        <f t="shared" ref="EIA10" si="1790">EHY10</f>
        <v>95000</v>
      </c>
      <c r="EIB10" s="1548"/>
      <c r="EIC10" s="1547">
        <f t="shared" ref="EIC10" si="1791">EIA10</f>
        <v>95000</v>
      </c>
      <c r="EID10" s="1548"/>
      <c r="EIE10" s="1547">
        <f t="shared" ref="EIE10" si="1792">EIC10</f>
        <v>95000</v>
      </c>
      <c r="EIF10" s="1548"/>
      <c r="EIG10" s="1547">
        <f t="shared" ref="EIG10" si="1793">EIE10</f>
        <v>95000</v>
      </c>
      <c r="EIH10" s="1548"/>
      <c r="EII10" s="1547">
        <f t="shared" ref="EII10" si="1794">EIG10</f>
        <v>95000</v>
      </c>
      <c r="EIJ10" s="1548"/>
      <c r="EIK10" s="1547">
        <f t="shared" ref="EIK10" si="1795">EII10</f>
        <v>95000</v>
      </c>
      <c r="EIL10" s="1548"/>
      <c r="EIM10" s="1547">
        <f t="shared" ref="EIM10" si="1796">EIK10</f>
        <v>95000</v>
      </c>
      <c r="EIN10" s="1548"/>
      <c r="EIO10" s="1547">
        <f t="shared" ref="EIO10" si="1797">EIM10</f>
        <v>95000</v>
      </c>
      <c r="EIP10" s="1548"/>
      <c r="EIQ10" s="1547">
        <f t="shared" ref="EIQ10" si="1798">EIO10</f>
        <v>95000</v>
      </c>
      <c r="EIR10" s="1548"/>
      <c r="EIS10" s="1547">
        <f t="shared" ref="EIS10" si="1799">EIQ10</f>
        <v>95000</v>
      </c>
      <c r="EIT10" s="1548"/>
      <c r="EIU10" s="1547">
        <f t="shared" ref="EIU10" si="1800">EIS10</f>
        <v>95000</v>
      </c>
      <c r="EIV10" s="1548"/>
      <c r="EIW10" s="1547">
        <f t="shared" ref="EIW10" si="1801">EIU10</f>
        <v>95000</v>
      </c>
      <c r="EIX10" s="1548"/>
      <c r="EIY10" s="1547">
        <f t="shared" ref="EIY10" si="1802">EIW10</f>
        <v>95000</v>
      </c>
      <c r="EIZ10" s="1548"/>
      <c r="EJA10" s="1547">
        <f t="shared" ref="EJA10" si="1803">EIY10</f>
        <v>95000</v>
      </c>
      <c r="EJB10" s="1548"/>
      <c r="EJC10" s="1547">
        <f t="shared" ref="EJC10" si="1804">EJA10</f>
        <v>95000</v>
      </c>
      <c r="EJD10" s="1548"/>
      <c r="EJE10" s="1547">
        <f t="shared" ref="EJE10" si="1805">EJC10</f>
        <v>95000</v>
      </c>
      <c r="EJF10" s="1548"/>
      <c r="EJG10" s="1547">
        <f t="shared" ref="EJG10" si="1806">EJE10</f>
        <v>95000</v>
      </c>
      <c r="EJH10" s="1548"/>
      <c r="EJI10" s="1547">
        <f t="shared" ref="EJI10" si="1807">EJG10</f>
        <v>95000</v>
      </c>
      <c r="EJJ10" s="1548"/>
      <c r="EJK10" s="1547">
        <f t="shared" ref="EJK10" si="1808">EJI10</f>
        <v>95000</v>
      </c>
      <c r="EJL10" s="1548"/>
      <c r="EJM10" s="1547">
        <f t="shared" ref="EJM10" si="1809">EJK10</f>
        <v>95000</v>
      </c>
      <c r="EJN10" s="1548"/>
      <c r="EJO10" s="1547">
        <f t="shared" ref="EJO10" si="1810">EJM10</f>
        <v>95000</v>
      </c>
      <c r="EJP10" s="1548"/>
      <c r="EJQ10" s="1547">
        <f t="shared" ref="EJQ10" si="1811">EJO10</f>
        <v>95000</v>
      </c>
      <c r="EJR10" s="1548"/>
      <c r="EJS10" s="1547">
        <f t="shared" ref="EJS10" si="1812">EJQ10</f>
        <v>95000</v>
      </c>
      <c r="EJT10" s="1548"/>
      <c r="EJU10" s="1547">
        <f t="shared" ref="EJU10" si="1813">EJS10</f>
        <v>95000</v>
      </c>
      <c r="EJV10" s="1548"/>
      <c r="EJW10" s="1547">
        <f t="shared" ref="EJW10" si="1814">EJU10</f>
        <v>95000</v>
      </c>
      <c r="EJX10" s="1548"/>
      <c r="EJY10" s="1547">
        <f t="shared" ref="EJY10" si="1815">EJW10</f>
        <v>95000</v>
      </c>
      <c r="EJZ10" s="1548"/>
      <c r="EKA10" s="1547">
        <f t="shared" ref="EKA10" si="1816">EJY10</f>
        <v>95000</v>
      </c>
      <c r="EKB10" s="1548"/>
      <c r="EKC10" s="1547">
        <f t="shared" ref="EKC10" si="1817">EKA10</f>
        <v>95000</v>
      </c>
      <c r="EKD10" s="1548"/>
      <c r="EKE10" s="1547">
        <f t="shared" ref="EKE10" si="1818">EKC10</f>
        <v>95000</v>
      </c>
      <c r="EKF10" s="1548"/>
      <c r="EKG10" s="1547">
        <f t="shared" ref="EKG10" si="1819">EKE10</f>
        <v>95000</v>
      </c>
      <c r="EKH10" s="1548"/>
      <c r="EKI10" s="1547">
        <f t="shared" ref="EKI10" si="1820">EKG10</f>
        <v>95000</v>
      </c>
      <c r="EKJ10" s="1548"/>
      <c r="EKK10" s="1547">
        <f t="shared" ref="EKK10" si="1821">EKI10</f>
        <v>95000</v>
      </c>
      <c r="EKL10" s="1548"/>
      <c r="EKM10" s="1547">
        <f t="shared" ref="EKM10" si="1822">EKK10</f>
        <v>95000</v>
      </c>
      <c r="EKN10" s="1548"/>
      <c r="EKO10" s="1547">
        <f t="shared" ref="EKO10" si="1823">EKM10</f>
        <v>95000</v>
      </c>
      <c r="EKP10" s="1548"/>
      <c r="EKQ10" s="1547">
        <f t="shared" ref="EKQ10" si="1824">EKO10</f>
        <v>95000</v>
      </c>
      <c r="EKR10" s="1548"/>
      <c r="EKS10" s="1547">
        <f t="shared" ref="EKS10" si="1825">EKQ10</f>
        <v>95000</v>
      </c>
      <c r="EKT10" s="1548"/>
      <c r="EKU10" s="1547">
        <f t="shared" ref="EKU10" si="1826">EKS10</f>
        <v>95000</v>
      </c>
      <c r="EKV10" s="1548"/>
      <c r="EKW10" s="1547">
        <f t="shared" ref="EKW10" si="1827">EKU10</f>
        <v>95000</v>
      </c>
      <c r="EKX10" s="1548"/>
      <c r="EKY10" s="1547">
        <f t="shared" ref="EKY10" si="1828">EKW10</f>
        <v>95000</v>
      </c>
      <c r="EKZ10" s="1548"/>
      <c r="ELA10" s="1547">
        <f t="shared" ref="ELA10" si="1829">EKY10</f>
        <v>95000</v>
      </c>
      <c r="ELB10" s="1548"/>
      <c r="ELC10" s="1547">
        <f t="shared" ref="ELC10" si="1830">ELA10</f>
        <v>95000</v>
      </c>
      <c r="ELD10" s="1548"/>
      <c r="ELE10" s="1547">
        <f t="shared" ref="ELE10" si="1831">ELC10</f>
        <v>95000</v>
      </c>
      <c r="ELF10" s="1548"/>
      <c r="ELG10" s="1547">
        <f t="shared" ref="ELG10" si="1832">ELE10</f>
        <v>95000</v>
      </c>
      <c r="ELH10" s="1548"/>
      <c r="ELI10" s="1547">
        <f t="shared" ref="ELI10" si="1833">ELG10</f>
        <v>95000</v>
      </c>
      <c r="ELJ10" s="1548"/>
      <c r="ELK10" s="1547">
        <f t="shared" ref="ELK10" si="1834">ELI10</f>
        <v>95000</v>
      </c>
      <c r="ELL10" s="1548"/>
      <c r="ELM10" s="1547">
        <f t="shared" ref="ELM10" si="1835">ELK10</f>
        <v>95000</v>
      </c>
      <c r="ELN10" s="1548"/>
      <c r="ELO10" s="1547">
        <f t="shared" ref="ELO10" si="1836">ELM10</f>
        <v>95000</v>
      </c>
      <c r="ELP10" s="1548"/>
      <c r="ELQ10" s="1547">
        <f t="shared" ref="ELQ10" si="1837">ELO10</f>
        <v>95000</v>
      </c>
      <c r="ELR10" s="1548"/>
      <c r="ELS10" s="1547">
        <f t="shared" ref="ELS10" si="1838">ELQ10</f>
        <v>95000</v>
      </c>
      <c r="ELT10" s="1548"/>
      <c r="ELU10" s="1547">
        <f t="shared" ref="ELU10" si="1839">ELS10</f>
        <v>95000</v>
      </c>
      <c r="ELV10" s="1548"/>
      <c r="ELW10" s="1547">
        <f t="shared" ref="ELW10" si="1840">ELU10</f>
        <v>95000</v>
      </c>
      <c r="ELX10" s="1548"/>
      <c r="ELY10" s="1547">
        <f t="shared" ref="ELY10" si="1841">ELW10</f>
        <v>95000</v>
      </c>
      <c r="ELZ10" s="1548"/>
      <c r="EMA10" s="1547">
        <f t="shared" ref="EMA10" si="1842">ELY10</f>
        <v>95000</v>
      </c>
      <c r="EMB10" s="1548"/>
      <c r="EMC10" s="1547">
        <f t="shared" ref="EMC10" si="1843">EMA10</f>
        <v>95000</v>
      </c>
      <c r="EMD10" s="1548"/>
      <c r="EME10" s="1547">
        <f t="shared" ref="EME10" si="1844">EMC10</f>
        <v>95000</v>
      </c>
      <c r="EMF10" s="1548"/>
      <c r="EMG10" s="1547">
        <f t="shared" ref="EMG10" si="1845">EME10</f>
        <v>95000</v>
      </c>
      <c r="EMH10" s="1548"/>
      <c r="EMI10" s="1547">
        <f t="shared" ref="EMI10" si="1846">EMG10</f>
        <v>95000</v>
      </c>
      <c r="EMJ10" s="1548"/>
      <c r="EMK10" s="1547">
        <f t="shared" ref="EMK10" si="1847">EMI10</f>
        <v>95000</v>
      </c>
      <c r="EML10" s="1548"/>
      <c r="EMM10" s="1547">
        <f t="shared" ref="EMM10" si="1848">EMK10</f>
        <v>95000</v>
      </c>
      <c r="EMN10" s="1548"/>
      <c r="EMO10" s="1547">
        <f t="shared" ref="EMO10" si="1849">EMM10</f>
        <v>95000</v>
      </c>
      <c r="EMP10" s="1548"/>
      <c r="EMQ10" s="1547">
        <f t="shared" ref="EMQ10" si="1850">EMO10</f>
        <v>95000</v>
      </c>
      <c r="EMR10" s="1548"/>
      <c r="EMS10" s="1547">
        <f t="shared" ref="EMS10" si="1851">EMQ10</f>
        <v>95000</v>
      </c>
      <c r="EMT10" s="1548"/>
      <c r="EMU10" s="1547">
        <f t="shared" ref="EMU10" si="1852">EMS10</f>
        <v>95000</v>
      </c>
      <c r="EMV10" s="1548"/>
      <c r="EMW10" s="1547">
        <f t="shared" ref="EMW10" si="1853">EMU10</f>
        <v>95000</v>
      </c>
      <c r="EMX10" s="1548"/>
      <c r="EMY10" s="1547">
        <f t="shared" ref="EMY10" si="1854">EMW10</f>
        <v>95000</v>
      </c>
      <c r="EMZ10" s="1548"/>
      <c r="ENA10" s="1547">
        <f t="shared" ref="ENA10" si="1855">EMY10</f>
        <v>95000</v>
      </c>
      <c r="ENB10" s="1548"/>
      <c r="ENC10" s="1547">
        <f t="shared" ref="ENC10" si="1856">ENA10</f>
        <v>95000</v>
      </c>
      <c r="END10" s="1548"/>
      <c r="ENE10" s="1547">
        <f t="shared" ref="ENE10" si="1857">ENC10</f>
        <v>95000</v>
      </c>
      <c r="ENF10" s="1548"/>
      <c r="ENG10" s="1547">
        <f t="shared" ref="ENG10" si="1858">ENE10</f>
        <v>95000</v>
      </c>
      <c r="ENH10" s="1548"/>
      <c r="ENI10" s="1547">
        <f t="shared" ref="ENI10" si="1859">ENG10</f>
        <v>95000</v>
      </c>
      <c r="ENJ10" s="1548"/>
      <c r="ENK10" s="1547">
        <f t="shared" ref="ENK10" si="1860">ENI10</f>
        <v>95000</v>
      </c>
      <c r="ENL10" s="1548"/>
      <c r="ENM10" s="1547">
        <f t="shared" ref="ENM10" si="1861">ENK10</f>
        <v>95000</v>
      </c>
      <c r="ENN10" s="1548"/>
      <c r="ENO10" s="1547">
        <f t="shared" ref="ENO10" si="1862">ENM10</f>
        <v>95000</v>
      </c>
      <c r="ENP10" s="1548"/>
      <c r="ENQ10" s="1547">
        <f t="shared" ref="ENQ10" si="1863">ENO10</f>
        <v>95000</v>
      </c>
      <c r="ENR10" s="1548"/>
      <c r="ENS10" s="1547">
        <f t="shared" ref="ENS10" si="1864">ENQ10</f>
        <v>95000</v>
      </c>
      <c r="ENT10" s="1548"/>
      <c r="ENU10" s="1547">
        <f t="shared" ref="ENU10" si="1865">ENS10</f>
        <v>95000</v>
      </c>
      <c r="ENV10" s="1548"/>
      <c r="ENW10" s="1547">
        <f t="shared" ref="ENW10" si="1866">ENU10</f>
        <v>95000</v>
      </c>
      <c r="ENX10" s="1548"/>
      <c r="ENY10" s="1547">
        <f t="shared" ref="ENY10" si="1867">ENW10</f>
        <v>95000</v>
      </c>
      <c r="ENZ10" s="1548"/>
      <c r="EOA10" s="1547">
        <f t="shared" ref="EOA10" si="1868">ENY10</f>
        <v>95000</v>
      </c>
      <c r="EOB10" s="1548"/>
      <c r="EOC10" s="1547">
        <f t="shared" ref="EOC10" si="1869">EOA10</f>
        <v>95000</v>
      </c>
      <c r="EOD10" s="1548"/>
      <c r="EOE10" s="1547">
        <f t="shared" ref="EOE10" si="1870">EOC10</f>
        <v>95000</v>
      </c>
      <c r="EOF10" s="1548"/>
      <c r="EOG10" s="1547">
        <f t="shared" ref="EOG10" si="1871">EOE10</f>
        <v>95000</v>
      </c>
      <c r="EOH10" s="1548"/>
      <c r="EOI10" s="1547">
        <f t="shared" ref="EOI10" si="1872">EOG10</f>
        <v>95000</v>
      </c>
      <c r="EOJ10" s="1548"/>
      <c r="EOK10" s="1547">
        <f t="shared" ref="EOK10" si="1873">EOI10</f>
        <v>95000</v>
      </c>
      <c r="EOL10" s="1548"/>
      <c r="EOM10" s="1547">
        <f t="shared" ref="EOM10" si="1874">EOK10</f>
        <v>95000</v>
      </c>
      <c r="EON10" s="1548"/>
      <c r="EOO10" s="1547">
        <f t="shared" ref="EOO10" si="1875">EOM10</f>
        <v>95000</v>
      </c>
      <c r="EOP10" s="1548"/>
      <c r="EOQ10" s="1547">
        <f t="shared" ref="EOQ10" si="1876">EOO10</f>
        <v>95000</v>
      </c>
      <c r="EOR10" s="1548"/>
      <c r="EOS10" s="1547">
        <f t="shared" ref="EOS10" si="1877">EOQ10</f>
        <v>95000</v>
      </c>
      <c r="EOT10" s="1548"/>
      <c r="EOU10" s="1547">
        <f t="shared" ref="EOU10" si="1878">EOS10</f>
        <v>95000</v>
      </c>
      <c r="EOV10" s="1548"/>
      <c r="EOW10" s="1547">
        <f t="shared" ref="EOW10" si="1879">EOU10</f>
        <v>95000</v>
      </c>
      <c r="EOX10" s="1548"/>
      <c r="EOY10" s="1547">
        <f t="shared" ref="EOY10" si="1880">EOW10</f>
        <v>95000</v>
      </c>
      <c r="EOZ10" s="1548"/>
      <c r="EPA10" s="1547">
        <f t="shared" ref="EPA10" si="1881">EOY10</f>
        <v>95000</v>
      </c>
      <c r="EPB10" s="1548"/>
      <c r="EPC10" s="1547">
        <f t="shared" ref="EPC10" si="1882">EPA10</f>
        <v>95000</v>
      </c>
      <c r="EPD10" s="1548"/>
      <c r="EPE10" s="1547">
        <f t="shared" ref="EPE10" si="1883">EPC10</f>
        <v>95000</v>
      </c>
      <c r="EPF10" s="1548"/>
      <c r="EPG10" s="1547">
        <f t="shared" ref="EPG10" si="1884">EPE10</f>
        <v>95000</v>
      </c>
      <c r="EPH10" s="1548"/>
      <c r="EPI10" s="1547">
        <f t="shared" ref="EPI10" si="1885">EPG10</f>
        <v>95000</v>
      </c>
      <c r="EPJ10" s="1548"/>
      <c r="EPK10" s="1547">
        <f t="shared" ref="EPK10" si="1886">EPI10</f>
        <v>95000</v>
      </c>
      <c r="EPL10" s="1548"/>
      <c r="EPM10" s="1547">
        <f t="shared" ref="EPM10" si="1887">EPK10</f>
        <v>95000</v>
      </c>
      <c r="EPN10" s="1548"/>
      <c r="EPO10" s="1547">
        <f t="shared" ref="EPO10" si="1888">EPM10</f>
        <v>95000</v>
      </c>
      <c r="EPP10" s="1548"/>
      <c r="EPQ10" s="1547">
        <f t="shared" ref="EPQ10" si="1889">EPO10</f>
        <v>95000</v>
      </c>
      <c r="EPR10" s="1548"/>
      <c r="EPS10" s="1547">
        <f t="shared" ref="EPS10" si="1890">EPQ10</f>
        <v>95000</v>
      </c>
      <c r="EPT10" s="1548"/>
      <c r="EPU10" s="1547">
        <f t="shared" ref="EPU10" si="1891">EPS10</f>
        <v>95000</v>
      </c>
      <c r="EPV10" s="1548"/>
      <c r="EPW10" s="1547">
        <f t="shared" ref="EPW10" si="1892">EPU10</f>
        <v>95000</v>
      </c>
      <c r="EPX10" s="1548"/>
      <c r="EPY10" s="1547">
        <f t="shared" ref="EPY10" si="1893">EPW10</f>
        <v>95000</v>
      </c>
      <c r="EPZ10" s="1548"/>
      <c r="EQA10" s="1547">
        <f t="shared" ref="EQA10" si="1894">EPY10</f>
        <v>95000</v>
      </c>
      <c r="EQB10" s="1548"/>
      <c r="EQC10" s="1547">
        <f t="shared" ref="EQC10" si="1895">EQA10</f>
        <v>95000</v>
      </c>
      <c r="EQD10" s="1548"/>
      <c r="EQE10" s="1547">
        <f t="shared" ref="EQE10" si="1896">EQC10</f>
        <v>95000</v>
      </c>
      <c r="EQF10" s="1548"/>
      <c r="EQG10" s="1547">
        <f t="shared" ref="EQG10" si="1897">EQE10</f>
        <v>95000</v>
      </c>
      <c r="EQH10" s="1548"/>
      <c r="EQI10" s="1547">
        <f t="shared" ref="EQI10" si="1898">EQG10</f>
        <v>95000</v>
      </c>
      <c r="EQJ10" s="1548"/>
      <c r="EQK10" s="1547">
        <f t="shared" ref="EQK10" si="1899">EQI10</f>
        <v>95000</v>
      </c>
      <c r="EQL10" s="1548"/>
      <c r="EQM10" s="1547">
        <f t="shared" ref="EQM10" si="1900">EQK10</f>
        <v>95000</v>
      </c>
      <c r="EQN10" s="1548"/>
      <c r="EQO10" s="1547">
        <f t="shared" ref="EQO10" si="1901">EQM10</f>
        <v>95000</v>
      </c>
      <c r="EQP10" s="1548"/>
      <c r="EQQ10" s="1547">
        <f t="shared" ref="EQQ10" si="1902">EQO10</f>
        <v>95000</v>
      </c>
      <c r="EQR10" s="1548"/>
      <c r="EQS10" s="1547">
        <f t="shared" ref="EQS10" si="1903">EQQ10</f>
        <v>95000</v>
      </c>
      <c r="EQT10" s="1548"/>
      <c r="EQU10" s="1547">
        <f t="shared" ref="EQU10" si="1904">EQS10</f>
        <v>95000</v>
      </c>
      <c r="EQV10" s="1548"/>
      <c r="EQW10" s="1547">
        <f t="shared" ref="EQW10" si="1905">EQU10</f>
        <v>95000</v>
      </c>
      <c r="EQX10" s="1548"/>
      <c r="EQY10" s="1547">
        <f t="shared" ref="EQY10" si="1906">EQW10</f>
        <v>95000</v>
      </c>
      <c r="EQZ10" s="1548"/>
      <c r="ERA10" s="1547">
        <f t="shared" ref="ERA10" si="1907">EQY10</f>
        <v>95000</v>
      </c>
      <c r="ERB10" s="1548"/>
      <c r="ERC10" s="1547">
        <f t="shared" ref="ERC10" si="1908">ERA10</f>
        <v>95000</v>
      </c>
      <c r="ERD10" s="1548"/>
      <c r="ERE10" s="1547">
        <f t="shared" ref="ERE10" si="1909">ERC10</f>
        <v>95000</v>
      </c>
      <c r="ERF10" s="1548"/>
      <c r="ERG10" s="1547">
        <f t="shared" ref="ERG10" si="1910">ERE10</f>
        <v>95000</v>
      </c>
      <c r="ERH10" s="1548"/>
      <c r="ERI10" s="1547">
        <f t="shared" ref="ERI10" si="1911">ERG10</f>
        <v>95000</v>
      </c>
      <c r="ERJ10" s="1548"/>
      <c r="ERK10" s="1547">
        <f t="shared" ref="ERK10" si="1912">ERI10</f>
        <v>95000</v>
      </c>
      <c r="ERL10" s="1548"/>
      <c r="ERM10" s="1547">
        <f t="shared" ref="ERM10" si="1913">ERK10</f>
        <v>95000</v>
      </c>
      <c r="ERN10" s="1548"/>
      <c r="ERO10" s="1547">
        <f t="shared" ref="ERO10" si="1914">ERM10</f>
        <v>95000</v>
      </c>
      <c r="ERP10" s="1548"/>
      <c r="ERQ10" s="1547">
        <f t="shared" ref="ERQ10" si="1915">ERO10</f>
        <v>95000</v>
      </c>
      <c r="ERR10" s="1548"/>
      <c r="ERS10" s="1547">
        <f t="shared" ref="ERS10" si="1916">ERQ10</f>
        <v>95000</v>
      </c>
      <c r="ERT10" s="1548"/>
      <c r="ERU10" s="1547">
        <f t="shared" ref="ERU10" si="1917">ERS10</f>
        <v>95000</v>
      </c>
      <c r="ERV10" s="1548"/>
      <c r="ERW10" s="1547">
        <f t="shared" ref="ERW10" si="1918">ERU10</f>
        <v>95000</v>
      </c>
      <c r="ERX10" s="1548"/>
      <c r="ERY10" s="1547">
        <f t="shared" ref="ERY10" si="1919">ERW10</f>
        <v>95000</v>
      </c>
      <c r="ERZ10" s="1548"/>
      <c r="ESA10" s="1547">
        <f t="shared" ref="ESA10" si="1920">ERY10</f>
        <v>95000</v>
      </c>
      <c r="ESB10" s="1548"/>
      <c r="ESC10" s="1547">
        <f t="shared" ref="ESC10" si="1921">ESA10</f>
        <v>95000</v>
      </c>
      <c r="ESD10" s="1548"/>
      <c r="ESE10" s="1547">
        <f t="shared" ref="ESE10" si="1922">ESC10</f>
        <v>95000</v>
      </c>
      <c r="ESF10" s="1548"/>
      <c r="ESG10" s="1547">
        <f t="shared" ref="ESG10" si="1923">ESE10</f>
        <v>95000</v>
      </c>
      <c r="ESH10" s="1548"/>
      <c r="ESI10" s="1547">
        <f t="shared" ref="ESI10" si="1924">ESG10</f>
        <v>95000</v>
      </c>
      <c r="ESJ10" s="1548"/>
      <c r="ESK10" s="1547">
        <f t="shared" ref="ESK10" si="1925">ESI10</f>
        <v>95000</v>
      </c>
      <c r="ESL10" s="1548"/>
      <c r="ESM10" s="1547">
        <f t="shared" ref="ESM10" si="1926">ESK10</f>
        <v>95000</v>
      </c>
      <c r="ESN10" s="1548"/>
      <c r="ESO10" s="1547">
        <f t="shared" ref="ESO10" si="1927">ESM10</f>
        <v>95000</v>
      </c>
      <c r="ESP10" s="1548"/>
      <c r="ESQ10" s="1547">
        <f t="shared" ref="ESQ10" si="1928">ESO10</f>
        <v>95000</v>
      </c>
      <c r="ESR10" s="1548"/>
      <c r="ESS10" s="1547">
        <f t="shared" ref="ESS10" si="1929">ESQ10</f>
        <v>95000</v>
      </c>
      <c r="EST10" s="1548"/>
      <c r="ESU10" s="1547">
        <f t="shared" ref="ESU10" si="1930">ESS10</f>
        <v>95000</v>
      </c>
      <c r="ESV10" s="1548"/>
      <c r="ESW10" s="1547">
        <f t="shared" ref="ESW10" si="1931">ESU10</f>
        <v>95000</v>
      </c>
      <c r="ESX10" s="1548"/>
      <c r="ESY10" s="1547">
        <f t="shared" ref="ESY10" si="1932">ESW10</f>
        <v>95000</v>
      </c>
      <c r="ESZ10" s="1548"/>
      <c r="ETA10" s="1547">
        <f t="shared" ref="ETA10" si="1933">ESY10</f>
        <v>95000</v>
      </c>
      <c r="ETB10" s="1548"/>
      <c r="ETC10" s="1547">
        <f t="shared" ref="ETC10" si="1934">ETA10</f>
        <v>95000</v>
      </c>
      <c r="ETD10" s="1548"/>
      <c r="ETE10" s="1547">
        <f t="shared" ref="ETE10" si="1935">ETC10</f>
        <v>95000</v>
      </c>
      <c r="ETF10" s="1548"/>
      <c r="ETG10" s="1547">
        <f t="shared" ref="ETG10" si="1936">ETE10</f>
        <v>95000</v>
      </c>
      <c r="ETH10" s="1548"/>
      <c r="ETI10" s="1547">
        <f t="shared" ref="ETI10" si="1937">ETG10</f>
        <v>95000</v>
      </c>
      <c r="ETJ10" s="1548"/>
      <c r="ETK10" s="1547">
        <f t="shared" ref="ETK10" si="1938">ETI10</f>
        <v>95000</v>
      </c>
      <c r="ETL10" s="1548"/>
      <c r="ETM10" s="1547">
        <f t="shared" ref="ETM10" si="1939">ETK10</f>
        <v>95000</v>
      </c>
      <c r="ETN10" s="1548"/>
      <c r="ETO10" s="1547">
        <f t="shared" ref="ETO10" si="1940">ETM10</f>
        <v>95000</v>
      </c>
      <c r="ETP10" s="1548"/>
      <c r="ETQ10" s="1547">
        <f t="shared" ref="ETQ10" si="1941">ETO10</f>
        <v>95000</v>
      </c>
      <c r="ETR10" s="1548"/>
      <c r="ETS10" s="1547">
        <f t="shared" ref="ETS10" si="1942">ETQ10</f>
        <v>95000</v>
      </c>
      <c r="ETT10" s="1548"/>
      <c r="ETU10" s="1547">
        <f t="shared" ref="ETU10" si="1943">ETS10</f>
        <v>95000</v>
      </c>
      <c r="ETV10" s="1548"/>
      <c r="ETW10" s="1547">
        <f t="shared" ref="ETW10" si="1944">ETU10</f>
        <v>95000</v>
      </c>
      <c r="ETX10" s="1548"/>
      <c r="ETY10" s="1547">
        <f t="shared" ref="ETY10" si="1945">ETW10</f>
        <v>95000</v>
      </c>
      <c r="ETZ10" s="1548"/>
      <c r="EUA10" s="1547">
        <f t="shared" ref="EUA10" si="1946">ETY10</f>
        <v>95000</v>
      </c>
      <c r="EUB10" s="1548"/>
      <c r="EUC10" s="1547">
        <f t="shared" ref="EUC10" si="1947">EUA10</f>
        <v>95000</v>
      </c>
      <c r="EUD10" s="1548"/>
      <c r="EUE10" s="1547">
        <f t="shared" ref="EUE10" si="1948">EUC10</f>
        <v>95000</v>
      </c>
      <c r="EUF10" s="1548"/>
      <c r="EUG10" s="1547">
        <f t="shared" ref="EUG10" si="1949">EUE10</f>
        <v>95000</v>
      </c>
      <c r="EUH10" s="1548"/>
      <c r="EUI10" s="1547">
        <f t="shared" ref="EUI10" si="1950">EUG10</f>
        <v>95000</v>
      </c>
      <c r="EUJ10" s="1548"/>
      <c r="EUK10" s="1547">
        <f t="shared" ref="EUK10" si="1951">EUI10</f>
        <v>95000</v>
      </c>
      <c r="EUL10" s="1548"/>
      <c r="EUM10" s="1547">
        <f t="shared" ref="EUM10" si="1952">EUK10</f>
        <v>95000</v>
      </c>
      <c r="EUN10" s="1548"/>
      <c r="EUO10" s="1547">
        <f t="shared" ref="EUO10" si="1953">EUM10</f>
        <v>95000</v>
      </c>
      <c r="EUP10" s="1548"/>
      <c r="EUQ10" s="1547">
        <f t="shared" ref="EUQ10" si="1954">EUO10</f>
        <v>95000</v>
      </c>
      <c r="EUR10" s="1548"/>
      <c r="EUS10" s="1547">
        <f t="shared" ref="EUS10" si="1955">EUQ10</f>
        <v>95000</v>
      </c>
      <c r="EUT10" s="1548"/>
      <c r="EUU10" s="1547">
        <f t="shared" ref="EUU10" si="1956">EUS10</f>
        <v>95000</v>
      </c>
      <c r="EUV10" s="1548"/>
      <c r="EUW10" s="1547">
        <f t="shared" ref="EUW10" si="1957">EUU10</f>
        <v>95000</v>
      </c>
      <c r="EUX10" s="1548"/>
      <c r="EUY10" s="1547">
        <f t="shared" ref="EUY10" si="1958">EUW10</f>
        <v>95000</v>
      </c>
      <c r="EUZ10" s="1548"/>
      <c r="EVA10" s="1547">
        <f t="shared" ref="EVA10" si="1959">EUY10</f>
        <v>95000</v>
      </c>
      <c r="EVB10" s="1548"/>
      <c r="EVC10" s="1547">
        <f t="shared" ref="EVC10" si="1960">EVA10</f>
        <v>95000</v>
      </c>
      <c r="EVD10" s="1548"/>
      <c r="EVE10" s="1547">
        <f t="shared" ref="EVE10" si="1961">EVC10</f>
        <v>95000</v>
      </c>
      <c r="EVF10" s="1548"/>
      <c r="EVG10" s="1547">
        <f t="shared" ref="EVG10" si="1962">EVE10</f>
        <v>95000</v>
      </c>
      <c r="EVH10" s="1548"/>
      <c r="EVI10" s="1547">
        <f t="shared" ref="EVI10" si="1963">EVG10</f>
        <v>95000</v>
      </c>
      <c r="EVJ10" s="1548"/>
      <c r="EVK10" s="1547">
        <f t="shared" ref="EVK10" si="1964">EVI10</f>
        <v>95000</v>
      </c>
      <c r="EVL10" s="1548"/>
      <c r="EVM10" s="1547">
        <f t="shared" ref="EVM10" si="1965">EVK10</f>
        <v>95000</v>
      </c>
      <c r="EVN10" s="1548"/>
      <c r="EVO10" s="1547">
        <f t="shared" ref="EVO10" si="1966">EVM10</f>
        <v>95000</v>
      </c>
      <c r="EVP10" s="1548"/>
      <c r="EVQ10" s="1547">
        <f t="shared" ref="EVQ10" si="1967">EVO10</f>
        <v>95000</v>
      </c>
      <c r="EVR10" s="1548"/>
      <c r="EVS10" s="1547">
        <f t="shared" ref="EVS10" si="1968">EVQ10</f>
        <v>95000</v>
      </c>
      <c r="EVT10" s="1548"/>
      <c r="EVU10" s="1547">
        <f t="shared" ref="EVU10" si="1969">EVS10</f>
        <v>95000</v>
      </c>
      <c r="EVV10" s="1548"/>
      <c r="EVW10" s="1547">
        <f t="shared" ref="EVW10" si="1970">EVU10</f>
        <v>95000</v>
      </c>
      <c r="EVX10" s="1548"/>
      <c r="EVY10" s="1547">
        <f t="shared" ref="EVY10" si="1971">EVW10</f>
        <v>95000</v>
      </c>
      <c r="EVZ10" s="1548"/>
      <c r="EWA10" s="1547">
        <f t="shared" ref="EWA10" si="1972">EVY10</f>
        <v>95000</v>
      </c>
      <c r="EWB10" s="1548"/>
      <c r="EWC10" s="1547">
        <f t="shared" ref="EWC10" si="1973">EWA10</f>
        <v>95000</v>
      </c>
      <c r="EWD10" s="1548"/>
      <c r="EWE10" s="1547">
        <f t="shared" ref="EWE10" si="1974">EWC10</f>
        <v>95000</v>
      </c>
      <c r="EWF10" s="1548"/>
      <c r="EWG10" s="1547">
        <f t="shared" ref="EWG10" si="1975">EWE10</f>
        <v>95000</v>
      </c>
      <c r="EWH10" s="1548"/>
      <c r="EWI10" s="1547">
        <f t="shared" ref="EWI10" si="1976">EWG10</f>
        <v>95000</v>
      </c>
      <c r="EWJ10" s="1548"/>
      <c r="EWK10" s="1547">
        <f t="shared" ref="EWK10" si="1977">EWI10</f>
        <v>95000</v>
      </c>
      <c r="EWL10" s="1548"/>
      <c r="EWM10" s="1547">
        <f t="shared" ref="EWM10" si="1978">EWK10</f>
        <v>95000</v>
      </c>
      <c r="EWN10" s="1548"/>
      <c r="EWO10" s="1547">
        <f t="shared" ref="EWO10" si="1979">EWM10</f>
        <v>95000</v>
      </c>
      <c r="EWP10" s="1548"/>
      <c r="EWQ10" s="1547">
        <f t="shared" ref="EWQ10" si="1980">EWO10</f>
        <v>95000</v>
      </c>
      <c r="EWR10" s="1548"/>
      <c r="EWS10" s="1547">
        <f t="shared" ref="EWS10" si="1981">EWQ10</f>
        <v>95000</v>
      </c>
      <c r="EWT10" s="1548"/>
      <c r="EWU10" s="1547">
        <f t="shared" ref="EWU10" si="1982">EWS10</f>
        <v>95000</v>
      </c>
      <c r="EWV10" s="1548"/>
      <c r="EWW10" s="1547">
        <f t="shared" ref="EWW10" si="1983">EWU10</f>
        <v>95000</v>
      </c>
      <c r="EWX10" s="1548"/>
      <c r="EWY10" s="1547">
        <f t="shared" ref="EWY10" si="1984">EWW10</f>
        <v>95000</v>
      </c>
      <c r="EWZ10" s="1548"/>
      <c r="EXA10" s="1547">
        <f t="shared" ref="EXA10" si="1985">EWY10</f>
        <v>95000</v>
      </c>
      <c r="EXB10" s="1548"/>
      <c r="EXC10" s="1547">
        <f t="shared" ref="EXC10" si="1986">EXA10</f>
        <v>95000</v>
      </c>
      <c r="EXD10" s="1548"/>
      <c r="EXE10" s="1547">
        <f t="shared" ref="EXE10" si="1987">EXC10</f>
        <v>95000</v>
      </c>
      <c r="EXF10" s="1548"/>
      <c r="EXG10" s="1547">
        <f t="shared" ref="EXG10" si="1988">EXE10</f>
        <v>95000</v>
      </c>
      <c r="EXH10" s="1548"/>
      <c r="EXI10" s="1547">
        <f t="shared" ref="EXI10" si="1989">EXG10</f>
        <v>95000</v>
      </c>
      <c r="EXJ10" s="1548"/>
      <c r="EXK10" s="1547">
        <f t="shared" ref="EXK10" si="1990">EXI10</f>
        <v>95000</v>
      </c>
      <c r="EXL10" s="1548"/>
      <c r="EXM10" s="1547">
        <f t="shared" ref="EXM10" si="1991">EXK10</f>
        <v>95000</v>
      </c>
      <c r="EXN10" s="1548"/>
      <c r="EXO10" s="1547">
        <f t="shared" ref="EXO10" si="1992">EXM10</f>
        <v>95000</v>
      </c>
      <c r="EXP10" s="1548"/>
      <c r="EXQ10" s="1547">
        <f t="shared" ref="EXQ10" si="1993">EXO10</f>
        <v>95000</v>
      </c>
      <c r="EXR10" s="1548"/>
      <c r="EXS10" s="1547">
        <f t="shared" ref="EXS10" si="1994">EXQ10</f>
        <v>95000</v>
      </c>
      <c r="EXT10" s="1548"/>
      <c r="EXU10" s="1547">
        <f t="shared" ref="EXU10" si="1995">EXS10</f>
        <v>95000</v>
      </c>
      <c r="EXV10" s="1548"/>
      <c r="EXW10" s="1547">
        <f t="shared" ref="EXW10" si="1996">EXU10</f>
        <v>95000</v>
      </c>
      <c r="EXX10" s="1548"/>
      <c r="EXY10" s="1547">
        <f t="shared" ref="EXY10" si="1997">EXW10</f>
        <v>95000</v>
      </c>
      <c r="EXZ10" s="1548"/>
      <c r="EYA10" s="1547">
        <f t="shared" ref="EYA10" si="1998">EXY10</f>
        <v>95000</v>
      </c>
      <c r="EYB10" s="1548"/>
      <c r="EYC10" s="1547">
        <f t="shared" ref="EYC10" si="1999">EYA10</f>
        <v>95000</v>
      </c>
      <c r="EYD10" s="1548"/>
      <c r="EYE10" s="1547">
        <f t="shared" ref="EYE10" si="2000">EYC10</f>
        <v>95000</v>
      </c>
      <c r="EYF10" s="1548"/>
      <c r="EYG10" s="1547">
        <f t="shared" ref="EYG10" si="2001">EYE10</f>
        <v>95000</v>
      </c>
      <c r="EYH10" s="1548"/>
      <c r="EYI10" s="1547">
        <f t="shared" ref="EYI10" si="2002">EYG10</f>
        <v>95000</v>
      </c>
      <c r="EYJ10" s="1548"/>
      <c r="EYK10" s="1547">
        <f t="shared" ref="EYK10" si="2003">EYI10</f>
        <v>95000</v>
      </c>
      <c r="EYL10" s="1548"/>
      <c r="EYM10" s="1547">
        <f t="shared" ref="EYM10" si="2004">EYK10</f>
        <v>95000</v>
      </c>
      <c r="EYN10" s="1548"/>
      <c r="EYO10" s="1547">
        <f t="shared" ref="EYO10" si="2005">EYM10</f>
        <v>95000</v>
      </c>
      <c r="EYP10" s="1548"/>
      <c r="EYQ10" s="1547">
        <f t="shared" ref="EYQ10" si="2006">EYO10</f>
        <v>95000</v>
      </c>
      <c r="EYR10" s="1548"/>
      <c r="EYS10" s="1547">
        <f t="shared" ref="EYS10" si="2007">EYQ10</f>
        <v>95000</v>
      </c>
      <c r="EYT10" s="1548"/>
      <c r="EYU10" s="1547">
        <f t="shared" ref="EYU10" si="2008">EYS10</f>
        <v>95000</v>
      </c>
      <c r="EYV10" s="1548"/>
      <c r="EYW10" s="1547">
        <f t="shared" ref="EYW10" si="2009">EYU10</f>
        <v>95000</v>
      </c>
      <c r="EYX10" s="1548"/>
      <c r="EYY10" s="1547">
        <f t="shared" ref="EYY10" si="2010">EYW10</f>
        <v>95000</v>
      </c>
      <c r="EYZ10" s="1548"/>
      <c r="EZA10" s="1547">
        <f t="shared" ref="EZA10" si="2011">EYY10</f>
        <v>95000</v>
      </c>
      <c r="EZB10" s="1548"/>
      <c r="EZC10" s="1547">
        <f t="shared" ref="EZC10" si="2012">EZA10</f>
        <v>95000</v>
      </c>
      <c r="EZD10" s="1548"/>
      <c r="EZE10" s="1547">
        <f t="shared" ref="EZE10" si="2013">EZC10</f>
        <v>95000</v>
      </c>
      <c r="EZF10" s="1548"/>
      <c r="EZG10" s="1547">
        <f t="shared" ref="EZG10" si="2014">EZE10</f>
        <v>95000</v>
      </c>
      <c r="EZH10" s="1548"/>
      <c r="EZI10" s="1547">
        <f t="shared" ref="EZI10" si="2015">EZG10</f>
        <v>95000</v>
      </c>
      <c r="EZJ10" s="1548"/>
      <c r="EZK10" s="1547">
        <f t="shared" ref="EZK10" si="2016">EZI10</f>
        <v>95000</v>
      </c>
      <c r="EZL10" s="1548"/>
      <c r="EZM10" s="1547">
        <f t="shared" ref="EZM10" si="2017">EZK10</f>
        <v>95000</v>
      </c>
      <c r="EZN10" s="1548"/>
      <c r="EZO10" s="1547">
        <f t="shared" ref="EZO10" si="2018">EZM10</f>
        <v>95000</v>
      </c>
      <c r="EZP10" s="1548"/>
      <c r="EZQ10" s="1547">
        <f t="shared" ref="EZQ10" si="2019">EZO10</f>
        <v>95000</v>
      </c>
      <c r="EZR10" s="1548"/>
      <c r="EZS10" s="1547">
        <f t="shared" ref="EZS10" si="2020">EZQ10</f>
        <v>95000</v>
      </c>
      <c r="EZT10" s="1548"/>
      <c r="EZU10" s="1547">
        <f t="shared" ref="EZU10" si="2021">EZS10</f>
        <v>95000</v>
      </c>
      <c r="EZV10" s="1548"/>
      <c r="EZW10" s="1547">
        <f t="shared" ref="EZW10" si="2022">EZU10</f>
        <v>95000</v>
      </c>
      <c r="EZX10" s="1548"/>
      <c r="EZY10" s="1547">
        <f t="shared" ref="EZY10" si="2023">EZW10</f>
        <v>95000</v>
      </c>
      <c r="EZZ10" s="1548"/>
      <c r="FAA10" s="1547">
        <f t="shared" ref="FAA10" si="2024">EZY10</f>
        <v>95000</v>
      </c>
      <c r="FAB10" s="1548"/>
      <c r="FAC10" s="1547">
        <f t="shared" ref="FAC10" si="2025">FAA10</f>
        <v>95000</v>
      </c>
      <c r="FAD10" s="1548"/>
      <c r="FAE10" s="1547">
        <f t="shared" ref="FAE10" si="2026">FAC10</f>
        <v>95000</v>
      </c>
      <c r="FAF10" s="1548"/>
      <c r="FAG10" s="1547">
        <f t="shared" ref="FAG10" si="2027">FAE10</f>
        <v>95000</v>
      </c>
      <c r="FAH10" s="1548"/>
      <c r="FAI10" s="1547">
        <f t="shared" ref="FAI10" si="2028">FAG10</f>
        <v>95000</v>
      </c>
      <c r="FAJ10" s="1548"/>
      <c r="FAK10" s="1547">
        <f t="shared" ref="FAK10" si="2029">FAI10</f>
        <v>95000</v>
      </c>
      <c r="FAL10" s="1548"/>
      <c r="FAM10" s="1547">
        <f t="shared" ref="FAM10" si="2030">FAK10</f>
        <v>95000</v>
      </c>
      <c r="FAN10" s="1548"/>
      <c r="FAO10" s="1547">
        <f t="shared" ref="FAO10" si="2031">FAM10</f>
        <v>95000</v>
      </c>
      <c r="FAP10" s="1548"/>
      <c r="FAQ10" s="1547">
        <f t="shared" ref="FAQ10" si="2032">FAO10</f>
        <v>95000</v>
      </c>
      <c r="FAR10" s="1548"/>
      <c r="FAS10" s="1547">
        <f t="shared" ref="FAS10" si="2033">FAQ10</f>
        <v>95000</v>
      </c>
      <c r="FAT10" s="1548"/>
      <c r="FAU10" s="1547">
        <f t="shared" ref="FAU10" si="2034">FAS10</f>
        <v>95000</v>
      </c>
      <c r="FAV10" s="1548"/>
      <c r="FAW10" s="1547">
        <f t="shared" ref="FAW10" si="2035">FAU10</f>
        <v>95000</v>
      </c>
      <c r="FAX10" s="1548"/>
      <c r="FAY10" s="1547">
        <f t="shared" ref="FAY10" si="2036">FAW10</f>
        <v>95000</v>
      </c>
      <c r="FAZ10" s="1548"/>
      <c r="FBA10" s="1547">
        <f t="shared" ref="FBA10" si="2037">FAY10</f>
        <v>95000</v>
      </c>
      <c r="FBB10" s="1548"/>
      <c r="FBC10" s="1547">
        <f t="shared" ref="FBC10" si="2038">FBA10</f>
        <v>95000</v>
      </c>
      <c r="FBD10" s="1548"/>
      <c r="FBE10" s="1547">
        <f t="shared" ref="FBE10" si="2039">FBC10</f>
        <v>95000</v>
      </c>
      <c r="FBF10" s="1548"/>
      <c r="FBG10" s="1547">
        <f t="shared" ref="FBG10" si="2040">FBE10</f>
        <v>95000</v>
      </c>
      <c r="FBH10" s="1548"/>
      <c r="FBI10" s="1547">
        <f t="shared" ref="FBI10" si="2041">FBG10</f>
        <v>95000</v>
      </c>
      <c r="FBJ10" s="1548"/>
      <c r="FBK10" s="1547">
        <f t="shared" ref="FBK10" si="2042">FBI10</f>
        <v>95000</v>
      </c>
      <c r="FBL10" s="1548"/>
      <c r="FBM10" s="1547">
        <f t="shared" ref="FBM10" si="2043">FBK10</f>
        <v>95000</v>
      </c>
      <c r="FBN10" s="1548"/>
      <c r="FBO10" s="1547">
        <f t="shared" ref="FBO10" si="2044">FBM10</f>
        <v>95000</v>
      </c>
      <c r="FBP10" s="1548"/>
      <c r="FBQ10" s="1547">
        <f t="shared" ref="FBQ10" si="2045">FBO10</f>
        <v>95000</v>
      </c>
      <c r="FBR10" s="1548"/>
      <c r="FBS10" s="1547">
        <f t="shared" ref="FBS10" si="2046">FBQ10</f>
        <v>95000</v>
      </c>
      <c r="FBT10" s="1548"/>
      <c r="FBU10" s="1547">
        <f t="shared" ref="FBU10" si="2047">FBS10</f>
        <v>95000</v>
      </c>
      <c r="FBV10" s="1548"/>
      <c r="FBW10" s="1547">
        <f t="shared" ref="FBW10" si="2048">FBU10</f>
        <v>95000</v>
      </c>
      <c r="FBX10" s="1548"/>
      <c r="FBY10" s="1547">
        <f t="shared" ref="FBY10" si="2049">FBW10</f>
        <v>95000</v>
      </c>
      <c r="FBZ10" s="1548"/>
      <c r="FCA10" s="1547">
        <f t="shared" ref="FCA10" si="2050">FBY10</f>
        <v>95000</v>
      </c>
      <c r="FCB10" s="1548"/>
      <c r="FCC10" s="1547">
        <f t="shared" ref="FCC10" si="2051">FCA10</f>
        <v>95000</v>
      </c>
      <c r="FCD10" s="1548"/>
      <c r="FCE10" s="1547">
        <f t="shared" ref="FCE10" si="2052">FCC10</f>
        <v>95000</v>
      </c>
      <c r="FCF10" s="1548"/>
      <c r="FCG10" s="1547">
        <f t="shared" ref="FCG10" si="2053">FCE10</f>
        <v>95000</v>
      </c>
      <c r="FCH10" s="1548"/>
      <c r="FCI10" s="1547">
        <f t="shared" ref="FCI10" si="2054">FCG10</f>
        <v>95000</v>
      </c>
      <c r="FCJ10" s="1548"/>
      <c r="FCK10" s="1547">
        <f t="shared" ref="FCK10" si="2055">FCI10</f>
        <v>95000</v>
      </c>
      <c r="FCL10" s="1548"/>
      <c r="FCM10" s="1547">
        <f t="shared" ref="FCM10" si="2056">FCK10</f>
        <v>95000</v>
      </c>
      <c r="FCN10" s="1548"/>
      <c r="FCO10" s="1547">
        <f t="shared" ref="FCO10" si="2057">FCM10</f>
        <v>95000</v>
      </c>
      <c r="FCP10" s="1548"/>
      <c r="FCQ10" s="1547">
        <f t="shared" ref="FCQ10" si="2058">FCO10</f>
        <v>95000</v>
      </c>
      <c r="FCR10" s="1548"/>
      <c r="FCS10" s="1547">
        <f t="shared" ref="FCS10" si="2059">FCQ10</f>
        <v>95000</v>
      </c>
      <c r="FCT10" s="1548"/>
      <c r="FCU10" s="1547">
        <f t="shared" ref="FCU10" si="2060">FCS10</f>
        <v>95000</v>
      </c>
      <c r="FCV10" s="1548"/>
      <c r="FCW10" s="1547">
        <f t="shared" ref="FCW10" si="2061">FCU10</f>
        <v>95000</v>
      </c>
      <c r="FCX10" s="1548"/>
      <c r="FCY10" s="1547">
        <f t="shared" ref="FCY10" si="2062">FCW10</f>
        <v>95000</v>
      </c>
      <c r="FCZ10" s="1548"/>
      <c r="FDA10" s="1547">
        <f t="shared" ref="FDA10" si="2063">FCY10</f>
        <v>95000</v>
      </c>
      <c r="FDB10" s="1548"/>
      <c r="FDC10" s="1547">
        <f t="shared" ref="FDC10" si="2064">FDA10</f>
        <v>95000</v>
      </c>
      <c r="FDD10" s="1548"/>
      <c r="FDE10" s="1547">
        <f t="shared" ref="FDE10" si="2065">FDC10</f>
        <v>95000</v>
      </c>
      <c r="FDF10" s="1548"/>
      <c r="FDG10" s="1547">
        <f t="shared" ref="FDG10" si="2066">FDE10</f>
        <v>95000</v>
      </c>
      <c r="FDH10" s="1548"/>
      <c r="FDI10" s="1547">
        <f t="shared" ref="FDI10" si="2067">FDG10</f>
        <v>95000</v>
      </c>
      <c r="FDJ10" s="1548"/>
      <c r="FDK10" s="1547">
        <f t="shared" ref="FDK10" si="2068">FDI10</f>
        <v>95000</v>
      </c>
      <c r="FDL10" s="1548"/>
      <c r="FDM10" s="1547">
        <f t="shared" ref="FDM10" si="2069">FDK10</f>
        <v>95000</v>
      </c>
      <c r="FDN10" s="1548"/>
      <c r="FDO10" s="1547">
        <f t="shared" ref="FDO10" si="2070">FDM10</f>
        <v>95000</v>
      </c>
      <c r="FDP10" s="1548"/>
      <c r="FDQ10" s="1547">
        <f t="shared" ref="FDQ10" si="2071">FDO10</f>
        <v>95000</v>
      </c>
      <c r="FDR10" s="1548"/>
      <c r="FDS10" s="1547">
        <f t="shared" ref="FDS10" si="2072">FDQ10</f>
        <v>95000</v>
      </c>
      <c r="FDT10" s="1548"/>
      <c r="FDU10" s="1547">
        <f t="shared" ref="FDU10" si="2073">FDS10</f>
        <v>95000</v>
      </c>
      <c r="FDV10" s="1548"/>
      <c r="FDW10" s="1547">
        <f t="shared" ref="FDW10" si="2074">FDU10</f>
        <v>95000</v>
      </c>
      <c r="FDX10" s="1548"/>
      <c r="FDY10" s="1547">
        <f t="shared" ref="FDY10" si="2075">FDW10</f>
        <v>95000</v>
      </c>
      <c r="FDZ10" s="1548"/>
      <c r="FEA10" s="1547">
        <f t="shared" ref="FEA10" si="2076">FDY10</f>
        <v>95000</v>
      </c>
      <c r="FEB10" s="1548"/>
      <c r="FEC10" s="1547">
        <f t="shared" ref="FEC10" si="2077">FEA10</f>
        <v>95000</v>
      </c>
      <c r="FED10" s="1548"/>
      <c r="FEE10" s="1547">
        <f t="shared" ref="FEE10" si="2078">FEC10</f>
        <v>95000</v>
      </c>
      <c r="FEF10" s="1548"/>
      <c r="FEG10" s="1547">
        <f t="shared" ref="FEG10" si="2079">FEE10</f>
        <v>95000</v>
      </c>
      <c r="FEH10" s="1548"/>
      <c r="FEI10" s="1547">
        <f t="shared" ref="FEI10" si="2080">FEG10</f>
        <v>95000</v>
      </c>
      <c r="FEJ10" s="1548"/>
      <c r="FEK10" s="1547">
        <f t="shared" ref="FEK10" si="2081">FEI10</f>
        <v>95000</v>
      </c>
      <c r="FEL10" s="1548"/>
      <c r="FEM10" s="1547">
        <f t="shared" ref="FEM10" si="2082">FEK10</f>
        <v>95000</v>
      </c>
      <c r="FEN10" s="1548"/>
      <c r="FEO10" s="1547">
        <f t="shared" ref="FEO10" si="2083">FEM10</f>
        <v>95000</v>
      </c>
      <c r="FEP10" s="1548"/>
      <c r="FEQ10" s="1547">
        <f t="shared" ref="FEQ10" si="2084">FEO10</f>
        <v>95000</v>
      </c>
      <c r="FER10" s="1548"/>
      <c r="FES10" s="1547">
        <f t="shared" ref="FES10" si="2085">FEQ10</f>
        <v>95000</v>
      </c>
      <c r="FET10" s="1548"/>
      <c r="FEU10" s="1547">
        <f t="shared" ref="FEU10" si="2086">FES10</f>
        <v>95000</v>
      </c>
      <c r="FEV10" s="1548"/>
      <c r="FEW10" s="1547">
        <f t="shared" ref="FEW10" si="2087">FEU10</f>
        <v>95000</v>
      </c>
      <c r="FEX10" s="1548"/>
      <c r="FEY10" s="1547">
        <f t="shared" ref="FEY10" si="2088">FEW10</f>
        <v>95000</v>
      </c>
      <c r="FEZ10" s="1548"/>
      <c r="FFA10" s="1547">
        <f t="shared" ref="FFA10" si="2089">FEY10</f>
        <v>95000</v>
      </c>
      <c r="FFB10" s="1548"/>
      <c r="FFC10" s="1547">
        <f t="shared" ref="FFC10" si="2090">FFA10</f>
        <v>95000</v>
      </c>
      <c r="FFD10" s="1548"/>
      <c r="FFE10" s="1547">
        <f t="shared" ref="FFE10" si="2091">FFC10</f>
        <v>95000</v>
      </c>
      <c r="FFF10" s="1548"/>
      <c r="FFG10" s="1547">
        <f t="shared" ref="FFG10" si="2092">FFE10</f>
        <v>95000</v>
      </c>
      <c r="FFH10" s="1548"/>
      <c r="FFI10" s="1547">
        <f t="shared" ref="FFI10" si="2093">FFG10</f>
        <v>95000</v>
      </c>
      <c r="FFJ10" s="1548"/>
      <c r="FFK10" s="1547">
        <f t="shared" ref="FFK10" si="2094">FFI10</f>
        <v>95000</v>
      </c>
      <c r="FFL10" s="1548"/>
      <c r="FFM10" s="1547">
        <f t="shared" ref="FFM10" si="2095">FFK10</f>
        <v>95000</v>
      </c>
      <c r="FFN10" s="1548"/>
      <c r="FFO10" s="1547">
        <f t="shared" ref="FFO10" si="2096">FFM10</f>
        <v>95000</v>
      </c>
      <c r="FFP10" s="1548"/>
      <c r="FFQ10" s="1547">
        <f t="shared" ref="FFQ10" si="2097">FFO10</f>
        <v>95000</v>
      </c>
      <c r="FFR10" s="1548"/>
      <c r="FFS10" s="1547">
        <f t="shared" ref="FFS10" si="2098">FFQ10</f>
        <v>95000</v>
      </c>
      <c r="FFT10" s="1548"/>
      <c r="FFU10" s="1547">
        <f t="shared" ref="FFU10" si="2099">FFS10</f>
        <v>95000</v>
      </c>
      <c r="FFV10" s="1548"/>
      <c r="FFW10" s="1547">
        <f t="shared" ref="FFW10" si="2100">FFU10</f>
        <v>95000</v>
      </c>
      <c r="FFX10" s="1548"/>
      <c r="FFY10" s="1547">
        <f t="shared" ref="FFY10" si="2101">FFW10</f>
        <v>95000</v>
      </c>
      <c r="FFZ10" s="1548"/>
      <c r="FGA10" s="1547">
        <f t="shared" ref="FGA10" si="2102">FFY10</f>
        <v>95000</v>
      </c>
      <c r="FGB10" s="1548"/>
      <c r="FGC10" s="1547">
        <f t="shared" ref="FGC10" si="2103">FGA10</f>
        <v>95000</v>
      </c>
      <c r="FGD10" s="1548"/>
      <c r="FGE10" s="1547">
        <f t="shared" ref="FGE10" si="2104">FGC10</f>
        <v>95000</v>
      </c>
      <c r="FGF10" s="1548"/>
      <c r="FGG10" s="1547">
        <f t="shared" ref="FGG10" si="2105">FGE10</f>
        <v>95000</v>
      </c>
      <c r="FGH10" s="1548"/>
      <c r="FGI10" s="1547">
        <f t="shared" ref="FGI10" si="2106">FGG10</f>
        <v>95000</v>
      </c>
      <c r="FGJ10" s="1548"/>
      <c r="FGK10" s="1547">
        <f t="shared" ref="FGK10" si="2107">FGI10</f>
        <v>95000</v>
      </c>
      <c r="FGL10" s="1548"/>
      <c r="FGM10" s="1547">
        <f t="shared" ref="FGM10" si="2108">FGK10</f>
        <v>95000</v>
      </c>
      <c r="FGN10" s="1548"/>
      <c r="FGO10" s="1547">
        <f t="shared" ref="FGO10" si="2109">FGM10</f>
        <v>95000</v>
      </c>
      <c r="FGP10" s="1548"/>
      <c r="FGQ10" s="1547">
        <f t="shared" ref="FGQ10" si="2110">FGO10</f>
        <v>95000</v>
      </c>
      <c r="FGR10" s="1548"/>
      <c r="FGS10" s="1547">
        <f t="shared" ref="FGS10" si="2111">FGQ10</f>
        <v>95000</v>
      </c>
      <c r="FGT10" s="1548"/>
      <c r="FGU10" s="1547">
        <f t="shared" ref="FGU10" si="2112">FGS10</f>
        <v>95000</v>
      </c>
      <c r="FGV10" s="1548"/>
      <c r="FGW10" s="1547">
        <f t="shared" ref="FGW10" si="2113">FGU10</f>
        <v>95000</v>
      </c>
      <c r="FGX10" s="1548"/>
      <c r="FGY10" s="1547">
        <f t="shared" ref="FGY10" si="2114">FGW10</f>
        <v>95000</v>
      </c>
      <c r="FGZ10" s="1548"/>
      <c r="FHA10" s="1547">
        <f t="shared" ref="FHA10" si="2115">FGY10</f>
        <v>95000</v>
      </c>
      <c r="FHB10" s="1548"/>
      <c r="FHC10" s="1547">
        <f t="shared" ref="FHC10" si="2116">FHA10</f>
        <v>95000</v>
      </c>
      <c r="FHD10" s="1548"/>
      <c r="FHE10" s="1547">
        <f t="shared" ref="FHE10" si="2117">FHC10</f>
        <v>95000</v>
      </c>
      <c r="FHF10" s="1548"/>
      <c r="FHG10" s="1547">
        <f t="shared" ref="FHG10" si="2118">FHE10</f>
        <v>95000</v>
      </c>
      <c r="FHH10" s="1548"/>
      <c r="FHI10" s="1547">
        <f t="shared" ref="FHI10" si="2119">FHG10</f>
        <v>95000</v>
      </c>
      <c r="FHJ10" s="1548"/>
      <c r="FHK10" s="1547">
        <f t="shared" ref="FHK10" si="2120">FHI10</f>
        <v>95000</v>
      </c>
      <c r="FHL10" s="1548"/>
      <c r="FHM10" s="1547">
        <f t="shared" ref="FHM10" si="2121">FHK10</f>
        <v>95000</v>
      </c>
      <c r="FHN10" s="1548"/>
      <c r="FHO10" s="1547">
        <f t="shared" ref="FHO10" si="2122">FHM10</f>
        <v>95000</v>
      </c>
      <c r="FHP10" s="1548"/>
      <c r="FHQ10" s="1547">
        <f t="shared" ref="FHQ10" si="2123">FHO10</f>
        <v>95000</v>
      </c>
      <c r="FHR10" s="1548"/>
      <c r="FHS10" s="1547">
        <f t="shared" ref="FHS10" si="2124">FHQ10</f>
        <v>95000</v>
      </c>
      <c r="FHT10" s="1548"/>
      <c r="FHU10" s="1547">
        <f t="shared" ref="FHU10" si="2125">FHS10</f>
        <v>95000</v>
      </c>
      <c r="FHV10" s="1548"/>
      <c r="FHW10" s="1547">
        <f t="shared" ref="FHW10" si="2126">FHU10</f>
        <v>95000</v>
      </c>
      <c r="FHX10" s="1548"/>
      <c r="FHY10" s="1547">
        <f t="shared" ref="FHY10" si="2127">FHW10</f>
        <v>95000</v>
      </c>
      <c r="FHZ10" s="1548"/>
      <c r="FIA10" s="1547">
        <f t="shared" ref="FIA10" si="2128">FHY10</f>
        <v>95000</v>
      </c>
      <c r="FIB10" s="1548"/>
      <c r="FIC10" s="1547">
        <f t="shared" ref="FIC10" si="2129">FIA10</f>
        <v>95000</v>
      </c>
      <c r="FID10" s="1548"/>
      <c r="FIE10" s="1547">
        <f t="shared" ref="FIE10" si="2130">FIC10</f>
        <v>95000</v>
      </c>
      <c r="FIF10" s="1548"/>
      <c r="FIG10" s="1547">
        <f t="shared" ref="FIG10" si="2131">FIE10</f>
        <v>95000</v>
      </c>
      <c r="FIH10" s="1548"/>
      <c r="FII10" s="1547">
        <f t="shared" ref="FII10" si="2132">FIG10</f>
        <v>95000</v>
      </c>
      <c r="FIJ10" s="1548"/>
      <c r="FIK10" s="1547">
        <f t="shared" ref="FIK10" si="2133">FII10</f>
        <v>95000</v>
      </c>
      <c r="FIL10" s="1548"/>
      <c r="FIM10" s="1547">
        <f t="shared" ref="FIM10" si="2134">FIK10</f>
        <v>95000</v>
      </c>
      <c r="FIN10" s="1548"/>
      <c r="FIO10" s="1547">
        <f t="shared" ref="FIO10" si="2135">FIM10</f>
        <v>95000</v>
      </c>
      <c r="FIP10" s="1548"/>
      <c r="FIQ10" s="1547">
        <f t="shared" ref="FIQ10" si="2136">FIO10</f>
        <v>95000</v>
      </c>
      <c r="FIR10" s="1548"/>
      <c r="FIS10" s="1547">
        <f t="shared" ref="FIS10" si="2137">FIQ10</f>
        <v>95000</v>
      </c>
      <c r="FIT10" s="1548"/>
      <c r="FIU10" s="1547">
        <f t="shared" ref="FIU10" si="2138">FIS10</f>
        <v>95000</v>
      </c>
      <c r="FIV10" s="1548"/>
      <c r="FIW10" s="1547">
        <f t="shared" ref="FIW10" si="2139">FIU10</f>
        <v>95000</v>
      </c>
      <c r="FIX10" s="1548"/>
      <c r="FIY10" s="1547">
        <f t="shared" ref="FIY10" si="2140">FIW10</f>
        <v>95000</v>
      </c>
      <c r="FIZ10" s="1548"/>
      <c r="FJA10" s="1547">
        <f t="shared" ref="FJA10" si="2141">FIY10</f>
        <v>95000</v>
      </c>
      <c r="FJB10" s="1548"/>
      <c r="FJC10" s="1547">
        <f t="shared" ref="FJC10" si="2142">FJA10</f>
        <v>95000</v>
      </c>
      <c r="FJD10" s="1548"/>
      <c r="FJE10" s="1547">
        <f t="shared" ref="FJE10" si="2143">FJC10</f>
        <v>95000</v>
      </c>
      <c r="FJF10" s="1548"/>
      <c r="FJG10" s="1547">
        <f t="shared" ref="FJG10" si="2144">FJE10</f>
        <v>95000</v>
      </c>
      <c r="FJH10" s="1548"/>
      <c r="FJI10" s="1547">
        <f t="shared" ref="FJI10" si="2145">FJG10</f>
        <v>95000</v>
      </c>
      <c r="FJJ10" s="1548"/>
      <c r="FJK10" s="1547">
        <f t="shared" ref="FJK10" si="2146">FJI10</f>
        <v>95000</v>
      </c>
      <c r="FJL10" s="1548"/>
      <c r="FJM10" s="1547">
        <f t="shared" ref="FJM10" si="2147">FJK10</f>
        <v>95000</v>
      </c>
      <c r="FJN10" s="1548"/>
      <c r="FJO10" s="1547">
        <f t="shared" ref="FJO10" si="2148">FJM10</f>
        <v>95000</v>
      </c>
      <c r="FJP10" s="1548"/>
      <c r="FJQ10" s="1547">
        <f t="shared" ref="FJQ10" si="2149">FJO10</f>
        <v>95000</v>
      </c>
      <c r="FJR10" s="1548"/>
      <c r="FJS10" s="1547">
        <f t="shared" ref="FJS10" si="2150">FJQ10</f>
        <v>95000</v>
      </c>
      <c r="FJT10" s="1548"/>
      <c r="FJU10" s="1547">
        <f t="shared" ref="FJU10" si="2151">FJS10</f>
        <v>95000</v>
      </c>
      <c r="FJV10" s="1548"/>
      <c r="FJW10" s="1547">
        <f t="shared" ref="FJW10" si="2152">FJU10</f>
        <v>95000</v>
      </c>
      <c r="FJX10" s="1548"/>
      <c r="FJY10" s="1547">
        <f t="shared" ref="FJY10" si="2153">FJW10</f>
        <v>95000</v>
      </c>
      <c r="FJZ10" s="1548"/>
      <c r="FKA10" s="1547">
        <f t="shared" ref="FKA10" si="2154">FJY10</f>
        <v>95000</v>
      </c>
      <c r="FKB10" s="1548"/>
      <c r="FKC10" s="1547">
        <f t="shared" ref="FKC10" si="2155">FKA10</f>
        <v>95000</v>
      </c>
      <c r="FKD10" s="1548"/>
      <c r="FKE10" s="1547">
        <f t="shared" ref="FKE10" si="2156">FKC10</f>
        <v>95000</v>
      </c>
      <c r="FKF10" s="1548"/>
      <c r="FKG10" s="1547">
        <f t="shared" ref="FKG10" si="2157">FKE10</f>
        <v>95000</v>
      </c>
      <c r="FKH10" s="1548"/>
      <c r="FKI10" s="1547">
        <f t="shared" ref="FKI10" si="2158">FKG10</f>
        <v>95000</v>
      </c>
      <c r="FKJ10" s="1548"/>
      <c r="FKK10" s="1547">
        <f t="shared" ref="FKK10" si="2159">FKI10</f>
        <v>95000</v>
      </c>
      <c r="FKL10" s="1548"/>
      <c r="FKM10" s="1547">
        <f t="shared" ref="FKM10" si="2160">FKK10</f>
        <v>95000</v>
      </c>
      <c r="FKN10" s="1548"/>
      <c r="FKO10" s="1547">
        <f t="shared" ref="FKO10" si="2161">FKM10</f>
        <v>95000</v>
      </c>
      <c r="FKP10" s="1548"/>
      <c r="FKQ10" s="1547">
        <f t="shared" ref="FKQ10" si="2162">FKO10</f>
        <v>95000</v>
      </c>
      <c r="FKR10" s="1548"/>
      <c r="FKS10" s="1547">
        <f t="shared" ref="FKS10" si="2163">FKQ10</f>
        <v>95000</v>
      </c>
      <c r="FKT10" s="1548"/>
      <c r="FKU10" s="1547">
        <f t="shared" ref="FKU10" si="2164">FKS10</f>
        <v>95000</v>
      </c>
      <c r="FKV10" s="1548"/>
      <c r="FKW10" s="1547">
        <f t="shared" ref="FKW10" si="2165">FKU10</f>
        <v>95000</v>
      </c>
      <c r="FKX10" s="1548"/>
      <c r="FKY10" s="1547">
        <f t="shared" ref="FKY10" si="2166">FKW10</f>
        <v>95000</v>
      </c>
      <c r="FKZ10" s="1548"/>
      <c r="FLA10" s="1547">
        <f t="shared" ref="FLA10" si="2167">FKY10</f>
        <v>95000</v>
      </c>
      <c r="FLB10" s="1548"/>
      <c r="FLC10" s="1547">
        <f t="shared" ref="FLC10" si="2168">FLA10</f>
        <v>95000</v>
      </c>
      <c r="FLD10" s="1548"/>
      <c r="FLE10" s="1547">
        <f t="shared" ref="FLE10" si="2169">FLC10</f>
        <v>95000</v>
      </c>
      <c r="FLF10" s="1548"/>
      <c r="FLG10" s="1547">
        <f t="shared" ref="FLG10" si="2170">FLE10</f>
        <v>95000</v>
      </c>
      <c r="FLH10" s="1548"/>
      <c r="FLI10" s="1547">
        <f t="shared" ref="FLI10" si="2171">FLG10</f>
        <v>95000</v>
      </c>
      <c r="FLJ10" s="1548"/>
      <c r="FLK10" s="1547">
        <f t="shared" ref="FLK10" si="2172">FLI10</f>
        <v>95000</v>
      </c>
      <c r="FLL10" s="1548"/>
      <c r="FLM10" s="1547">
        <f t="shared" ref="FLM10" si="2173">FLK10</f>
        <v>95000</v>
      </c>
      <c r="FLN10" s="1548"/>
      <c r="FLO10" s="1547">
        <f t="shared" ref="FLO10" si="2174">FLM10</f>
        <v>95000</v>
      </c>
      <c r="FLP10" s="1548"/>
      <c r="FLQ10" s="1547">
        <f t="shared" ref="FLQ10" si="2175">FLO10</f>
        <v>95000</v>
      </c>
      <c r="FLR10" s="1548"/>
      <c r="FLS10" s="1547">
        <f t="shared" ref="FLS10" si="2176">FLQ10</f>
        <v>95000</v>
      </c>
      <c r="FLT10" s="1548"/>
      <c r="FLU10" s="1547">
        <f t="shared" ref="FLU10" si="2177">FLS10</f>
        <v>95000</v>
      </c>
      <c r="FLV10" s="1548"/>
      <c r="FLW10" s="1547">
        <f t="shared" ref="FLW10" si="2178">FLU10</f>
        <v>95000</v>
      </c>
      <c r="FLX10" s="1548"/>
      <c r="FLY10" s="1547">
        <f t="shared" ref="FLY10" si="2179">FLW10</f>
        <v>95000</v>
      </c>
      <c r="FLZ10" s="1548"/>
      <c r="FMA10" s="1547">
        <f t="shared" ref="FMA10" si="2180">FLY10</f>
        <v>95000</v>
      </c>
      <c r="FMB10" s="1548"/>
      <c r="FMC10" s="1547">
        <f t="shared" ref="FMC10" si="2181">FMA10</f>
        <v>95000</v>
      </c>
      <c r="FMD10" s="1548"/>
      <c r="FME10" s="1547">
        <f t="shared" ref="FME10" si="2182">FMC10</f>
        <v>95000</v>
      </c>
      <c r="FMF10" s="1548"/>
      <c r="FMG10" s="1547">
        <f t="shared" ref="FMG10" si="2183">FME10</f>
        <v>95000</v>
      </c>
      <c r="FMH10" s="1548"/>
      <c r="FMI10" s="1547">
        <f t="shared" ref="FMI10" si="2184">FMG10</f>
        <v>95000</v>
      </c>
      <c r="FMJ10" s="1548"/>
      <c r="FMK10" s="1547">
        <f t="shared" ref="FMK10" si="2185">FMI10</f>
        <v>95000</v>
      </c>
      <c r="FML10" s="1548"/>
      <c r="FMM10" s="1547">
        <f t="shared" ref="FMM10" si="2186">FMK10</f>
        <v>95000</v>
      </c>
      <c r="FMN10" s="1548"/>
      <c r="FMO10" s="1547">
        <f t="shared" ref="FMO10" si="2187">FMM10</f>
        <v>95000</v>
      </c>
      <c r="FMP10" s="1548"/>
      <c r="FMQ10" s="1547">
        <f t="shared" ref="FMQ10" si="2188">FMO10</f>
        <v>95000</v>
      </c>
      <c r="FMR10" s="1548"/>
      <c r="FMS10" s="1547">
        <f t="shared" ref="FMS10" si="2189">FMQ10</f>
        <v>95000</v>
      </c>
      <c r="FMT10" s="1548"/>
      <c r="FMU10" s="1547">
        <f t="shared" ref="FMU10" si="2190">FMS10</f>
        <v>95000</v>
      </c>
      <c r="FMV10" s="1548"/>
      <c r="FMW10" s="1547">
        <f t="shared" ref="FMW10" si="2191">FMU10</f>
        <v>95000</v>
      </c>
      <c r="FMX10" s="1548"/>
      <c r="FMY10" s="1547">
        <f t="shared" ref="FMY10" si="2192">FMW10</f>
        <v>95000</v>
      </c>
      <c r="FMZ10" s="1548"/>
      <c r="FNA10" s="1547">
        <f t="shared" ref="FNA10" si="2193">FMY10</f>
        <v>95000</v>
      </c>
      <c r="FNB10" s="1548"/>
      <c r="FNC10" s="1547">
        <f t="shared" ref="FNC10" si="2194">FNA10</f>
        <v>95000</v>
      </c>
      <c r="FND10" s="1548"/>
      <c r="FNE10" s="1547">
        <f t="shared" ref="FNE10" si="2195">FNC10</f>
        <v>95000</v>
      </c>
      <c r="FNF10" s="1548"/>
      <c r="FNG10" s="1547">
        <f t="shared" ref="FNG10" si="2196">FNE10</f>
        <v>95000</v>
      </c>
      <c r="FNH10" s="1548"/>
      <c r="FNI10" s="1547">
        <f t="shared" ref="FNI10" si="2197">FNG10</f>
        <v>95000</v>
      </c>
      <c r="FNJ10" s="1548"/>
      <c r="FNK10" s="1547">
        <f t="shared" ref="FNK10" si="2198">FNI10</f>
        <v>95000</v>
      </c>
      <c r="FNL10" s="1548"/>
      <c r="FNM10" s="1547">
        <f t="shared" ref="FNM10" si="2199">FNK10</f>
        <v>95000</v>
      </c>
      <c r="FNN10" s="1548"/>
      <c r="FNO10" s="1547">
        <f t="shared" ref="FNO10" si="2200">FNM10</f>
        <v>95000</v>
      </c>
      <c r="FNP10" s="1548"/>
      <c r="FNQ10" s="1547">
        <f t="shared" ref="FNQ10" si="2201">FNO10</f>
        <v>95000</v>
      </c>
      <c r="FNR10" s="1548"/>
      <c r="FNS10" s="1547">
        <f t="shared" ref="FNS10" si="2202">FNQ10</f>
        <v>95000</v>
      </c>
      <c r="FNT10" s="1548"/>
      <c r="FNU10" s="1547">
        <f t="shared" ref="FNU10" si="2203">FNS10</f>
        <v>95000</v>
      </c>
      <c r="FNV10" s="1548"/>
      <c r="FNW10" s="1547">
        <f t="shared" ref="FNW10" si="2204">FNU10</f>
        <v>95000</v>
      </c>
      <c r="FNX10" s="1548"/>
      <c r="FNY10" s="1547">
        <f t="shared" ref="FNY10" si="2205">FNW10</f>
        <v>95000</v>
      </c>
      <c r="FNZ10" s="1548"/>
      <c r="FOA10" s="1547">
        <f t="shared" ref="FOA10" si="2206">FNY10</f>
        <v>95000</v>
      </c>
      <c r="FOB10" s="1548"/>
      <c r="FOC10" s="1547">
        <f t="shared" ref="FOC10" si="2207">FOA10</f>
        <v>95000</v>
      </c>
      <c r="FOD10" s="1548"/>
      <c r="FOE10" s="1547">
        <f t="shared" ref="FOE10" si="2208">FOC10</f>
        <v>95000</v>
      </c>
      <c r="FOF10" s="1548"/>
      <c r="FOG10" s="1547">
        <f t="shared" ref="FOG10" si="2209">FOE10</f>
        <v>95000</v>
      </c>
      <c r="FOH10" s="1548"/>
      <c r="FOI10" s="1547">
        <f t="shared" ref="FOI10" si="2210">FOG10</f>
        <v>95000</v>
      </c>
      <c r="FOJ10" s="1548"/>
      <c r="FOK10" s="1547">
        <f t="shared" ref="FOK10" si="2211">FOI10</f>
        <v>95000</v>
      </c>
      <c r="FOL10" s="1548"/>
      <c r="FOM10" s="1547">
        <f t="shared" ref="FOM10" si="2212">FOK10</f>
        <v>95000</v>
      </c>
      <c r="FON10" s="1548"/>
      <c r="FOO10" s="1547">
        <f t="shared" ref="FOO10" si="2213">FOM10</f>
        <v>95000</v>
      </c>
      <c r="FOP10" s="1548"/>
      <c r="FOQ10" s="1547">
        <f t="shared" ref="FOQ10" si="2214">FOO10</f>
        <v>95000</v>
      </c>
      <c r="FOR10" s="1548"/>
      <c r="FOS10" s="1547">
        <f t="shared" ref="FOS10" si="2215">FOQ10</f>
        <v>95000</v>
      </c>
      <c r="FOT10" s="1548"/>
      <c r="FOU10" s="1547">
        <f t="shared" ref="FOU10" si="2216">FOS10</f>
        <v>95000</v>
      </c>
      <c r="FOV10" s="1548"/>
      <c r="FOW10" s="1547">
        <f t="shared" ref="FOW10" si="2217">FOU10</f>
        <v>95000</v>
      </c>
      <c r="FOX10" s="1548"/>
      <c r="FOY10" s="1547">
        <f t="shared" ref="FOY10" si="2218">FOW10</f>
        <v>95000</v>
      </c>
      <c r="FOZ10" s="1548"/>
      <c r="FPA10" s="1547">
        <f t="shared" ref="FPA10" si="2219">FOY10</f>
        <v>95000</v>
      </c>
      <c r="FPB10" s="1548"/>
      <c r="FPC10" s="1547">
        <f t="shared" ref="FPC10" si="2220">FPA10</f>
        <v>95000</v>
      </c>
      <c r="FPD10" s="1548"/>
      <c r="FPE10" s="1547">
        <f t="shared" ref="FPE10" si="2221">FPC10</f>
        <v>95000</v>
      </c>
      <c r="FPF10" s="1548"/>
      <c r="FPG10" s="1547">
        <f t="shared" ref="FPG10" si="2222">FPE10</f>
        <v>95000</v>
      </c>
      <c r="FPH10" s="1548"/>
      <c r="FPI10" s="1547">
        <f t="shared" ref="FPI10" si="2223">FPG10</f>
        <v>95000</v>
      </c>
      <c r="FPJ10" s="1548"/>
      <c r="FPK10" s="1547">
        <f t="shared" ref="FPK10" si="2224">FPI10</f>
        <v>95000</v>
      </c>
      <c r="FPL10" s="1548"/>
      <c r="FPM10" s="1547">
        <f t="shared" ref="FPM10" si="2225">FPK10</f>
        <v>95000</v>
      </c>
      <c r="FPN10" s="1548"/>
      <c r="FPO10" s="1547">
        <f t="shared" ref="FPO10" si="2226">FPM10</f>
        <v>95000</v>
      </c>
      <c r="FPP10" s="1548"/>
      <c r="FPQ10" s="1547">
        <f t="shared" ref="FPQ10" si="2227">FPO10</f>
        <v>95000</v>
      </c>
      <c r="FPR10" s="1548"/>
      <c r="FPS10" s="1547">
        <f t="shared" ref="FPS10" si="2228">FPQ10</f>
        <v>95000</v>
      </c>
      <c r="FPT10" s="1548"/>
      <c r="FPU10" s="1547">
        <f t="shared" ref="FPU10" si="2229">FPS10</f>
        <v>95000</v>
      </c>
      <c r="FPV10" s="1548"/>
      <c r="FPW10" s="1547">
        <f t="shared" ref="FPW10" si="2230">FPU10</f>
        <v>95000</v>
      </c>
      <c r="FPX10" s="1548"/>
      <c r="FPY10" s="1547">
        <f t="shared" ref="FPY10" si="2231">FPW10</f>
        <v>95000</v>
      </c>
      <c r="FPZ10" s="1548"/>
      <c r="FQA10" s="1547">
        <f t="shared" ref="FQA10" si="2232">FPY10</f>
        <v>95000</v>
      </c>
      <c r="FQB10" s="1548"/>
      <c r="FQC10" s="1547">
        <f t="shared" ref="FQC10" si="2233">FQA10</f>
        <v>95000</v>
      </c>
      <c r="FQD10" s="1548"/>
      <c r="FQE10" s="1547">
        <f t="shared" ref="FQE10" si="2234">FQC10</f>
        <v>95000</v>
      </c>
      <c r="FQF10" s="1548"/>
      <c r="FQG10" s="1547">
        <f t="shared" ref="FQG10" si="2235">FQE10</f>
        <v>95000</v>
      </c>
      <c r="FQH10" s="1548"/>
      <c r="FQI10" s="1547">
        <f t="shared" ref="FQI10" si="2236">FQG10</f>
        <v>95000</v>
      </c>
      <c r="FQJ10" s="1548"/>
      <c r="FQK10" s="1547">
        <f t="shared" ref="FQK10" si="2237">FQI10</f>
        <v>95000</v>
      </c>
      <c r="FQL10" s="1548"/>
      <c r="FQM10" s="1547">
        <f t="shared" ref="FQM10" si="2238">FQK10</f>
        <v>95000</v>
      </c>
      <c r="FQN10" s="1548"/>
      <c r="FQO10" s="1547">
        <f t="shared" ref="FQO10" si="2239">FQM10</f>
        <v>95000</v>
      </c>
      <c r="FQP10" s="1548"/>
      <c r="FQQ10" s="1547">
        <f t="shared" ref="FQQ10" si="2240">FQO10</f>
        <v>95000</v>
      </c>
      <c r="FQR10" s="1548"/>
      <c r="FQS10" s="1547">
        <f t="shared" ref="FQS10" si="2241">FQQ10</f>
        <v>95000</v>
      </c>
      <c r="FQT10" s="1548"/>
      <c r="FQU10" s="1547">
        <f t="shared" ref="FQU10" si="2242">FQS10</f>
        <v>95000</v>
      </c>
      <c r="FQV10" s="1548"/>
      <c r="FQW10" s="1547">
        <f t="shared" ref="FQW10" si="2243">FQU10</f>
        <v>95000</v>
      </c>
      <c r="FQX10" s="1548"/>
      <c r="FQY10" s="1547">
        <f t="shared" ref="FQY10" si="2244">FQW10</f>
        <v>95000</v>
      </c>
      <c r="FQZ10" s="1548"/>
      <c r="FRA10" s="1547">
        <f t="shared" ref="FRA10" si="2245">FQY10</f>
        <v>95000</v>
      </c>
      <c r="FRB10" s="1548"/>
      <c r="FRC10" s="1547">
        <f t="shared" ref="FRC10" si="2246">FRA10</f>
        <v>95000</v>
      </c>
      <c r="FRD10" s="1548"/>
      <c r="FRE10" s="1547">
        <f t="shared" ref="FRE10" si="2247">FRC10</f>
        <v>95000</v>
      </c>
      <c r="FRF10" s="1548"/>
      <c r="FRG10" s="1547">
        <f t="shared" ref="FRG10" si="2248">FRE10</f>
        <v>95000</v>
      </c>
      <c r="FRH10" s="1548"/>
      <c r="FRI10" s="1547">
        <f t="shared" ref="FRI10" si="2249">FRG10</f>
        <v>95000</v>
      </c>
      <c r="FRJ10" s="1548"/>
      <c r="FRK10" s="1547">
        <f t="shared" ref="FRK10" si="2250">FRI10</f>
        <v>95000</v>
      </c>
      <c r="FRL10" s="1548"/>
      <c r="FRM10" s="1547">
        <f t="shared" ref="FRM10" si="2251">FRK10</f>
        <v>95000</v>
      </c>
      <c r="FRN10" s="1548"/>
      <c r="FRO10" s="1547">
        <f t="shared" ref="FRO10" si="2252">FRM10</f>
        <v>95000</v>
      </c>
      <c r="FRP10" s="1548"/>
      <c r="FRQ10" s="1547">
        <f t="shared" ref="FRQ10" si="2253">FRO10</f>
        <v>95000</v>
      </c>
      <c r="FRR10" s="1548"/>
      <c r="FRS10" s="1547">
        <f t="shared" ref="FRS10" si="2254">FRQ10</f>
        <v>95000</v>
      </c>
      <c r="FRT10" s="1548"/>
      <c r="FRU10" s="1547">
        <f t="shared" ref="FRU10" si="2255">FRS10</f>
        <v>95000</v>
      </c>
      <c r="FRV10" s="1548"/>
      <c r="FRW10" s="1547">
        <f t="shared" ref="FRW10" si="2256">FRU10</f>
        <v>95000</v>
      </c>
      <c r="FRX10" s="1548"/>
      <c r="FRY10" s="1547">
        <f t="shared" ref="FRY10" si="2257">FRW10</f>
        <v>95000</v>
      </c>
      <c r="FRZ10" s="1548"/>
      <c r="FSA10" s="1547">
        <f t="shared" ref="FSA10" si="2258">FRY10</f>
        <v>95000</v>
      </c>
      <c r="FSB10" s="1548"/>
      <c r="FSC10" s="1547">
        <f t="shared" ref="FSC10" si="2259">FSA10</f>
        <v>95000</v>
      </c>
      <c r="FSD10" s="1548"/>
      <c r="FSE10" s="1547">
        <f t="shared" ref="FSE10" si="2260">FSC10</f>
        <v>95000</v>
      </c>
      <c r="FSF10" s="1548"/>
      <c r="FSG10" s="1547">
        <f t="shared" ref="FSG10" si="2261">FSE10</f>
        <v>95000</v>
      </c>
      <c r="FSH10" s="1548"/>
      <c r="FSI10" s="1547">
        <f t="shared" ref="FSI10" si="2262">FSG10</f>
        <v>95000</v>
      </c>
      <c r="FSJ10" s="1548"/>
      <c r="FSK10" s="1547">
        <f t="shared" ref="FSK10" si="2263">FSI10</f>
        <v>95000</v>
      </c>
      <c r="FSL10" s="1548"/>
      <c r="FSM10" s="1547">
        <f t="shared" ref="FSM10" si="2264">FSK10</f>
        <v>95000</v>
      </c>
      <c r="FSN10" s="1548"/>
      <c r="FSO10" s="1547">
        <f t="shared" ref="FSO10" si="2265">FSM10</f>
        <v>95000</v>
      </c>
      <c r="FSP10" s="1548"/>
      <c r="FSQ10" s="1547">
        <f t="shared" ref="FSQ10" si="2266">FSO10</f>
        <v>95000</v>
      </c>
      <c r="FSR10" s="1548"/>
      <c r="FSS10" s="1547">
        <f t="shared" ref="FSS10" si="2267">FSQ10</f>
        <v>95000</v>
      </c>
      <c r="FST10" s="1548"/>
      <c r="FSU10" s="1547">
        <f t="shared" ref="FSU10" si="2268">FSS10</f>
        <v>95000</v>
      </c>
      <c r="FSV10" s="1548"/>
      <c r="FSW10" s="1547">
        <f t="shared" ref="FSW10" si="2269">FSU10</f>
        <v>95000</v>
      </c>
      <c r="FSX10" s="1548"/>
      <c r="FSY10" s="1547">
        <f t="shared" ref="FSY10" si="2270">FSW10</f>
        <v>95000</v>
      </c>
      <c r="FSZ10" s="1548"/>
      <c r="FTA10" s="1547">
        <f t="shared" ref="FTA10" si="2271">FSY10</f>
        <v>95000</v>
      </c>
      <c r="FTB10" s="1548"/>
      <c r="FTC10" s="1547">
        <f t="shared" ref="FTC10" si="2272">FTA10</f>
        <v>95000</v>
      </c>
      <c r="FTD10" s="1548"/>
      <c r="FTE10" s="1547">
        <f t="shared" ref="FTE10" si="2273">FTC10</f>
        <v>95000</v>
      </c>
      <c r="FTF10" s="1548"/>
      <c r="FTG10" s="1547">
        <f t="shared" ref="FTG10" si="2274">FTE10</f>
        <v>95000</v>
      </c>
      <c r="FTH10" s="1548"/>
      <c r="FTI10" s="1547">
        <f t="shared" ref="FTI10" si="2275">FTG10</f>
        <v>95000</v>
      </c>
      <c r="FTJ10" s="1548"/>
      <c r="FTK10" s="1547">
        <f t="shared" ref="FTK10" si="2276">FTI10</f>
        <v>95000</v>
      </c>
      <c r="FTL10" s="1548"/>
      <c r="FTM10" s="1547">
        <f t="shared" ref="FTM10" si="2277">FTK10</f>
        <v>95000</v>
      </c>
      <c r="FTN10" s="1548"/>
      <c r="FTO10" s="1547">
        <f t="shared" ref="FTO10" si="2278">FTM10</f>
        <v>95000</v>
      </c>
      <c r="FTP10" s="1548"/>
      <c r="FTQ10" s="1547">
        <f t="shared" ref="FTQ10" si="2279">FTO10</f>
        <v>95000</v>
      </c>
      <c r="FTR10" s="1548"/>
      <c r="FTS10" s="1547">
        <f t="shared" ref="FTS10" si="2280">FTQ10</f>
        <v>95000</v>
      </c>
      <c r="FTT10" s="1548"/>
      <c r="FTU10" s="1547">
        <f t="shared" ref="FTU10" si="2281">FTS10</f>
        <v>95000</v>
      </c>
      <c r="FTV10" s="1548"/>
      <c r="FTW10" s="1547">
        <f t="shared" ref="FTW10" si="2282">FTU10</f>
        <v>95000</v>
      </c>
      <c r="FTX10" s="1548"/>
      <c r="FTY10" s="1547">
        <f t="shared" ref="FTY10" si="2283">FTW10</f>
        <v>95000</v>
      </c>
      <c r="FTZ10" s="1548"/>
      <c r="FUA10" s="1547">
        <f t="shared" ref="FUA10" si="2284">FTY10</f>
        <v>95000</v>
      </c>
      <c r="FUB10" s="1548"/>
      <c r="FUC10" s="1547">
        <f t="shared" ref="FUC10" si="2285">FUA10</f>
        <v>95000</v>
      </c>
      <c r="FUD10" s="1548"/>
      <c r="FUE10" s="1547">
        <f t="shared" ref="FUE10" si="2286">FUC10</f>
        <v>95000</v>
      </c>
      <c r="FUF10" s="1548"/>
      <c r="FUG10" s="1547">
        <f t="shared" ref="FUG10" si="2287">FUE10</f>
        <v>95000</v>
      </c>
      <c r="FUH10" s="1548"/>
      <c r="FUI10" s="1547">
        <f t="shared" ref="FUI10" si="2288">FUG10</f>
        <v>95000</v>
      </c>
      <c r="FUJ10" s="1548"/>
      <c r="FUK10" s="1547">
        <f t="shared" ref="FUK10" si="2289">FUI10</f>
        <v>95000</v>
      </c>
      <c r="FUL10" s="1548"/>
      <c r="FUM10" s="1547">
        <f t="shared" ref="FUM10" si="2290">FUK10</f>
        <v>95000</v>
      </c>
      <c r="FUN10" s="1548"/>
      <c r="FUO10" s="1547">
        <f t="shared" ref="FUO10" si="2291">FUM10</f>
        <v>95000</v>
      </c>
      <c r="FUP10" s="1548"/>
      <c r="FUQ10" s="1547">
        <f t="shared" ref="FUQ10" si="2292">FUO10</f>
        <v>95000</v>
      </c>
      <c r="FUR10" s="1548"/>
      <c r="FUS10" s="1547">
        <f t="shared" ref="FUS10" si="2293">FUQ10</f>
        <v>95000</v>
      </c>
      <c r="FUT10" s="1548"/>
      <c r="FUU10" s="1547">
        <f t="shared" ref="FUU10" si="2294">FUS10</f>
        <v>95000</v>
      </c>
      <c r="FUV10" s="1548"/>
      <c r="FUW10" s="1547">
        <f t="shared" ref="FUW10" si="2295">FUU10</f>
        <v>95000</v>
      </c>
      <c r="FUX10" s="1548"/>
      <c r="FUY10" s="1547">
        <f t="shared" ref="FUY10" si="2296">FUW10</f>
        <v>95000</v>
      </c>
      <c r="FUZ10" s="1548"/>
      <c r="FVA10" s="1547">
        <f t="shared" ref="FVA10" si="2297">FUY10</f>
        <v>95000</v>
      </c>
      <c r="FVB10" s="1548"/>
      <c r="FVC10" s="1547">
        <f t="shared" ref="FVC10" si="2298">FVA10</f>
        <v>95000</v>
      </c>
      <c r="FVD10" s="1548"/>
      <c r="FVE10" s="1547">
        <f t="shared" ref="FVE10" si="2299">FVC10</f>
        <v>95000</v>
      </c>
      <c r="FVF10" s="1548"/>
      <c r="FVG10" s="1547">
        <f t="shared" ref="FVG10" si="2300">FVE10</f>
        <v>95000</v>
      </c>
      <c r="FVH10" s="1548"/>
      <c r="FVI10" s="1547">
        <f t="shared" ref="FVI10" si="2301">FVG10</f>
        <v>95000</v>
      </c>
      <c r="FVJ10" s="1548"/>
      <c r="FVK10" s="1547">
        <f t="shared" ref="FVK10" si="2302">FVI10</f>
        <v>95000</v>
      </c>
      <c r="FVL10" s="1548"/>
      <c r="FVM10" s="1547">
        <f t="shared" ref="FVM10" si="2303">FVK10</f>
        <v>95000</v>
      </c>
      <c r="FVN10" s="1548"/>
      <c r="FVO10" s="1547">
        <f t="shared" ref="FVO10" si="2304">FVM10</f>
        <v>95000</v>
      </c>
      <c r="FVP10" s="1548"/>
      <c r="FVQ10" s="1547">
        <f t="shared" ref="FVQ10" si="2305">FVO10</f>
        <v>95000</v>
      </c>
      <c r="FVR10" s="1548"/>
      <c r="FVS10" s="1547">
        <f t="shared" ref="FVS10" si="2306">FVQ10</f>
        <v>95000</v>
      </c>
      <c r="FVT10" s="1548"/>
      <c r="FVU10" s="1547">
        <f t="shared" ref="FVU10" si="2307">FVS10</f>
        <v>95000</v>
      </c>
      <c r="FVV10" s="1548"/>
      <c r="FVW10" s="1547">
        <f t="shared" ref="FVW10" si="2308">FVU10</f>
        <v>95000</v>
      </c>
      <c r="FVX10" s="1548"/>
      <c r="FVY10" s="1547">
        <f t="shared" ref="FVY10" si="2309">FVW10</f>
        <v>95000</v>
      </c>
      <c r="FVZ10" s="1548"/>
      <c r="FWA10" s="1547">
        <f t="shared" ref="FWA10" si="2310">FVY10</f>
        <v>95000</v>
      </c>
      <c r="FWB10" s="1548"/>
      <c r="FWC10" s="1547">
        <f t="shared" ref="FWC10" si="2311">FWA10</f>
        <v>95000</v>
      </c>
      <c r="FWD10" s="1548"/>
      <c r="FWE10" s="1547">
        <f t="shared" ref="FWE10" si="2312">FWC10</f>
        <v>95000</v>
      </c>
      <c r="FWF10" s="1548"/>
      <c r="FWG10" s="1547">
        <f t="shared" ref="FWG10" si="2313">FWE10</f>
        <v>95000</v>
      </c>
      <c r="FWH10" s="1548"/>
      <c r="FWI10" s="1547">
        <f t="shared" ref="FWI10" si="2314">FWG10</f>
        <v>95000</v>
      </c>
      <c r="FWJ10" s="1548"/>
      <c r="FWK10" s="1547">
        <f t="shared" ref="FWK10" si="2315">FWI10</f>
        <v>95000</v>
      </c>
      <c r="FWL10" s="1548"/>
      <c r="FWM10" s="1547">
        <f t="shared" ref="FWM10" si="2316">FWK10</f>
        <v>95000</v>
      </c>
      <c r="FWN10" s="1548"/>
      <c r="FWO10" s="1547">
        <f t="shared" ref="FWO10" si="2317">FWM10</f>
        <v>95000</v>
      </c>
      <c r="FWP10" s="1548"/>
      <c r="FWQ10" s="1547">
        <f t="shared" ref="FWQ10" si="2318">FWO10</f>
        <v>95000</v>
      </c>
      <c r="FWR10" s="1548"/>
      <c r="FWS10" s="1547">
        <f t="shared" ref="FWS10" si="2319">FWQ10</f>
        <v>95000</v>
      </c>
      <c r="FWT10" s="1548"/>
      <c r="FWU10" s="1547">
        <f t="shared" ref="FWU10" si="2320">FWS10</f>
        <v>95000</v>
      </c>
      <c r="FWV10" s="1548"/>
      <c r="FWW10" s="1547">
        <f t="shared" ref="FWW10" si="2321">FWU10</f>
        <v>95000</v>
      </c>
      <c r="FWX10" s="1548"/>
      <c r="FWY10" s="1547">
        <f t="shared" ref="FWY10" si="2322">FWW10</f>
        <v>95000</v>
      </c>
      <c r="FWZ10" s="1548"/>
      <c r="FXA10" s="1547">
        <f t="shared" ref="FXA10" si="2323">FWY10</f>
        <v>95000</v>
      </c>
      <c r="FXB10" s="1548"/>
      <c r="FXC10" s="1547">
        <f t="shared" ref="FXC10" si="2324">FXA10</f>
        <v>95000</v>
      </c>
      <c r="FXD10" s="1548"/>
      <c r="FXE10" s="1547">
        <f t="shared" ref="FXE10" si="2325">FXC10</f>
        <v>95000</v>
      </c>
      <c r="FXF10" s="1548"/>
      <c r="FXG10" s="1547">
        <f t="shared" ref="FXG10" si="2326">FXE10</f>
        <v>95000</v>
      </c>
      <c r="FXH10" s="1548"/>
      <c r="FXI10" s="1547">
        <f t="shared" ref="FXI10" si="2327">FXG10</f>
        <v>95000</v>
      </c>
      <c r="FXJ10" s="1548"/>
      <c r="FXK10" s="1547">
        <f t="shared" ref="FXK10" si="2328">FXI10</f>
        <v>95000</v>
      </c>
      <c r="FXL10" s="1548"/>
      <c r="FXM10" s="1547">
        <f t="shared" ref="FXM10" si="2329">FXK10</f>
        <v>95000</v>
      </c>
      <c r="FXN10" s="1548"/>
      <c r="FXO10" s="1547">
        <f t="shared" ref="FXO10" si="2330">FXM10</f>
        <v>95000</v>
      </c>
      <c r="FXP10" s="1548"/>
      <c r="FXQ10" s="1547">
        <f t="shared" ref="FXQ10" si="2331">FXO10</f>
        <v>95000</v>
      </c>
      <c r="FXR10" s="1548"/>
      <c r="FXS10" s="1547">
        <f t="shared" ref="FXS10" si="2332">FXQ10</f>
        <v>95000</v>
      </c>
      <c r="FXT10" s="1548"/>
      <c r="FXU10" s="1547">
        <f t="shared" ref="FXU10" si="2333">FXS10</f>
        <v>95000</v>
      </c>
      <c r="FXV10" s="1548"/>
      <c r="FXW10" s="1547">
        <f t="shared" ref="FXW10" si="2334">FXU10</f>
        <v>95000</v>
      </c>
      <c r="FXX10" s="1548"/>
      <c r="FXY10" s="1547">
        <f t="shared" ref="FXY10" si="2335">FXW10</f>
        <v>95000</v>
      </c>
      <c r="FXZ10" s="1548"/>
      <c r="FYA10" s="1547">
        <f t="shared" ref="FYA10" si="2336">FXY10</f>
        <v>95000</v>
      </c>
      <c r="FYB10" s="1548"/>
      <c r="FYC10" s="1547">
        <f t="shared" ref="FYC10" si="2337">FYA10</f>
        <v>95000</v>
      </c>
      <c r="FYD10" s="1548"/>
      <c r="FYE10" s="1547">
        <f t="shared" ref="FYE10" si="2338">FYC10</f>
        <v>95000</v>
      </c>
      <c r="FYF10" s="1548"/>
      <c r="FYG10" s="1547">
        <f t="shared" ref="FYG10" si="2339">FYE10</f>
        <v>95000</v>
      </c>
      <c r="FYH10" s="1548"/>
      <c r="FYI10" s="1547">
        <f t="shared" ref="FYI10" si="2340">FYG10</f>
        <v>95000</v>
      </c>
      <c r="FYJ10" s="1548"/>
      <c r="FYK10" s="1547">
        <f t="shared" ref="FYK10" si="2341">FYI10</f>
        <v>95000</v>
      </c>
      <c r="FYL10" s="1548"/>
      <c r="FYM10" s="1547">
        <f t="shared" ref="FYM10" si="2342">FYK10</f>
        <v>95000</v>
      </c>
      <c r="FYN10" s="1548"/>
      <c r="FYO10" s="1547">
        <f t="shared" ref="FYO10" si="2343">FYM10</f>
        <v>95000</v>
      </c>
      <c r="FYP10" s="1548"/>
      <c r="FYQ10" s="1547">
        <f t="shared" ref="FYQ10" si="2344">FYO10</f>
        <v>95000</v>
      </c>
      <c r="FYR10" s="1548"/>
      <c r="FYS10" s="1547">
        <f t="shared" ref="FYS10" si="2345">FYQ10</f>
        <v>95000</v>
      </c>
      <c r="FYT10" s="1548"/>
      <c r="FYU10" s="1547">
        <f t="shared" ref="FYU10" si="2346">FYS10</f>
        <v>95000</v>
      </c>
      <c r="FYV10" s="1548"/>
      <c r="FYW10" s="1547">
        <f t="shared" ref="FYW10" si="2347">FYU10</f>
        <v>95000</v>
      </c>
      <c r="FYX10" s="1548"/>
      <c r="FYY10" s="1547">
        <f t="shared" ref="FYY10" si="2348">FYW10</f>
        <v>95000</v>
      </c>
      <c r="FYZ10" s="1548"/>
      <c r="FZA10" s="1547">
        <f t="shared" ref="FZA10" si="2349">FYY10</f>
        <v>95000</v>
      </c>
      <c r="FZB10" s="1548"/>
      <c r="FZC10" s="1547">
        <f t="shared" ref="FZC10" si="2350">FZA10</f>
        <v>95000</v>
      </c>
      <c r="FZD10" s="1548"/>
      <c r="FZE10" s="1547">
        <f t="shared" ref="FZE10" si="2351">FZC10</f>
        <v>95000</v>
      </c>
      <c r="FZF10" s="1548"/>
      <c r="FZG10" s="1547">
        <f t="shared" ref="FZG10" si="2352">FZE10</f>
        <v>95000</v>
      </c>
      <c r="FZH10" s="1548"/>
      <c r="FZI10" s="1547">
        <f t="shared" ref="FZI10" si="2353">FZG10</f>
        <v>95000</v>
      </c>
      <c r="FZJ10" s="1548"/>
      <c r="FZK10" s="1547">
        <f t="shared" ref="FZK10" si="2354">FZI10</f>
        <v>95000</v>
      </c>
      <c r="FZL10" s="1548"/>
      <c r="FZM10" s="1547">
        <f t="shared" ref="FZM10" si="2355">FZK10</f>
        <v>95000</v>
      </c>
      <c r="FZN10" s="1548"/>
      <c r="FZO10" s="1547">
        <f t="shared" ref="FZO10" si="2356">FZM10</f>
        <v>95000</v>
      </c>
      <c r="FZP10" s="1548"/>
      <c r="FZQ10" s="1547">
        <f t="shared" ref="FZQ10" si="2357">FZO10</f>
        <v>95000</v>
      </c>
      <c r="FZR10" s="1548"/>
      <c r="FZS10" s="1547">
        <f t="shared" ref="FZS10" si="2358">FZQ10</f>
        <v>95000</v>
      </c>
      <c r="FZT10" s="1548"/>
      <c r="FZU10" s="1547">
        <f t="shared" ref="FZU10" si="2359">FZS10</f>
        <v>95000</v>
      </c>
      <c r="FZV10" s="1548"/>
      <c r="FZW10" s="1547">
        <f t="shared" ref="FZW10" si="2360">FZU10</f>
        <v>95000</v>
      </c>
      <c r="FZX10" s="1548"/>
      <c r="FZY10" s="1547">
        <f t="shared" ref="FZY10" si="2361">FZW10</f>
        <v>95000</v>
      </c>
      <c r="FZZ10" s="1548"/>
      <c r="GAA10" s="1547">
        <f t="shared" ref="GAA10" si="2362">FZY10</f>
        <v>95000</v>
      </c>
      <c r="GAB10" s="1548"/>
      <c r="GAC10" s="1547">
        <f t="shared" ref="GAC10" si="2363">GAA10</f>
        <v>95000</v>
      </c>
      <c r="GAD10" s="1548"/>
      <c r="GAE10" s="1547">
        <f t="shared" ref="GAE10" si="2364">GAC10</f>
        <v>95000</v>
      </c>
      <c r="GAF10" s="1548"/>
      <c r="GAG10" s="1547">
        <f t="shared" ref="GAG10" si="2365">GAE10</f>
        <v>95000</v>
      </c>
      <c r="GAH10" s="1548"/>
      <c r="GAI10" s="1547">
        <f t="shared" ref="GAI10" si="2366">GAG10</f>
        <v>95000</v>
      </c>
      <c r="GAJ10" s="1548"/>
      <c r="GAK10" s="1547">
        <f t="shared" ref="GAK10" si="2367">GAI10</f>
        <v>95000</v>
      </c>
      <c r="GAL10" s="1548"/>
      <c r="GAM10" s="1547">
        <f t="shared" ref="GAM10" si="2368">GAK10</f>
        <v>95000</v>
      </c>
      <c r="GAN10" s="1548"/>
      <c r="GAO10" s="1547">
        <f t="shared" ref="GAO10" si="2369">GAM10</f>
        <v>95000</v>
      </c>
      <c r="GAP10" s="1548"/>
      <c r="GAQ10" s="1547">
        <f t="shared" ref="GAQ10" si="2370">GAO10</f>
        <v>95000</v>
      </c>
      <c r="GAR10" s="1548"/>
      <c r="GAS10" s="1547">
        <f t="shared" ref="GAS10" si="2371">GAQ10</f>
        <v>95000</v>
      </c>
      <c r="GAT10" s="1548"/>
      <c r="GAU10" s="1547">
        <f t="shared" ref="GAU10" si="2372">GAS10</f>
        <v>95000</v>
      </c>
      <c r="GAV10" s="1548"/>
      <c r="GAW10" s="1547">
        <f t="shared" ref="GAW10" si="2373">GAU10</f>
        <v>95000</v>
      </c>
      <c r="GAX10" s="1548"/>
      <c r="GAY10" s="1547">
        <f t="shared" ref="GAY10" si="2374">GAW10</f>
        <v>95000</v>
      </c>
      <c r="GAZ10" s="1548"/>
      <c r="GBA10" s="1547">
        <f t="shared" ref="GBA10" si="2375">GAY10</f>
        <v>95000</v>
      </c>
      <c r="GBB10" s="1548"/>
      <c r="GBC10" s="1547">
        <f t="shared" ref="GBC10" si="2376">GBA10</f>
        <v>95000</v>
      </c>
      <c r="GBD10" s="1548"/>
      <c r="GBE10" s="1547">
        <f t="shared" ref="GBE10" si="2377">GBC10</f>
        <v>95000</v>
      </c>
      <c r="GBF10" s="1548"/>
      <c r="GBG10" s="1547">
        <f t="shared" ref="GBG10" si="2378">GBE10</f>
        <v>95000</v>
      </c>
      <c r="GBH10" s="1548"/>
      <c r="GBI10" s="1547">
        <f t="shared" ref="GBI10" si="2379">GBG10</f>
        <v>95000</v>
      </c>
      <c r="GBJ10" s="1548"/>
      <c r="GBK10" s="1547">
        <f t="shared" ref="GBK10" si="2380">GBI10</f>
        <v>95000</v>
      </c>
      <c r="GBL10" s="1548"/>
      <c r="GBM10" s="1547">
        <f t="shared" ref="GBM10" si="2381">GBK10</f>
        <v>95000</v>
      </c>
      <c r="GBN10" s="1548"/>
      <c r="GBO10" s="1547">
        <f t="shared" ref="GBO10" si="2382">GBM10</f>
        <v>95000</v>
      </c>
      <c r="GBP10" s="1548"/>
      <c r="GBQ10" s="1547">
        <f t="shared" ref="GBQ10" si="2383">GBO10</f>
        <v>95000</v>
      </c>
      <c r="GBR10" s="1548"/>
      <c r="GBS10" s="1547">
        <f t="shared" ref="GBS10" si="2384">GBQ10</f>
        <v>95000</v>
      </c>
      <c r="GBT10" s="1548"/>
      <c r="GBU10" s="1547">
        <f t="shared" ref="GBU10" si="2385">GBS10</f>
        <v>95000</v>
      </c>
      <c r="GBV10" s="1548"/>
      <c r="GBW10" s="1547">
        <f t="shared" ref="GBW10" si="2386">GBU10</f>
        <v>95000</v>
      </c>
      <c r="GBX10" s="1548"/>
      <c r="GBY10" s="1547">
        <f t="shared" ref="GBY10" si="2387">GBW10</f>
        <v>95000</v>
      </c>
      <c r="GBZ10" s="1548"/>
      <c r="GCA10" s="1547">
        <f t="shared" ref="GCA10" si="2388">GBY10</f>
        <v>95000</v>
      </c>
      <c r="GCB10" s="1548"/>
      <c r="GCC10" s="1547">
        <f t="shared" ref="GCC10" si="2389">GCA10</f>
        <v>95000</v>
      </c>
      <c r="GCD10" s="1548"/>
      <c r="GCE10" s="1547">
        <f t="shared" ref="GCE10" si="2390">GCC10</f>
        <v>95000</v>
      </c>
      <c r="GCF10" s="1548"/>
      <c r="GCG10" s="1547">
        <f t="shared" ref="GCG10" si="2391">GCE10</f>
        <v>95000</v>
      </c>
      <c r="GCH10" s="1548"/>
      <c r="GCI10" s="1547">
        <f t="shared" ref="GCI10" si="2392">GCG10</f>
        <v>95000</v>
      </c>
      <c r="GCJ10" s="1548"/>
      <c r="GCK10" s="1547">
        <f t="shared" ref="GCK10" si="2393">GCI10</f>
        <v>95000</v>
      </c>
      <c r="GCL10" s="1548"/>
      <c r="GCM10" s="1547">
        <f t="shared" ref="GCM10" si="2394">GCK10</f>
        <v>95000</v>
      </c>
      <c r="GCN10" s="1548"/>
      <c r="GCO10" s="1547">
        <f t="shared" ref="GCO10" si="2395">GCM10</f>
        <v>95000</v>
      </c>
      <c r="GCP10" s="1548"/>
      <c r="GCQ10" s="1547">
        <f t="shared" ref="GCQ10" si="2396">GCO10</f>
        <v>95000</v>
      </c>
      <c r="GCR10" s="1548"/>
      <c r="GCS10" s="1547">
        <f t="shared" ref="GCS10" si="2397">GCQ10</f>
        <v>95000</v>
      </c>
      <c r="GCT10" s="1548"/>
      <c r="GCU10" s="1547">
        <f t="shared" ref="GCU10" si="2398">GCS10</f>
        <v>95000</v>
      </c>
      <c r="GCV10" s="1548"/>
      <c r="GCW10" s="1547">
        <f t="shared" ref="GCW10" si="2399">GCU10</f>
        <v>95000</v>
      </c>
      <c r="GCX10" s="1548"/>
      <c r="GCY10" s="1547">
        <f t="shared" ref="GCY10" si="2400">GCW10</f>
        <v>95000</v>
      </c>
      <c r="GCZ10" s="1548"/>
      <c r="GDA10" s="1547">
        <f t="shared" ref="GDA10" si="2401">GCY10</f>
        <v>95000</v>
      </c>
      <c r="GDB10" s="1548"/>
      <c r="GDC10" s="1547">
        <f t="shared" ref="GDC10" si="2402">GDA10</f>
        <v>95000</v>
      </c>
      <c r="GDD10" s="1548"/>
      <c r="GDE10" s="1547">
        <f t="shared" ref="GDE10" si="2403">GDC10</f>
        <v>95000</v>
      </c>
      <c r="GDF10" s="1548"/>
      <c r="GDG10" s="1547">
        <f t="shared" ref="GDG10" si="2404">GDE10</f>
        <v>95000</v>
      </c>
      <c r="GDH10" s="1548"/>
      <c r="GDI10" s="1547">
        <f t="shared" ref="GDI10" si="2405">GDG10</f>
        <v>95000</v>
      </c>
      <c r="GDJ10" s="1548"/>
      <c r="GDK10" s="1547">
        <f t="shared" ref="GDK10" si="2406">GDI10</f>
        <v>95000</v>
      </c>
      <c r="GDL10" s="1548"/>
      <c r="GDM10" s="1547">
        <f t="shared" ref="GDM10" si="2407">GDK10</f>
        <v>95000</v>
      </c>
      <c r="GDN10" s="1548"/>
      <c r="GDO10" s="1547">
        <f t="shared" ref="GDO10" si="2408">GDM10</f>
        <v>95000</v>
      </c>
      <c r="GDP10" s="1548"/>
      <c r="GDQ10" s="1547">
        <f t="shared" ref="GDQ10" si="2409">GDO10</f>
        <v>95000</v>
      </c>
      <c r="GDR10" s="1548"/>
      <c r="GDS10" s="1547">
        <f t="shared" ref="GDS10" si="2410">GDQ10</f>
        <v>95000</v>
      </c>
      <c r="GDT10" s="1548"/>
      <c r="GDU10" s="1547">
        <f t="shared" ref="GDU10" si="2411">GDS10</f>
        <v>95000</v>
      </c>
      <c r="GDV10" s="1548"/>
      <c r="GDW10" s="1547">
        <f t="shared" ref="GDW10" si="2412">GDU10</f>
        <v>95000</v>
      </c>
      <c r="GDX10" s="1548"/>
      <c r="GDY10" s="1547">
        <f t="shared" ref="GDY10" si="2413">GDW10</f>
        <v>95000</v>
      </c>
      <c r="GDZ10" s="1548"/>
      <c r="GEA10" s="1547">
        <f t="shared" ref="GEA10" si="2414">GDY10</f>
        <v>95000</v>
      </c>
      <c r="GEB10" s="1548"/>
      <c r="GEC10" s="1547">
        <f t="shared" ref="GEC10" si="2415">GEA10</f>
        <v>95000</v>
      </c>
      <c r="GED10" s="1548"/>
      <c r="GEE10" s="1547">
        <f t="shared" ref="GEE10" si="2416">GEC10</f>
        <v>95000</v>
      </c>
      <c r="GEF10" s="1548"/>
      <c r="GEG10" s="1547">
        <f t="shared" ref="GEG10" si="2417">GEE10</f>
        <v>95000</v>
      </c>
      <c r="GEH10" s="1548"/>
      <c r="GEI10" s="1547">
        <f t="shared" ref="GEI10" si="2418">GEG10</f>
        <v>95000</v>
      </c>
      <c r="GEJ10" s="1548"/>
      <c r="GEK10" s="1547">
        <f t="shared" ref="GEK10" si="2419">GEI10</f>
        <v>95000</v>
      </c>
      <c r="GEL10" s="1548"/>
      <c r="GEM10" s="1547">
        <f t="shared" ref="GEM10" si="2420">GEK10</f>
        <v>95000</v>
      </c>
      <c r="GEN10" s="1548"/>
      <c r="GEO10" s="1547">
        <f t="shared" ref="GEO10" si="2421">GEM10</f>
        <v>95000</v>
      </c>
      <c r="GEP10" s="1548"/>
      <c r="GEQ10" s="1547">
        <f t="shared" ref="GEQ10" si="2422">GEO10</f>
        <v>95000</v>
      </c>
      <c r="GER10" s="1548"/>
      <c r="GES10" s="1547">
        <f t="shared" ref="GES10" si="2423">GEQ10</f>
        <v>95000</v>
      </c>
      <c r="GET10" s="1548"/>
      <c r="GEU10" s="1547">
        <f t="shared" ref="GEU10" si="2424">GES10</f>
        <v>95000</v>
      </c>
      <c r="GEV10" s="1548"/>
      <c r="GEW10" s="1547">
        <f t="shared" ref="GEW10" si="2425">GEU10</f>
        <v>95000</v>
      </c>
      <c r="GEX10" s="1548"/>
      <c r="GEY10" s="1547">
        <f t="shared" ref="GEY10" si="2426">GEW10</f>
        <v>95000</v>
      </c>
      <c r="GEZ10" s="1548"/>
      <c r="GFA10" s="1547">
        <f t="shared" ref="GFA10" si="2427">GEY10</f>
        <v>95000</v>
      </c>
      <c r="GFB10" s="1548"/>
      <c r="GFC10" s="1547">
        <f t="shared" ref="GFC10" si="2428">GFA10</f>
        <v>95000</v>
      </c>
      <c r="GFD10" s="1548"/>
      <c r="GFE10" s="1547">
        <f t="shared" ref="GFE10" si="2429">GFC10</f>
        <v>95000</v>
      </c>
      <c r="GFF10" s="1548"/>
      <c r="GFG10" s="1547">
        <f t="shared" ref="GFG10" si="2430">GFE10</f>
        <v>95000</v>
      </c>
      <c r="GFH10" s="1548"/>
      <c r="GFI10" s="1547">
        <f t="shared" ref="GFI10" si="2431">GFG10</f>
        <v>95000</v>
      </c>
      <c r="GFJ10" s="1548"/>
      <c r="GFK10" s="1547">
        <f t="shared" ref="GFK10" si="2432">GFI10</f>
        <v>95000</v>
      </c>
      <c r="GFL10" s="1548"/>
      <c r="GFM10" s="1547">
        <f t="shared" ref="GFM10" si="2433">GFK10</f>
        <v>95000</v>
      </c>
      <c r="GFN10" s="1548"/>
      <c r="GFO10" s="1547">
        <f t="shared" ref="GFO10" si="2434">GFM10</f>
        <v>95000</v>
      </c>
      <c r="GFP10" s="1548"/>
      <c r="GFQ10" s="1547">
        <f t="shared" ref="GFQ10" si="2435">GFO10</f>
        <v>95000</v>
      </c>
      <c r="GFR10" s="1548"/>
      <c r="GFS10" s="1547">
        <f t="shared" ref="GFS10" si="2436">GFQ10</f>
        <v>95000</v>
      </c>
      <c r="GFT10" s="1548"/>
      <c r="GFU10" s="1547">
        <f t="shared" ref="GFU10" si="2437">GFS10</f>
        <v>95000</v>
      </c>
      <c r="GFV10" s="1548"/>
      <c r="GFW10" s="1547">
        <f t="shared" ref="GFW10" si="2438">GFU10</f>
        <v>95000</v>
      </c>
      <c r="GFX10" s="1548"/>
      <c r="GFY10" s="1547">
        <f t="shared" ref="GFY10" si="2439">GFW10</f>
        <v>95000</v>
      </c>
      <c r="GFZ10" s="1548"/>
      <c r="GGA10" s="1547">
        <f t="shared" ref="GGA10" si="2440">GFY10</f>
        <v>95000</v>
      </c>
      <c r="GGB10" s="1548"/>
      <c r="GGC10" s="1547">
        <f t="shared" ref="GGC10" si="2441">GGA10</f>
        <v>95000</v>
      </c>
      <c r="GGD10" s="1548"/>
      <c r="GGE10" s="1547">
        <f t="shared" ref="GGE10" si="2442">GGC10</f>
        <v>95000</v>
      </c>
      <c r="GGF10" s="1548"/>
      <c r="GGG10" s="1547">
        <f t="shared" ref="GGG10" si="2443">GGE10</f>
        <v>95000</v>
      </c>
      <c r="GGH10" s="1548"/>
      <c r="GGI10" s="1547">
        <f t="shared" ref="GGI10" si="2444">GGG10</f>
        <v>95000</v>
      </c>
      <c r="GGJ10" s="1548"/>
      <c r="GGK10" s="1547">
        <f t="shared" ref="GGK10" si="2445">GGI10</f>
        <v>95000</v>
      </c>
      <c r="GGL10" s="1548"/>
      <c r="GGM10" s="1547">
        <f t="shared" ref="GGM10" si="2446">GGK10</f>
        <v>95000</v>
      </c>
      <c r="GGN10" s="1548"/>
      <c r="GGO10" s="1547">
        <f t="shared" ref="GGO10" si="2447">GGM10</f>
        <v>95000</v>
      </c>
      <c r="GGP10" s="1548"/>
      <c r="GGQ10" s="1547">
        <f t="shared" ref="GGQ10" si="2448">GGO10</f>
        <v>95000</v>
      </c>
      <c r="GGR10" s="1548"/>
      <c r="GGS10" s="1547">
        <f t="shared" ref="GGS10" si="2449">GGQ10</f>
        <v>95000</v>
      </c>
      <c r="GGT10" s="1548"/>
      <c r="GGU10" s="1547">
        <f t="shared" ref="GGU10" si="2450">GGS10</f>
        <v>95000</v>
      </c>
      <c r="GGV10" s="1548"/>
      <c r="GGW10" s="1547">
        <f t="shared" ref="GGW10" si="2451">GGU10</f>
        <v>95000</v>
      </c>
      <c r="GGX10" s="1548"/>
      <c r="GGY10" s="1547">
        <f t="shared" ref="GGY10" si="2452">GGW10</f>
        <v>95000</v>
      </c>
      <c r="GGZ10" s="1548"/>
      <c r="GHA10" s="1547">
        <f t="shared" ref="GHA10" si="2453">GGY10</f>
        <v>95000</v>
      </c>
      <c r="GHB10" s="1548"/>
      <c r="GHC10" s="1547">
        <f t="shared" ref="GHC10" si="2454">GHA10</f>
        <v>95000</v>
      </c>
      <c r="GHD10" s="1548"/>
      <c r="GHE10" s="1547">
        <f t="shared" ref="GHE10" si="2455">GHC10</f>
        <v>95000</v>
      </c>
      <c r="GHF10" s="1548"/>
      <c r="GHG10" s="1547">
        <f t="shared" ref="GHG10" si="2456">GHE10</f>
        <v>95000</v>
      </c>
      <c r="GHH10" s="1548"/>
      <c r="GHI10" s="1547">
        <f t="shared" ref="GHI10" si="2457">GHG10</f>
        <v>95000</v>
      </c>
      <c r="GHJ10" s="1548"/>
      <c r="GHK10" s="1547">
        <f t="shared" ref="GHK10" si="2458">GHI10</f>
        <v>95000</v>
      </c>
      <c r="GHL10" s="1548"/>
      <c r="GHM10" s="1547">
        <f t="shared" ref="GHM10" si="2459">GHK10</f>
        <v>95000</v>
      </c>
      <c r="GHN10" s="1548"/>
      <c r="GHO10" s="1547">
        <f t="shared" ref="GHO10" si="2460">GHM10</f>
        <v>95000</v>
      </c>
      <c r="GHP10" s="1548"/>
      <c r="GHQ10" s="1547">
        <f t="shared" ref="GHQ10" si="2461">GHO10</f>
        <v>95000</v>
      </c>
      <c r="GHR10" s="1548"/>
      <c r="GHS10" s="1547">
        <f t="shared" ref="GHS10" si="2462">GHQ10</f>
        <v>95000</v>
      </c>
      <c r="GHT10" s="1548"/>
      <c r="GHU10" s="1547">
        <f t="shared" ref="GHU10" si="2463">GHS10</f>
        <v>95000</v>
      </c>
      <c r="GHV10" s="1548"/>
      <c r="GHW10" s="1547">
        <f t="shared" ref="GHW10" si="2464">GHU10</f>
        <v>95000</v>
      </c>
      <c r="GHX10" s="1548"/>
      <c r="GHY10" s="1547">
        <f t="shared" ref="GHY10" si="2465">GHW10</f>
        <v>95000</v>
      </c>
      <c r="GHZ10" s="1548"/>
      <c r="GIA10" s="1547">
        <f t="shared" ref="GIA10" si="2466">GHY10</f>
        <v>95000</v>
      </c>
      <c r="GIB10" s="1548"/>
      <c r="GIC10" s="1547">
        <f t="shared" ref="GIC10" si="2467">GIA10</f>
        <v>95000</v>
      </c>
      <c r="GID10" s="1548"/>
      <c r="GIE10" s="1547">
        <f t="shared" ref="GIE10" si="2468">GIC10</f>
        <v>95000</v>
      </c>
      <c r="GIF10" s="1548"/>
      <c r="GIG10" s="1547">
        <f t="shared" ref="GIG10" si="2469">GIE10</f>
        <v>95000</v>
      </c>
      <c r="GIH10" s="1548"/>
      <c r="GII10" s="1547">
        <f t="shared" ref="GII10" si="2470">GIG10</f>
        <v>95000</v>
      </c>
      <c r="GIJ10" s="1548"/>
      <c r="GIK10" s="1547">
        <f t="shared" ref="GIK10" si="2471">GII10</f>
        <v>95000</v>
      </c>
      <c r="GIL10" s="1548"/>
      <c r="GIM10" s="1547">
        <f t="shared" ref="GIM10" si="2472">GIK10</f>
        <v>95000</v>
      </c>
      <c r="GIN10" s="1548"/>
      <c r="GIO10" s="1547">
        <f t="shared" ref="GIO10" si="2473">GIM10</f>
        <v>95000</v>
      </c>
      <c r="GIP10" s="1548"/>
      <c r="GIQ10" s="1547">
        <f t="shared" ref="GIQ10" si="2474">GIO10</f>
        <v>95000</v>
      </c>
      <c r="GIR10" s="1548"/>
      <c r="GIS10" s="1547">
        <f t="shared" ref="GIS10" si="2475">GIQ10</f>
        <v>95000</v>
      </c>
      <c r="GIT10" s="1548"/>
      <c r="GIU10" s="1547">
        <f t="shared" ref="GIU10" si="2476">GIS10</f>
        <v>95000</v>
      </c>
      <c r="GIV10" s="1548"/>
      <c r="GIW10" s="1547">
        <f t="shared" ref="GIW10" si="2477">GIU10</f>
        <v>95000</v>
      </c>
      <c r="GIX10" s="1548"/>
      <c r="GIY10" s="1547">
        <f t="shared" ref="GIY10" si="2478">GIW10</f>
        <v>95000</v>
      </c>
      <c r="GIZ10" s="1548"/>
      <c r="GJA10" s="1547">
        <f t="shared" ref="GJA10" si="2479">GIY10</f>
        <v>95000</v>
      </c>
      <c r="GJB10" s="1548"/>
      <c r="GJC10" s="1547">
        <f t="shared" ref="GJC10" si="2480">GJA10</f>
        <v>95000</v>
      </c>
      <c r="GJD10" s="1548"/>
      <c r="GJE10" s="1547">
        <f t="shared" ref="GJE10" si="2481">GJC10</f>
        <v>95000</v>
      </c>
      <c r="GJF10" s="1548"/>
      <c r="GJG10" s="1547">
        <f t="shared" ref="GJG10" si="2482">GJE10</f>
        <v>95000</v>
      </c>
      <c r="GJH10" s="1548"/>
      <c r="GJI10" s="1547">
        <f t="shared" ref="GJI10" si="2483">GJG10</f>
        <v>95000</v>
      </c>
      <c r="GJJ10" s="1548"/>
      <c r="GJK10" s="1547">
        <f t="shared" ref="GJK10" si="2484">GJI10</f>
        <v>95000</v>
      </c>
      <c r="GJL10" s="1548"/>
      <c r="GJM10" s="1547">
        <f t="shared" ref="GJM10" si="2485">GJK10</f>
        <v>95000</v>
      </c>
      <c r="GJN10" s="1548"/>
      <c r="GJO10" s="1547">
        <f t="shared" ref="GJO10" si="2486">GJM10</f>
        <v>95000</v>
      </c>
      <c r="GJP10" s="1548"/>
      <c r="GJQ10" s="1547">
        <f t="shared" ref="GJQ10" si="2487">GJO10</f>
        <v>95000</v>
      </c>
      <c r="GJR10" s="1548"/>
      <c r="GJS10" s="1547">
        <f t="shared" ref="GJS10" si="2488">GJQ10</f>
        <v>95000</v>
      </c>
      <c r="GJT10" s="1548"/>
      <c r="GJU10" s="1547">
        <f t="shared" ref="GJU10" si="2489">GJS10</f>
        <v>95000</v>
      </c>
      <c r="GJV10" s="1548"/>
      <c r="GJW10" s="1547">
        <f t="shared" ref="GJW10" si="2490">GJU10</f>
        <v>95000</v>
      </c>
      <c r="GJX10" s="1548"/>
      <c r="GJY10" s="1547">
        <f t="shared" ref="GJY10" si="2491">GJW10</f>
        <v>95000</v>
      </c>
      <c r="GJZ10" s="1548"/>
      <c r="GKA10" s="1547">
        <f t="shared" ref="GKA10" si="2492">GJY10</f>
        <v>95000</v>
      </c>
      <c r="GKB10" s="1548"/>
      <c r="GKC10" s="1547">
        <f t="shared" ref="GKC10" si="2493">GKA10</f>
        <v>95000</v>
      </c>
      <c r="GKD10" s="1548"/>
      <c r="GKE10" s="1547">
        <f t="shared" ref="GKE10" si="2494">GKC10</f>
        <v>95000</v>
      </c>
      <c r="GKF10" s="1548"/>
      <c r="GKG10" s="1547">
        <f t="shared" ref="GKG10" si="2495">GKE10</f>
        <v>95000</v>
      </c>
      <c r="GKH10" s="1548"/>
      <c r="GKI10" s="1547">
        <f t="shared" ref="GKI10" si="2496">GKG10</f>
        <v>95000</v>
      </c>
      <c r="GKJ10" s="1548"/>
      <c r="GKK10" s="1547">
        <f t="shared" ref="GKK10" si="2497">GKI10</f>
        <v>95000</v>
      </c>
      <c r="GKL10" s="1548"/>
      <c r="GKM10" s="1547">
        <f t="shared" ref="GKM10" si="2498">GKK10</f>
        <v>95000</v>
      </c>
      <c r="GKN10" s="1548"/>
      <c r="GKO10" s="1547">
        <f t="shared" ref="GKO10" si="2499">GKM10</f>
        <v>95000</v>
      </c>
      <c r="GKP10" s="1548"/>
      <c r="GKQ10" s="1547">
        <f t="shared" ref="GKQ10" si="2500">GKO10</f>
        <v>95000</v>
      </c>
      <c r="GKR10" s="1548"/>
      <c r="GKS10" s="1547">
        <f t="shared" ref="GKS10" si="2501">GKQ10</f>
        <v>95000</v>
      </c>
      <c r="GKT10" s="1548"/>
      <c r="GKU10" s="1547">
        <f t="shared" ref="GKU10" si="2502">GKS10</f>
        <v>95000</v>
      </c>
      <c r="GKV10" s="1548"/>
      <c r="GKW10" s="1547">
        <f t="shared" ref="GKW10" si="2503">GKU10</f>
        <v>95000</v>
      </c>
      <c r="GKX10" s="1548"/>
      <c r="GKY10" s="1547">
        <f t="shared" ref="GKY10" si="2504">GKW10</f>
        <v>95000</v>
      </c>
      <c r="GKZ10" s="1548"/>
      <c r="GLA10" s="1547">
        <f t="shared" ref="GLA10" si="2505">GKY10</f>
        <v>95000</v>
      </c>
      <c r="GLB10" s="1548"/>
      <c r="GLC10" s="1547">
        <f t="shared" ref="GLC10" si="2506">GLA10</f>
        <v>95000</v>
      </c>
      <c r="GLD10" s="1548"/>
      <c r="GLE10" s="1547">
        <f t="shared" ref="GLE10" si="2507">GLC10</f>
        <v>95000</v>
      </c>
      <c r="GLF10" s="1548"/>
      <c r="GLG10" s="1547">
        <f t="shared" ref="GLG10" si="2508">GLE10</f>
        <v>95000</v>
      </c>
      <c r="GLH10" s="1548"/>
      <c r="GLI10" s="1547">
        <f t="shared" ref="GLI10" si="2509">GLG10</f>
        <v>95000</v>
      </c>
      <c r="GLJ10" s="1548"/>
      <c r="GLK10" s="1547">
        <f t="shared" ref="GLK10" si="2510">GLI10</f>
        <v>95000</v>
      </c>
      <c r="GLL10" s="1548"/>
      <c r="GLM10" s="1547">
        <f t="shared" ref="GLM10" si="2511">GLK10</f>
        <v>95000</v>
      </c>
      <c r="GLN10" s="1548"/>
      <c r="GLO10" s="1547">
        <f t="shared" ref="GLO10" si="2512">GLM10</f>
        <v>95000</v>
      </c>
      <c r="GLP10" s="1548"/>
      <c r="GLQ10" s="1547">
        <f t="shared" ref="GLQ10" si="2513">GLO10</f>
        <v>95000</v>
      </c>
      <c r="GLR10" s="1548"/>
      <c r="GLS10" s="1547">
        <f t="shared" ref="GLS10" si="2514">GLQ10</f>
        <v>95000</v>
      </c>
      <c r="GLT10" s="1548"/>
      <c r="GLU10" s="1547">
        <f t="shared" ref="GLU10" si="2515">GLS10</f>
        <v>95000</v>
      </c>
      <c r="GLV10" s="1548"/>
      <c r="GLW10" s="1547">
        <f t="shared" ref="GLW10" si="2516">GLU10</f>
        <v>95000</v>
      </c>
      <c r="GLX10" s="1548"/>
      <c r="GLY10" s="1547">
        <f t="shared" ref="GLY10" si="2517">GLW10</f>
        <v>95000</v>
      </c>
      <c r="GLZ10" s="1548"/>
      <c r="GMA10" s="1547">
        <f t="shared" ref="GMA10" si="2518">GLY10</f>
        <v>95000</v>
      </c>
      <c r="GMB10" s="1548"/>
      <c r="GMC10" s="1547">
        <f t="shared" ref="GMC10" si="2519">GMA10</f>
        <v>95000</v>
      </c>
      <c r="GMD10" s="1548"/>
      <c r="GME10" s="1547">
        <f t="shared" ref="GME10" si="2520">GMC10</f>
        <v>95000</v>
      </c>
      <c r="GMF10" s="1548"/>
      <c r="GMG10" s="1547">
        <f t="shared" ref="GMG10" si="2521">GME10</f>
        <v>95000</v>
      </c>
      <c r="GMH10" s="1548"/>
      <c r="GMI10" s="1547">
        <f t="shared" ref="GMI10" si="2522">GMG10</f>
        <v>95000</v>
      </c>
      <c r="GMJ10" s="1548"/>
      <c r="GMK10" s="1547">
        <f t="shared" ref="GMK10" si="2523">GMI10</f>
        <v>95000</v>
      </c>
      <c r="GML10" s="1548"/>
      <c r="GMM10" s="1547">
        <f t="shared" ref="GMM10" si="2524">GMK10</f>
        <v>95000</v>
      </c>
      <c r="GMN10" s="1548"/>
      <c r="GMO10" s="1547">
        <f t="shared" ref="GMO10" si="2525">GMM10</f>
        <v>95000</v>
      </c>
      <c r="GMP10" s="1548"/>
      <c r="GMQ10" s="1547">
        <f t="shared" ref="GMQ10" si="2526">GMO10</f>
        <v>95000</v>
      </c>
      <c r="GMR10" s="1548"/>
      <c r="GMS10" s="1547">
        <f t="shared" ref="GMS10" si="2527">GMQ10</f>
        <v>95000</v>
      </c>
      <c r="GMT10" s="1548"/>
      <c r="GMU10" s="1547">
        <f t="shared" ref="GMU10" si="2528">GMS10</f>
        <v>95000</v>
      </c>
      <c r="GMV10" s="1548"/>
      <c r="GMW10" s="1547">
        <f t="shared" ref="GMW10" si="2529">GMU10</f>
        <v>95000</v>
      </c>
      <c r="GMX10" s="1548"/>
      <c r="GMY10" s="1547">
        <f t="shared" ref="GMY10" si="2530">GMW10</f>
        <v>95000</v>
      </c>
      <c r="GMZ10" s="1548"/>
      <c r="GNA10" s="1547">
        <f t="shared" ref="GNA10" si="2531">GMY10</f>
        <v>95000</v>
      </c>
      <c r="GNB10" s="1548"/>
      <c r="GNC10" s="1547">
        <f t="shared" ref="GNC10" si="2532">GNA10</f>
        <v>95000</v>
      </c>
      <c r="GND10" s="1548"/>
      <c r="GNE10" s="1547">
        <f t="shared" ref="GNE10" si="2533">GNC10</f>
        <v>95000</v>
      </c>
      <c r="GNF10" s="1548"/>
      <c r="GNG10" s="1547">
        <f t="shared" ref="GNG10" si="2534">GNE10</f>
        <v>95000</v>
      </c>
      <c r="GNH10" s="1548"/>
      <c r="GNI10" s="1547">
        <f t="shared" ref="GNI10" si="2535">GNG10</f>
        <v>95000</v>
      </c>
      <c r="GNJ10" s="1548"/>
      <c r="GNK10" s="1547">
        <f t="shared" ref="GNK10" si="2536">GNI10</f>
        <v>95000</v>
      </c>
      <c r="GNL10" s="1548"/>
      <c r="GNM10" s="1547">
        <f t="shared" ref="GNM10" si="2537">GNK10</f>
        <v>95000</v>
      </c>
      <c r="GNN10" s="1548"/>
      <c r="GNO10" s="1547">
        <f t="shared" ref="GNO10" si="2538">GNM10</f>
        <v>95000</v>
      </c>
      <c r="GNP10" s="1548"/>
      <c r="GNQ10" s="1547">
        <f t="shared" ref="GNQ10" si="2539">GNO10</f>
        <v>95000</v>
      </c>
      <c r="GNR10" s="1548"/>
      <c r="GNS10" s="1547">
        <f t="shared" ref="GNS10" si="2540">GNQ10</f>
        <v>95000</v>
      </c>
      <c r="GNT10" s="1548"/>
      <c r="GNU10" s="1547">
        <f t="shared" ref="GNU10" si="2541">GNS10</f>
        <v>95000</v>
      </c>
      <c r="GNV10" s="1548"/>
      <c r="GNW10" s="1547">
        <f t="shared" ref="GNW10" si="2542">GNU10</f>
        <v>95000</v>
      </c>
      <c r="GNX10" s="1548"/>
      <c r="GNY10" s="1547">
        <f t="shared" ref="GNY10" si="2543">GNW10</f>
        <v>95000</v>
      </c>
      <c r="GNZ10" s="1548"/>
      <c r="GOA10" s="1547">
        <f t="shared" ref="GOA10" si="2544">GNY10</f>
        <v>95000</v>
      </c>
      <c r="GOB10" s="1548"/>
      <c r="GOC10" s="1547">
        <f t="shared" ref="GOC10" si="2545">GOA10</f>
        <v>95000</v>
      </c>
      <c r="GOD10" s="1548"/>
      <c r="GOE10" s="1547">
        <f t="shared" ref="GOE10" si="2546">GOC10</f>
        <v>95000</v>
      </c>
      <c r="GOF10" s="1548"/>
      <c r="GOG10" s="1547">
        <f t="shared" ref="GOG10" si="2547">GOE10</f>
        <v>95000</v>
      </c>
      <c r="GOH10" s="1548"/>
      <c r="GOI10" s="1547">
        <f t="shared" ref="GOI10" si="2548">GOG10</f>
        <v>95000</v>
      </c>
      <c r="GOJ10" s="1548"/>
      <c r="GOK10" s="1547">
        <f t="shared" ref="GOK10" si="2549">GOI10</f>
        <v>95000</v>
      </c>
      <c r="GOL10" s="1548"/>
      <c r="GOM10" s="1547">
        <f t="shared" ref="GOM10" si="2550">GOK10</f>
        <v>95000</v>
      </c>
      <c r="GON10" s="1548"/>
      <c r="GOO10" s="1547">
        <f t="shared" ref="GOO10" si="2551">GOM10</f>
        <v>95000</v>
      </c>
      <c r="GOP10" s="1548"/>
      <c r="GOQ10" s="1547">
        <f t="shared" ref="GOQ10" si="2552">GOO10</f>
        <v>95000</v>
      </c>
      <c r="GOR10" s="1548"/>
      <c r="GOS10" s="1547">
        <f t="shared" ref="GOS10" si="2553">GOQ10</f>
        <v>95000</v>
      </c>
      <c r="GOT10" s="1548"/>
      <c r="GOU10" s="1547">
        <f t="shared" ref="GOU10" si="2554">GOS10</f>
        <v>95000</v>
      </c>
      <c r="GOV10" s="1548"/>
      <c r="GOW10" s="1547">
        <f t="shared" ref="GOW10" si="2555">GOU10</f>
        <v>95000</v>
      </c>
      <c r="GOX10" s="1548"/>
      <c r="GOY10" s="1547">
        <f t="shared" ref="GOY10" si="2556">GOW10</f>
        <v>95000</v>
      </c>
      <c r="GOZ10" s="1548"/>
      <c r="GPA10" s="1547">
        <f t="shared" ref="GPA10" si="2557">GOY10</f>
        <v>95000</v>
      </c>
      <c r="GPB10" s="1548"/>
      <c r="GPC10" s="1547">
        <f t="shared" ref="GPC10" si="2558">GPA10</f>
        <v>95000</v>
      </c>
      <c r="GPD10" s="1548"/>
      <c r="GPE10" s="1547">
        <f t="shared" ref="GPE10" si="2559">GPC10</f>
        <v>95000</v>
      </c>
      <c r="GPF10" s="1548"/>
      <c r="GPG10" s="1547">
        <f t="shared" ref="GPG10" si="2560">GPE10</f>
        <v>95000</v>
      </c>
      <c r="GPH10" s="1548"/>
      <c r="GPI10" s="1547">
        <f t="shared" ref="GPI10" si="2561">GPG10</f>
        <v>95000</v>
      </c>
      <c r="GPJ10" s="1548"/>
      <c r="GPK10" s="1547">
        <f t="shared" ref="GPK10" si="2562">GPI10</f>
        <v>95000</v>
      </c>
      <c r="GPL10" s="1548"/>
      <c r="GPM10" s="1547">
        <f t="shared" ref="GPM10" si="2563">GPK10</f>
        <v>95000</v>
      </c>
      <c r="GPN10" s="1548"/>
      <c r="GPO10" s="1547">
        <f t="shared" ref="GPO10" si="2564">GPM10</f>
        <v>95000</v>
      </c>
      <c r="GPP10" s="1548"/>
      <c r="GPQ10" s="1547">
        <f t="shared" ref="GPQ10" si="2565">GPO10</f>
        <v>95000</v>
      </c>
      <c r="GPR10" s="1548"/>
      <c r="GPS10" s="1547">
        <f t="shared" ref="GPS10" si="2566">GPQ10</f>
        <v>95000</v>
      </c>
      <c r="GPT10" s="1548"/>
      <c r="GPU10" s="1547">
        <f t="shared" ref="GPU10" si="2567">GPS10</f>
        <v>95000</v>
      </c>
      <c r="GPV10" s="1548"/>
      <c r="GPW10" s="1547">
        <f t="shared" ref="GPW10" si="2568">GPU10</f>
        <v>95000</v>
      </c>
      <c r="GPX10" s="1548"/>
      <c r="GPY10" s="1547">
        <f t="shared" ref="GPY10" si="2569">GPW10</f>
        <v>95000</v>
      </c>
      <c r="GPZ10" s="1548"/>
      <c r="GQA10" s="1547">
        <f t="shared" ref="GQA10" si="2570">GPY10</f>
        <v>95000</v>
      </c>
      <c r="GQB10" s="1548"/>
      <c r="GQC10" s="1547">
        <f t="shared" ref="GQC10" si="2571">GQA10</f>
        <v>95000</v>
      </c>
      <c r="GQD10" s="1548"/>
      <c r="GQE10" s="1547">
        <f t="shared" ref="GQE10" si="2572">GQC10</f>
        <v>95000</v>
      </c>
      <c r="GQF10" s="1548"/>
      <c r="GQG10" s="1547">
        <f t="shared" ref="GQG10" si="2573">GQE10</f>
        <v>95000</v>
      </c>
      <c r="GQH10" s="1548"/>
      <c r="GQI10" s="1547">
        <f t="shared" ref="GQI10" si="2574">GQG10</f>
        <v>95000</v>
      </c>
      <c r="GQJ10" s="1548"/>
      <c r="GQK10" s="1547">
        <f t="shared" ref="GQK10" si="2575">GQI10</f>
        <v>95000</v>
      </c>
      <c r="GQL10" s="1548"/>
      <c r="GQM10" s="1547">
        <f t="shared" ref="GQM10" si="2576">GQK10</f>
        <v>95000</v>
      </c>
      <c r="GQN10" s="1548"/>
      <c r="GQO10" s="1547">
        <f t="shared" ref="GQO10" si="2577">GQM10</f>
        <v>95000</v>
      </c>
      <c r="GQP10" s="1548"/>
      <c r="GQQ10" s="1547">
        <f t="shared" ref="GQQ10" si="2578">GQO10</f>
        <v>95000</v>
      </c>
      <c r="GQR10" s="1548"/>
      <c r="GQS10" s="1547">
        <f t="shared" ref="GQS10" si="2579">GQQ10</f>
        <v>95000</v>
      </c>
      <c r="GQT10" s="1548"/>
      <c r="GQU10" s="1547">
        <f t="shared" ref="GQU10" si="2580">GQS10</f>
        <v>95000</v>
      </c>
      <c r="GQV10" s="1548"/>
      <c r="GQW10" s="1547">
        <f t="shared" ref="GQW10" si="2581">GQU10</f>
        <v>95000</v>
      </c>
      <c r="GQX10" s="1548"/>
      <c r="GQY10" s="1547">
        <f t="shared" ref="GQY10" si="2582">GQW10</f>
        <v>95000</v>
      </c>
      <c r="GQZ10" s="1548"/>
      <c r="GRA10" s="1547">
        <f t="shared" ref="GRA10" si="2583">GQY10</f>
        <v>95000</v>
      </c>
      <c r="GRB10" s="1548"/>
      <c r="GRC10" s="1547">
        <f t="shared" ref="GRC10" si="2584">GRA10</f>
        <v>95000</v>
      </c>
      <c r="GRD10" s="1548"/>
      <c r="GRE10" s="1547">
        <f t="shared" ref="GRE10" si="2585">GRC10</f>
        <v>95000</v>
      </c>
      <c r="GRF10" s="1548"/>
      <c r="GRG10" s="1547">
        <f t="shared" ref="GRG10" si="2586">GRE10</f>
        <v>95000</v>
      </c>
      <c r="GRH10" s="1548"/>
      <c r="GRI10" s="1547">
        <f t="shared" ref="GRI10" si="2587">GRG10</f>
        <v>95000</v>
      </c>
      <c r="GRJ10" s="1548"/>
      <c r="GRK10" s="1547">
        <f t="shared" ref="GRK10" si="2588">GRI10</f>
        <v>95000</v>
      </c>
      <c r="GRL10" s="1548"/>
      <c r="GRM10" s="1547">
        <f t="shared" ref="GRM10" si="2589">GRK10</f>
        <v>95000</v>
      </c>
      <c r="GRN10" s="1548"/>
      <c r="GRO10" s="1547">
        <f t="shared" ref="GRO10" si="2590">GRM10</f>
        <v>95000</v>
      </c>
      <c r="GRP10" s="1548"/>
      <c r="GRQ10" s="1547">
        <f t="shared" ref="GRQ10" si="2591">GRO10</f>
        <v>95000</v>
      </c>
      <c r="GRR10" s="1548"/>
      <c r="GRS10" s="1547">
        <f t="shared" ref="GRS10" si="2592">GRQ10</f>
        <v>95000</v>
      </c>
      <c r="GRT10" s="1548"/>
      <c r="GRU10" s="1547">
        <f t="shared" ref="GRU10" si="2593">GRS10</f>
        <v>95000</v>
      </c>
      <c r="GRV10" s="1548"/>
      <c r="GRW10" s="1547">
        <f t="shared" ref="GRW10" si="2594">GRU10</f>
        <v>95000</v>
      </c>
      <c r="GRX10" s="1548"/>
      <c r="GRY10" s="1547">
        <f t="shared" ref="GRY10" si="2595">GRW10</f>
        <v>95000</v>
      </c>
      <c r="GRZ10" s="1548"/>
      <c r="GSA10" s="1547">
        <f t="shared" ref="GSA10" si="2596">GRY10</f>
        <v>95000</v>
      </c>
      <c r="GSB10" s="1548"/>
      <c r="GSC10" s="1547">
        <f t="shared" ref="GSC10" si="2597">GSA10</f>
        <v>95000</v>
      </c>
      <c r="GSD10" s="1548"/>
      <c r="GSE10" s="1547">
        <f t="shared" ref="GSE10" si="2598">GSC10</f>
        <v>95000</v>
      </c>
      <c r="GSF10" s="1548"/>
      <c r="GSG10" s="1547">
        <f t="shared" ref="GSG10" si="2599">GSE10</f>
        <v>95000</v>
      </c>
      <c r="GSH10" s="1548"/>
      <c r="GSI10" s="1547">
        <f t="shared" ref="GSI10" si="2600">GSG10</f>
        <v>95000</v>
      </c>
      <c r="GSJ10" s="1548"/>
      <c r="GSK10" s="1547">
        <f t="shared" ref="GSK10" si="2601">GSI10</f>
        <v>95000</v>
      </c>
      <c r="GSL10" s="1548"/>
      <c r="GSM10" s="1547">
        <f t="shared" ref="GSM10" si="2602">GSK10</f>
        <v>95000</v>
      </c>
      <c r="GSN10" s="1548"/>
      <c r="GSO10" s="1547">
        <f t="shared" ref="GSO10" si="2603">GSM10</f>
        <v>95000</v>
      </c>
      <c r="GSP10" s="1548"/>
      <c r="GSQ10" s="1547">
        <f t="shared" ref="GSQ10" si="2604">GSO10</f>
        <v>95000</v>
      </c>
      <c r="GSR10" s="1548"/>
      <c r="GSS10" s="1547">
        <f t="shared" ref="GSS10" si="2605">GSQ10</f>
        <v>95000</v>
      </c>
      <c r="GST10" s="1548"/>
      <c r="GSU10" s="1547">
        <f t="shared" ref="GSU10" si="2606">GSS10</f>
        <v>95000</v>
      </c>
      <c r="GSV10" s="1548"/>
      <c r="GSW10" s="1547">
        <f t="shared" ref="GSW10" si="2607">GSU10</f>
        <v>95000</v>
      </c>
      <c r="GSX10" s="1548"/>
      <c r="GSY10" s="1547">
        <f t="shared" ref="GSY10" si="2608">GSW10</f>
        <v>95000</v>
      </c>
      <c r="GSZ10" s="1548"/>
      <c r="GTA10" s="1547">
        <f t="shared" ref="GTA10" si="2609">GSY10</f>
        <v>95000</v>
      </c>
      <c r="GTB10" s="1548"/>
      <c r="GTC10" s="1547">
        <f t="shared" ref="GTC10" si="2610">GTA10</f>
        <v>95000</v>
      </c>
      <c r="GTD10" s="1548"/>
      <c r="GTE10" s="1547">
        <f t="shared" ref="GTE10" si="2611">GTC10</f>
        <v>95000</v>
      </c>
      <c r="GTF10" s="1548"/>
      <c r="GTG10" s="1547">
        <f t="shared" ref="GTG10" si="2612">GTE10</f>
        <v>95000</v>
      </c>
      <c r="GTH10" s="1548"/>
      <c r="GTI10" s="1547">
        <f t="shared" ref="GTI10" si="2613">GTG10</f>
        <v>95000</v>
      </c>
      <c r="GTJ10" s="1548"/>
      <c r="GTK10" s="1547">
        <f t="shared" ref="GTK10" si="2614">GTI10</f>
        <v>95000</v>
      </c>
      <c r="GTL10" s="1548"/>
      <c r="GTM10" s="1547">
        <f t="shared" ref="GTM10" si="2615">GTK10</f>
        <v>95000</v>
      </c>
      <c r="GTN10" s="1548"/>
      <c r="GTO10" s="1547">
        <f t="shared" ref="GTO10" si="2616">GTM10</f>
        <v>95000</v>
      </c>
      <c r="GTP10" s="1548"/>
      <c r="GTQ10" s="1547">
        <f t="shared" ref="GTQ10" si="2617">GTO10</f>
        <v>95000</v>
      </c>
      <c r="GTR10" s="1548"/>
      <c r="GTS10" s="1547">
        <f t="shared" ref="GTS10" si="2618">GTQ10</f>
        <v>95000</v>
      </c>
      <c r="GTT10" s="1548"/>
      <c r="GTU10" s="1547">
        <f t="shared" ref="GTU10" si="2619">GTS10</f>
        <v>95000</v>
      </c>
      <c r="GTV10" s="1548"/>
      <c r="GTW10" s="1547">
        <f t="shared" ref="GTW10" si="2620">GTU10</f>
        <v>95000</v>
      </c>
      <c r="GTX10" s="1548"/>
      <c r="GTY10" s="1547">
        <f t="shared" ref="GTY10" si="2621">GTW10</f>
        <v>95000</v>
      </c>
      <c r="GTZ10" s="1548"/>
      <c r="GUA10" s="1547">
        <f t="shared" ref="GUA10" si="2622">GTY10</f>
        <v>95000</v>
      </c>
      <c r="GUB10" s="1548"/>
      <c r="GUC10" s="1547">
        <f t="shared" ref="GUC10" si="2623">GUA10</f>
        <v>95000</v>
      </c>
      <c r="GUD10" s="1548"/>
      <c r="GUE10" s="1547">
        <f t="shared" ref="GUE10" si="2624">GUC10</f>
        <v>95000</v>
      </c>
      <c r="GUF10" s="1548"/>
      <c r="GUG10" s="1547">
        <f t="shared" ref="GUG10" si="2625">GUE10</f>
        <v>95000</v>
      </c>
      <c r="GUH10" s="1548"/>
      <c r="GUI10" s="1547">
        <f t="shared" ref="GUI10" si="2626">GUG10</f>
        <v>95000</v>
      </c>
      <c r="GUJ10" s="1548"/>
      <c r="GUK10" s="1547">
        <f t="shared" ref="GUK10" si="2627">GUI10</f>
        <v>95000</v>
      </c>
      <c r="GUL10" s="1548"/>
      <c r="GUM10" s="1547">
        <f t="shared" ref="GUM10" si="2628">GUK10</f>
        <v>95000</v>
      </c>
      <c r="GUN10" s="1548"/>
      <c r="GUO10" s="1547">
        <f t="shared" ref="GUO10" si="2629">GUM10</f>
        <v>95000</v>
      </c>
      <c r="GUP10" s="1548"/>
      <c r="GUQ10" s="1547">
        <f t="shared" ref="GUQ10" si="2630">GUO10</f>
        <v>95000</v>
      </c>
      <c r="GUR10" s="1548"/>
      <c r="GUS10" s="1547">
        <f t="shared" ref="GUS10" si="2631">GUQ10</f>
        <v>95000</v>
      </c>
      <c r="GUT10" s="1548"/>
      <c r="GUU10" s="1547">
        <f t="shared" ref="GUU10" si="2632">GUS10</f>
        <v>95000</v>
      </c>
      <c r="GUV10" s="1548"/>
      <c r="GUW10" s="1547">
        <f t="shared" ref="GUW10" si="2633">GUU10</f>
        <v>95000</v>
      </c>
      <c r="GUX10" s="1548"/>
      <c r="GUY10" s="1547">
        <f t="shared" ref="GUY10" si="2634">GUW10</f>
        <v>95000</v>
      </c>
      <c r="GUZ10" s="1548"/>
      <c r="GVA10" s="1547">
        <f t="shared" ref="GVA10" si="2635">GUY10</f>
        <v>95000</v>
      </c>
      <c r="GVB10" s="1548"/>
      <c r="GVC10" s="1547">
        <f t="shared" ref="GVC10" si="2636">GVA10</f>
        <v>95000</v>
      </c>
      <c r="GVD10" s="1548"/>
      <c r="GVE10" s="1547">
        <f t="shared" ref="GVE10" si="2637">GVC10</f>
        <v>95000</v>
      </c>
      <c r="GVF10" s="1548"/>
      <c r="GVG10" s="1547">
        <f t="shared" ref="GVG10" si="2638">GVE10</f>
        <v>95000</v>
      </c>
      <c r="GVH10" s="1548"/>
      <c r="GVI10" s="1547">
        <f t="shared" ref="GVI10" si="2639">GVG10</f>
        <v>95000</v>
      </c>
      <c r="GVJ10" s="1548"/>
      <c r="GVK10" s="1547">
        <f t="shared" ref="GVK10" si="2640">GVI10</f>
        <v>95000</v>
      </c>
      <c r="GVL10" s="1548"/>
      <c r="GVM10" s="1547">
        <f t="shared" ref="GVM10" si="2641">GVK10</f>
        <v>95000</v>
      </c>
      <c r="GVN10" s="1548"/>
      <c r="GVO10" s="1547">
        <f t="shared" ref="GVO10" si="2642">GVM10</f>
        <v>95000</v>
      </c>
      <c r="GVP10" s="1548"/>
      <c r="GVQ10" s="1547">
        <f t="shared" ref="GVQ10" si="2643">GVO10</f>
        <v>95000</v>
      </c>
      <c r="GVR10" s="1548"/>
      <c r="GVS10" s="1547">
        <f t="shared" ref="GVS10" si="2644">GVQ10</f>
        <v>95000</v>
      </c>
      <c r="GVT10" s="1548"/>
      <c r="GVU10" s="1547">
        <f t="shared" ref="GVU10" si="2645">GVS10</f>
        <v>95000</v>
      </c>
      <c r="GVV10" s="1548"/>
      <c r="GVW10" s="1547">
        <f t="shared" ref="GVW10" si="2646">GVU10</f>
        <v>95000</v>
      </c>
      <c r="GVX10" s="1548"/>
      <c r="GVY10" s="1547">
        <f t="shared" ref="GVY10" si="2647">GVW10</f>
        <v>95000</v>
      </c>
      <c r="GVZ10" s="1548"/>
      <c r="GWA10" s="1547">
        <f t="shared" ref="GWA10" si="2648">GVY10</f>
        <v>95000</v>
      </c>
      <c r="GWB10" s="1548"/>
      <c r="GWC10" s="1547">
        <f t="shared" ref="GWC10" si="2649">GWA10</f>
        <v>95000</v>
      </c>
      <c r="GWD10" s="1548"/>
      <c r="GWE10" s="1547">
        <f t="shared" ref="GWE10" si="2650">GWC10</f>
        <v>95000</v>
      </c>
      <c r="GWF10" s="1548"/>
      <c r="GWG10" s="1547">
        <f t="shared" ref="GWG10" si="2651">GWE10</f>
        <v>95000</v>
      </c>
      <c r="GWH10" s="1548"/>
      <c r="GWI10" s="1547">
        <f t="shared" ref="GWI10" si="2652">GWG10</f>
        <v>95000</v>
      </c>
      <c r="GWJ10" s="1548"/>
      <c r="GWK10" s="1547">
        <f t="shared" ref="GWK10" si="2653">GWI10</f>
        <v>95000</v>
      </c>
      <c r="GWL10" s="1548"/>
      <c r="GWM10" s="1547">
        <f t="shared" ref="GWM10" si="2654">GWK10</f>
        <v>95000</v>
      </c>
      <c r="GWN10" s="1548"/>
      <c r="GWO10" s="1547">
        <f t="shared" ref="GWO10" si="2655">GWM10</f>
        <v>95000</v>
      </c>
      <c r="GWP10" s="1548"/>
      <c r="GWQ10" s="1547">
        <f t="shared" ref="GWQ10" si="2656">GWO10</f>
        <v>95000</v>
      </c>
      <c r="GWR10" s="1548"/>
      <c r="GWS10" s="1547">
        <f t="shared" ref="GWS10" si="2657">GWQ10</f>
        <v>95000</v>
      </c>
      <c r="GWT10" s="1548"/>
      <c r="GWU10" s="1547">
        <f t="shared" ref="GWU10" si="2658">GWS10</f>
        <v>95000</v>
      </c>
      <c r="GWV10" s="1548"/>
      <c r="GWW10" s="1547">
        <f t="shared" ref="GWW10" si="2659">GWU10</f>
        <v>95000</v>
      </c>
      <c r="GWX10" s="1548"/>
      <c r="GWY10" s="1547">
        <f t="shared" ref="GWY10" si="2660">GWW10</f>
        <v>95000</v>
      </c>
      <c r="GWZ10" s="1548"/>
      <c r="GXA10" s="1547">
        <f t="shared" ref="GXA10" si="2661">GWY10</f>
        <v>95000</v>
      </c>
      <c r="GXB10" s="1548"/>
      <c r="GXC10" s="1547">
        <f t="shared" ref="GXC10" si="2662">GXA10</f>
        <v>95000</v>
      </c>
      <c r="GXD10" s="1548"/>
      <c r="GXE10" s="1547">
        <f t="shared" ref="GXE10" si="2663">GXC10</f>
        <v>95000</v>
      </c>
      <c r="GXF10" s="1548"/>
      <c r="GXG10" s="1547">
        <f t="shared" ref="GXG10" si="2664">GXE10</f>
        <v>95000</v>
      </c>
      <c r="GXH10" s="1548"/>
      <c r="GXI10" s="1547">
        <f t="shared" ref="GXI10" si="2665">GXG10</f>
        <v>95000</v>
      </c>
      <c r="GXJ10" s="1548"/>
      <c r="GXK10" s="1547">
        <f t="shared" ref="GXK10" si="2666">GXI10</f>
        <v>95000</v>
      </c>
      <c r="GXL10" s="1548"/>
      <c r="GXM10" s="1547">
        <f t="shared" ref="GXM10" si="2667">GXK10</f>
        <v>95000</v>
      </c>
      <c r="GXN10" s="1548"/>
      <c r="GXO10" s="1547">
        <f t="shared" ref="GXO10" si="2668">GXM10</f>
        <v>95000</v>
      </c>
      <c r="GXP10" s="1548"/>
      <c r="GXQ10" s="1547">
        <f t="shared" ref="GXQ10" si="2669">GXO10</f>
        <v>95000</v>
      </c>
      <c r="GXR10" s="1548"/>
      <c r="GXS10" s="1547">
        <f t="shared" ref="GXS10" si="2670">GXQ10</f>
        <v>95000</v>
      </c>
      <c r="GXT10" s="1548"/>
      <c r="GXU10" s="1547">
        <f t="shared" ref="GXU10" si="2671">GXS10</f>
        <v>95000</v>
      </c>
      <c r="GXV10" s="1548"/>
      <c r="GXW10" s="1547">
        <f t="shared" ref="GXW10" si="2672">GXU10</f>
        <v>95000</v>
      </c>
      <c r="GXX10" s="1548"/>
      <c r="GXY10" s="1547">
        <f t="shared" ref="GXY10" si="2673">GXW10</f>
        <v>95000</v>
      </c>
      <c r="GXZ10" s="1548"/>
      <c r="GYA10" s="1547">
        <f t="shared" ref="GYA10" si="2674">GXY10</f>
        <v>95000</v>
      </c>
      <c r="GYB10" s="1548"/>
      <c r="GYC10" s="1547">
        <f t="shared" ref="GYC10" si="2675">GYA10</f>
        <v>95000</v>
      </c>
      <c r="GYD10" s="1548"/>
      <c r="GYE10" s="1547">
        <f t="shared" ref="GYE10" si="2676">GYC10</f>
        <v>95000</v>
      </c>
      <c r="GYF10" s="1548"/>
      <c r="GYG10" s="1547">
        <f t="shared" ref="GYG10" si="2677">GYE10</f>
        <v>95000</v>
      </c>
      <c r="GYH10" s="1548"/>
      <c r="GYI10" s="1547">
        <f t="shared" ref="GYI10" si="2678">GYG10</f>
        <v>95000</v>
      </c>
      <c r="GYJ10" s="1548"/>
      <c r="GYK10" s="1547">
        <f t="shared" ref="GYK10" si="2679">GYI10</f>
        <v>95000</v>
      </c>
      <c r="GYL10" s="1548"/>
      <c r="GYM10" s="1547">
        <f t="shared" ref="GYM10" si="2680">GYK10</f>
        <v>95000</v>
      </c>
      <c r="GYN10" s="1548"/>
      <c r="GYO10" s="1547">
        <f t="shared" ref="GYO10" si="2681">GYM10</f>
        <v>95000</v>
      </c>
      <c r="GYP10" s="1548"/>
      <c r="GYQ10" s="1547">
        <f t="shared" ref="GYQ10" si="2682">GYO10</f>
        <v>95000</v>
      </c>
      <c r="GYR10" s="1548"/>
      <c r="GYS10" s="1547">
        <f t="shared" ref="GYS10" si="2683">GYQ10</f>
        <v>95000</v>
      </c>
      <c r="GYT10" s="1548"/>
      <c r="GYU10" s="1547">
        <f t="shared" ref="GYU10" si="2684">GYS10</f>
        <v>95000</v>
      </c>
      <c r="GYV10" s="1548"/>
      <c r="GYW10" s="1547">
        <f t="shared" ref="GYW10" si="2685">GYU10</f>
        <v>95000</v>
      </c>
      <c r="GYX10" s="1548"/>
      <c r="GYY10" s="1547">
        <f t="shared" ref="GYY10" si="2686">GYW10</f>
        <v>95000</v>
      </c>
      <c r="GYZ10" s="1548"/>
      <c r="GZA10" s="1547">
        <f t="shared" ref="GZA10" si="2687">GYY10</f>
        <v>95000</v>
      </c>
      <c r="GZB10" s="1548"/>
      <c r="GZC10" s="1547">
        <f t="shared" ref="GZC10" si="2688">GZA10</f>
        <v>95000</v>
      </c>
      <c r="GZD10" s="1548"/>
      <c r="GZE10" s="1547">
        <f t="shared" ref="GZE10" si="2689">GZC10</f>
        <v>95000</v>
      </c>
      <c r="GZF10" s="1548"/>
      <c r="GZG10" s="1547">
        <f t="shared" ref="GZG10" si="2690">GZE10</f>
        <v>95000</v>
      </c>
      <c r="GZH10" s="1548"/>
      <c r="GZI10" s="1547">
        <f t="shared" ref="GZI10" si="2691">GZG10</f>
        <v>95000</v>
      </c>
      <c r="GZJ10" s="1548"/>
      <c r="GZK10" s="1547">
        <f t="shared" ref="GZK10" si="2692">GZI10</f>
        <v>95000</v>
      </c>
      <c r="GZL10" s="1548"/>
      <c r="GZM10" s="1547">
        <f t="shared" ref="GZM10" si="2693">GZK10</f>
        <v>95000</v>
      </c>
      <c r="GZN10" s="1548"/>
      <c r="GZO10" s="1547">
        <f t="shared" ref="GZO10" si="2694">GZM10</f>
        <v>95000</v>
      </c>
      <c r="GZP10" s="1548"/>
      <c r="GZQ10" s="1547">
        <f t="shared" ref="GZQ10" si="2695">GZO10</f>
        <v>95000</v>
      </c>
      <c r="GZR10" s="1548"/>
      <c r="GZS10" s="1547">
        <f t="shared" ref="GZS10" si="2696">GZQ10</f>
        <v>95000</v>
      </c>
      <c r="GZT10" s="1548"/>
      <c r="GZU10" s="1547">
        <f t="shared" ref="GZU10" si="2697">GZS10</f>
        <v>95000</v>
      </c>
      <c r="GZV10" s="1548"/>
      <c r="GZW10" s="1547">
        <f t="shared" ref="GZW10" si="2698">GZU10</f>
        <v>95000</v>
      </c>
      <c r="GZX10" s="1548"/>
      <c r="GZY10" s="1547">
        <f t="shared" ref="GZY10" si="2699">GZW10</f>
        <v>95000</v>
      </c>
      <c r="GZZ10" s="1548"/>
      <c r="HAA10" s="1547">
        <f t="shared" ref="HAA10" si="2700">GZY10</f>
        <v>95000</v>
      </c>
      <c r="HAB10" s="1548"/>
      <c r="HAC10" s="1547">
        <f t="shared" ref="HAC10" si="2701">HAA10</f>
        <v>95000</v>
      </c>
      <c r="HAD10" s="1548"/>
      <c r="HAE10" s="1547">
        <f t="shared" ref="HAE10" si="2702">HAC10</f>
        <v>95000</v>
      </c>
      <c r="HAF10" s="1548"/>
      <c r="HAG10" s="1547">
        <f t="shared" ref="HAG10" si="2703">HAE10</f>
        <v>95000</v>
      </c>
      <c r="HAH10" s="1548"/>
      <c r="HAI10" s="1547">
        <f t="shared" ref="HAI10" si="2704">HAG10</f>
        <v>95000</v>
      </c>
      <c r="HAJ10" s="1548"/>
      <c r="HAK10" s="1547">
        <f t="shared" ref="HAK10" si="2705">HAI10</f>
        <v>95000</v>
      </c>
      <c r="HAL10" s="1548"/>
      <c r="HAM10" s="1547">
        <f t="shared" ref="HAM10" si="2706">HAK10</f>
        <v>95000</v>
      </c>
      <c r="HAN10" s="1548"/>
      <c r="HAO10" s="1547">
        <f t="shared" ref="HAO10" si="2707">HAM10</f>
        <v>95000</v>
      </c>
      <c r="HAP10" s="1548"/>
      <c r="HAQ10" s="1547">
        <f t="shared" ref="HAQ10" si="2708">HAO10</f>
        <v>95000</v>
      </c>
      <c r="HAR10" s="1548"/>
      <c r="HAS10" s="1547">
        <f t="shared" ref="HAS10" si="2709">HAQ10</f>
        <v>95000</v>
      </c>
      <c r="HAT10" s="1548"/>
      <c r="HAU10" s="1547">
        <f t="shared" ref="HAU10" si="2710">HAS10</f>
        <v>95000</v>
      </c>
      <c r="HAV10" s="1548"/>
      <c r="HAW10" s="1547">
        <f t="shared" ref="HAW10" si="2711">HAU10</f>
        <v>95000</v>
      </c>
      <c r="HAX10" s="1548"/>
      <c r="HAY10" s="1547">
        <f t="shared" ref="HAY10" si="2712">HAW10</f>
        <v>95000</v>
      </c>
      <c r="HAZ10" s="1548"/>
      <c r="HBA10" s="1547">
        <f t="shared" ref="HBA10" si="2713">HAY10</f>
        <v>95000</v>
      </c>
      <c r="HBB10" s="1548"/>
      <c r="HBC10" s="1547">
        <f t="shared" ref="HBC10" si="2714">HBA10</f>
        <v>95000</v>
      </c>
      <c r="HBD10" s="1548"/>
      <c r="HBE10" s="1547">
        <f t="shared" ref="HBE10" si="2715">HBC10</f>
        <v>95000</v>
      </c>
      <c r="HBF10" s="1548"/>
      <c r="HBG10" s="1547">
        <f t="shared" ref="HBG10" si="2716">HBE10</f>
        <v>95000</v>
      </c>
      <c r="HBH10" s="1548"/>
      <c r="HBI10" s="1547">
        <f t="shared" ref="HBI10" si="2717">HBG10</f>
        <v>95000</v>
      </c>
      <c r="HBJ10" s="1548"/>
      <c r="HBK10" s="1547">
        <f t="shared" ref="HBK10" si="2718">HBI10</f>
        <v>95000</v>
      </c>
      <c r="HBL10" s="1548"/>
      <c r="HBM10" s="1547">
        <f t="shared" ref="HBM10" si="2719">HBK10</f>
        <v>95000</v>
      </c>
      <c r="HBN10" s="1548"/>
      <c r="HBO10" s="1547">
        <f t="shared" ref="HBO10" si="2720">HBM10</f>
        <v>95000</v>
      </c>
      <c r="HBP10" s="1548"/>
      <c r="HBQ10" s="1547">
        <f t="shared" ref="HBQ10" si="2721">HBO10</f>
        <v>95000</v>
      </c>
      <c r="HBR10" s="1548"/>
      <c r="HBS10" s="1547">
        <f t="shared" ref="HBS10" si="2722">HBQ10</f>
        <v>95000</v>
      </c>
      <c r="HBT10" s="1548"/>
      <c r="HBU10" s="1547">
        <f t="shared" ref="HBU10" si="2723">HBS10</f>
        <v>95000</v>
      </c>
      <c r="HBV10" s="1548"/>
      <c r="HBW10" s="1547">
        <f t="shared" ref="HBW10" si="2724">HBU10</f>
        <v>95000</v>
      </c>
      <c r="HBX10" s="1548"/>
      <c r="HBY10" s="1547">
        <f t="shared" ref="HBY10" si="2725">HBW10</f>
        <v>95000</v>
      </c>
      <c r="HBZ10" s="1548"/>
      <c r="HCA10" s="1547">
        <f t="shared" ref="HCA10" si="2726">HBY10</f>
        <v>95000</v>
      </c>
      <c r="HCB10" s="1548"/>
      <c r="HCC10" s="1547">
        <f t="shared" ref="HCC10" si="2727">HCA10</f>
        <v>95000</v>
      </c>
      <c r="HCD10" s="1548"/>
      <c r="HCE10" s="1547">
        <f t="shared" ref="HCE10" si="2728">HCC10</f>
        <v>95000</v>
      </c>
      <c r="HCF10" s="1548"/>
      <c r="HCG10" s="1547">
        <f t="shared" ref="HCG10" si="2729">HCE10</f>
        <v>95000</v>
      </c>
      <c r="HCH10" s="1548"/>
      <c r="HCI10" s="1547">
        <f t="shared" ref="HCI10" si="2730">HCG10</f>
        <v>95000</v>
      </c>
      <c r="HCJ10" s="1548"/>
      <c r="HCK10" s="1547">
        <f t="shared" ref="HCK10" si="2731">HCI10</f>
        <v>95000</v>
      </c>
      <c r="HCL10" s="1548"/>
      <c r="HCM10" s="1547">
        <f t="shared" ref="HCM10" si="2732">HCK10</f>
        <v>95000</v>
      </c>
      <c r="HCN10" s="1548"/>
      <c r="HCO10" s="1547">
        <f t="shared" ref="HCO10" si="2733">HCM10</f>
        <v>95000</v>
      </c>
      <c r="HCP10" s="1548"/>
      <c r="HCQ10" s="1547">
        <f t="shared" ref="HCQ10" si="2734">HCO10</f>
        <v>95000</v>
      </c>
      <c r="HCR10" s="1548"/>
      <c r="HCS10" s="1547">
        <f t="shared" ref="HCS10" si="2735">HCQ10</f>
        <v>95000</v>
      </c>
      <c r="HCT10" s="1548"/>
      <c r="HCU10" s="1547">
        <f t="shared" ref="HCU10" si="2736">HCS10</f>
        <v>95000</v>
      </c>
      <c r="HCV10" s="1548"/>
      <c r="HCW10" s="1547">
        <f t="shared" ref="HCW10" si="2737">HCU10</f>
        <v>95000</v>
      </c>
      <c r="HCX10" s="1548"/>
      <c r="HCY10" s="1547">
        <f t="shared" ref="HCY10" si="2738">HCW10</f>
        <v>95000</v>
      </c>
      <c r="HCZ10" s="1548"/>
      <c r="HDA10" s="1547">
        <f t="shared" ref="HDA10" si="2739">HCY10</f>
        <v>95000</v>
      </c>
      <c r="HDB10" s="1548"/>
      <c r="HDC10" s="1547">
        <f t="shared" ref="HDC10" si="2740">HDA10</f>
        <v>95000</v>
      </c>
      <c r="HDD10" s="1548"/>
      <c r="HDE10" s="1547">
        <f t="shared" ref="HDE10" si="2741">HDC10</f>
        <v>95000</v>
      </c>
      <c r="HDF10" s="1548"/>
      <c r="HDG10" s="1547">
        <f t="shared" ref="HDG10" si="2742">HDE10</f>
        <v>95000</v>
      </c>
      <c r="HDH10" s="1548"/>
      <c r="HDI10" s="1547">
        <f t="shared" ref="HDI10" si="2743">HDG10</f>
        <v>95000</v>
      </c>
      <c r="HDJ10" s="1548"/>
      <c r="HDK10" s="1547">
        <f t="shared" ref="HDK10" si="2744">HDI10</f>
        <v>95000</v>
      </c>
      <c r="HDL10" s="1548"/>
      <c r="HDM10" s="1547">
        <f t="shared" ref="HDM10" si="2745">HDK10</f>
        <v>95000</v>
      </c>
      <c r="HDN10" s="1548"/>
      <c r="HDO10" s="1547">
        <f t="shared" ref="HDO10" si="2746">HDM10</f>
        <v>95000</v>
      </c>
      <c r="HDP10" s="1548"/>
      <c r="HDQ10" s="1547">
        <f t="shared" ref="HDQ10" si="2747">HDO10</f>
        <v>95000</v>
      </c>
      <c r="HDR10" s="1548"/>
      <c r="HDS10" s="1547">
        <f t="shared" ref="HDS10" si="2748">HDQ10</f>
        <v>95000</v>
      </c>
      <c r="HDT10" s="1548"/>
      <c r="HDU10" s="1547">
        <f t="shared" ref="HDU10" si="2749">HDS10</f>
        <v>95000</v>
      </c>
      <c r="HDV10" s="1548"/>
      <c r="HDW10" s="1547">
        <f t="shared" ref="HDW10" si="2750">HDU10</f>
        <v>95000</v>
      </c>
      <c r="HDX10" s="1548"/>
      <c r="HDY10" s="1547">
        <f t="shared" ref="HDY10" si="2751">HDW10</f>
        <v>95000</v>
      </c>
      <c r="HDZ10" s="1548"/>
      <c r="HEA10" s="1547">
        <f t="shared" ref="HEA10" si="2752">HDY10</f>
        <v>95000</v>
      </c>
      <c r="HEB10" s="1548"/>
      <c r="HEC10" s="1547">
        <f t="shared" ref="HEC10" si="2753">HEA10</f>
        <v>95000</v>
      </c>
      <c r="HED10" s="1548"/>
      <c r="HEE10" s="1547">
        <f t="shared" ref="HEE10" si="2754">HEC10</f>
        <v>95000</v>
      </c>
      <c r="HEF10" s="1548"/>
      <c r="HEG10" s="1547">
        <f t="shared" ref="HEG10" si="2755">HEE10</f>
        <v>95000</v>
      </c>
      <c r="HEH10" s="1548"/>
      <c r="HEI10" s="1547">
        <f t="shared" ref="HEI10" si="2756">HEG10</f>
        <v>95000</v>
      </c>
      <c r="HEJ10" s="1548"/>
      <c r="HEK10" s="1547">
        <f t="shared" ref="HEK10" si="2757">HEI10</f>
        <v>95000</v>
      </c>
      <c r="HEL10" s="1548"/>
      <c r="HEM10" s="1547">
        <f t="shared" ref="HEM10" si="2758">HEK10</f>
        <v>95000</v>
      </c>
      <c r="HEN10" s="1548"/>
      <c r="HEO10" s="1547">
        <f t="shared" ref="HEO10" si="2759">HEM10</f>
        <v>95000</v>
      </c>
      <c r="HEP10" s="1548"/>
      <c r="HEQ10" s="1547">
        <f t="shared" ref="HEQ10" si="2760">HEO10</f>
        <v>95000</v>
      </c>
      <c r="HER10" s="1548"/>
      <c r="HES10" s="1547">
        <f t="shared" ref="HES10" si="2761">HEQ10</f>
        <v>95000</v>
      </c>
      <c r="HET10" s="1548"/>
      <c r="HEU10" s="1547">
        <f t="shared" ref="HEU10" si="2762">HES10</f>
        <v>95000</v>
      </c>
      <c r="HEV10" s="1548"/>
      <c r="HEW10" s="1547">
        <f t="shared" ref="HEW10" si="2763">HEU10</f>
        <v>95000</v>
      </c>
      <c r="HEX10" s="1548"/>
      <c r="HEY10" s="1547">
        <f t="shared" ref="HEY10" si="2764">HEW10</f>
        <v>95000</v>
      </c>
      <c r="HEZ10" s="1548"/>
      <c r="HFA10" s="1547">
        <f t="shared" ref="HFA10" si="2765">HEY10</f>
        <v>95000</v>
      </c>
      <c r="HFB10" s="1548"/>
      <c r="HFC10" s="1547">
        <f t="shared" ref="HFC10" si="2766">HFA10</f>
        <v>95000</v>
      </c>
      <c r="HFD10" s="1548"/>
      <c r="HFE10" s="1547">
        <f t="shared" ref="HFE10" si="2767">HFC10</f>
        <v>95000</v>
      </c>
      <c r="HFF10" s="1548"/>
      <c r="HFG10" s="1547">
        <f t="shared" ref="HFG10" si="2768">HFE10</f>
        <v>95000</v>
      </c>
      <c r="HFH10" s="1548"/>
      <c r="HFI10" s="1547">
        <f t="shared" ref="HFI10" si="2769">HFG10</f>
        <v>95000</v>
      </c>
      <c r="HFJ10" s="1548"/>
      <c r="HFK10" s="1547">
        <f t="shared" ref="HFK10" si="2770">HFI10</f>
        <v>95000</v>
      </c>
      <c r="HFL10" s="1548"/>
      <c r="HFM10" s="1547">
        <f t="shared" ref="HFM10" si="2771">HFK10</f>
        <v>95000</v>
      </c>
      <c r="HFN10" s="1548"/>
      <c r="HFO10" s="1547">
        <f t="shared" ref="HFO10" si="2772">HFM10</f>
        <v>95000</v>
      </c>
      <c r="HFP10" s="1548"/>
      <c r="HFQ10" s="1547">
        <f t="shared" ref="HFQ10" si="2773">HFO10</f>
        <v>95000</v>
      </c>
      <c r="HFR10" s="1548"/>
      <c r="HFS10" s="1547">
        <f t="shared" ref="HFS10" si="2774">HFQ10</f>
        <v>95000</v>
      </c>
      <c r="HFT10" s="1548"/>
      <c r="HFU10" s="1547">
        <f t="shared" ref="HFU10" si="2775">HFS10</f>
        <v>95000</v>
      </c>
      <c r="HFV10" s="1548"/>
      <c r="HFW10" s="1547">
        <f t="shared" ref="HFW10" si="2776">HFU10</f>
        <v>95000</v>
      </c>
      <c r="HFX10" s="1548"/>
      <c r="HFY10" s="1547">
        <f t="shared" ref="HFY10" si="2777">HFW10</f>
        <v>95000</v>
      </c>
      <c r="HFZ10" s="1548"/>
      <c r="HGA10" s="1547">
        <f t="shared" ref="HGA10" si="2778">HFY10</f>
        <v>95000</v>
      </c>
      <c r="HGB10" s="1548"/>
      <c r="HGC10" s="1547">
        <f t="shared" ref="HGC10" si="2779">HGA10</f>
        <v>95000</v>
      </c>
      <c r="HGD10" s="1548"/>
      <c r="HGE10" s="1547">
        <f t="shared" ref="HGE10" si="2780">HGC10</f>
        <v>95000</v>
      </c>
      <c r="HGF10" s="1548"/>
      <c r="HGG10" s="1547">
        <f t="shared" ref="HGG10" si="2781">HGE10</f>
        <v>95000</v>
      </c>
      <c r="HGH10" s="1548"/>
      <c r="HGI10" s="1547">
        <f t="shared" ref="HGI10" si="2782">HGG10</f>
        <v>95000</v>
      </c>
      <c r="HGJ10" s="1548"/>
      <c r="HGK10" s="1547">
        <f t="shared" ref="HGK10" si="2783">HGI10</f>
        <v>95000</v>
      </c>
      <c r="HGL10" s="1548"/>
      <c r="HGM10" s="1547">
        <f t="shared" ref="HGM10" si="2784">HGK10</f>
        <v>95000</v>
      </c>
      <c r="HGN10" s="1548"/>
      <c r="HGO10" s="1547">
        <f t="shared" ref="HGO10" si="2785">HGM10</f>
        <v>95000</v>
      </c>
      <c r="HGP10" s="1548"/>
      <c r="HGQ10" s="1547">
        <f t="shared" ref="HGQ10" si="2786">HGO10</f>
        <v>95000</v>
      </c>
      <c r="HGR10" s="1548"/>
      <c r="HGS10" s="1547">
        <f t="shared" ref="HGS10" si="2787">HGQ10</f>
        <v>95000</v>
      </c>
      <c r="HGT10" s="1548"/>
      <c r="HGU10" s="1547">
        <f t="shared" ref="HGU10" si="2788">HGS10</f>
        <v>95000</v>
      </c>
      <c r="HGV10" s="1548"/>
      <c r="HGW10" s="1547">
        <f t="shared" ref="HGW10" si="2789">HGU10</f>
        <v>95000</v>
      </c>
      <c r="HGX10" s="1548"/>
      <c r="HGY10" s="1547">
        <f t="shared" ref="HGY10" si="2790">HGW10</f>
        <v>95000</v>
      </c>
      <c r="HGZ10" s="1548"/>
      <c r="HHA10" s="1547">
        <f t="shared" ref="HHA10" si="2791">HGY10</f>
        <v>95000</v>
      </c>
      <c r="HHB10" s="1548"/>
      <c r="HHC10" s="1547">
        <f t="shared" ref="HHC10" si="2792">HHA10</f>
        <v>95000</v>
      </c>
      <c r="HHD10" s="1548"/>
      <c r="HHE10" s="1547">
        <f t="shared" ref="HHE10" si="2793">HHC10</f>
        <v>95000</v>
      </c>
      <c r="HHF10" s="1548"/>
      <c r="HHG10" s="1547">
        <f t="shared" ref="HHG10" si="2794">HHE10</f>
        <v>95000</v>
      </c>
      <c r="HHH10" s="1548"/>
      <c r="HHI10" s="1547">
        <f t="shared" ref="HHI10" si="2795">HHG10</f>
        <v>95000</v>
      </c>
      <c r="HHJ10" s="1548"/>
      <c r="HHK10" s="1547">
        <f t="shared" ref="HHK10" si="2796">HHI10</f>
        <v>95000</v>
      </c>
      <c r="HHL10" s="1548"/>
      <c r="HHM10" s="1547">
        <f t="shared" ref="HHM10" si="2797">HHK10</f>
        <v>95000</v>
      </c>
      <c r="HHN10" s="1548"/>
      <c r="HHO10" s="1547">
        <f t="shared" ref="HHO10" si="2798">HHM10</f>
        <v>95000</v>
      </c>
      <c r="HHP10" s="1548"/>
      <c r="HHQ10" s="1547">
        <f t="shared" ref="HHQ10" si="2799">HHO10</f>
        <v>95000</v>
      </c>
      <c r="HHR10" s="1548"/>
      <c r="HHS10" s="1547">
        <f t="shared" ref="HHS10" si="2800">HHQ10</f>
        <v>95000</v>
      </c>
      <c r="HHT10" s="1548"/>
      <c r="HHU10" s="1547">
        <f t="shared" ref="HHU10" si="2801">HHS10</f>
        <v>95000</v>
      </c>
      <c r="HHV10" s="1548"/>
      <c r="HHW10" s="1547">
        <f t="shared" ref="HHW10" si="2802">HHU10</f>
        <v>95000</v>
      </c>
      <c r="HHX10" s="1548"/>
      <c r="HHY10" s="1547">
        <f t="shared" ref="HHY10" si="2803">HHW10</f>
        <v>95000</v>
      </c>
      <c r="HHZ10" s="1548"/>
      <c r="HIA10" s="1547">
        <f t="shared" ref="HIA10" si="2804">HHY10</f>
        <v>95000</v>
      </c>
      <c r="HIB10" s="1548"/>
      <c r="HIC10" s="1547">
        <f t="shared" ref="HIC10" si="2805">HIA10</f>
        <v>95000</v>
      </c>
      <c r="HID10" s="1548"/>
      <c r="HIE10" s="1547">
        <f t="shared" ref="HIE10" si="2806">HIC10</f>
        <v>95000</v>
      </c>
      <c r="HIF10" s="1548"/>
      <c r="HIG10" s="1547">
        <f t="shared" ref="HIG10" si="2807">HIE10</f>
        <v>95000</v>
      </c>
      <c r="HIH10" s="1548"/>
      <c r="HII10" s="1547">
        <f t="shared" ref="HII10" si="2808">HIG10</f>
        <v>95000</v>
      </c>
      <c r="HIJ10" s="1548"/>
      <c r="HIK10" s="1547">
        <f t="shared" ref="HIK10" si="2809">HII10</f>
        <v>95000</v>
      </c>
      <c r="HIL10" s="1548"/>
      <c r="HIM10" s="1547">
        <f t="shared" ref="HIM10" si="2810">HIK10</f>
        <v>95000</v>
      </c>
      <c r="HIN10" s="1548"/>
      <c r="HIO10" s="1547">
        <f t="shared" ref="HIO10" si="2811">HIM10</f>
        <v>95000</v>
      </c>
      <c r="HIP10" s="1548"/>
      <c r="HIQ10" s="1547">
        <f t="shared" ref="HIQ10" si="2812">HIO10</f>
        <v>95000</v>
      </c>
      <c r="HIR10" s="1548"/>
      <c r="HIS10" s="1547">
        <f t="shared" ref="HIS10" si="2813">HIQ10</f>
        <v>95000</v>
      </c>
      <c r="HIT10" s="1548"/>
      <c r="HIU10" s="1547">
        <f t="shared" ref="HIU10" si="2814">HIS10</f>
        <v>95000</v>
      </c>
      <c r="HIV10" s="1548"/>
      <c r="HIW10" s="1547">
        <f t="shared" ref="HIW10" si="2815">HIU10</f>
        <v>95000</v>
      </c>
      <c r="HIX10" s="1548"/>
      <c r="HIY10" s="1547">
        <f t="shared" ref="HIY10" si="2816">HIW10</f>
        <v>95000</v>
      </c>
      <c r="HIZ10" s="1548"/>
      <c r="HJA10" s="1547">
        <f t="shared" ref="HJA10" si="2817">HIY10</f>
        <v>95000</v>
      </c>
      <c r="HJB10" s="1548"/>
      <c r="HJC10" s="1547">
        <f t="shared" ref="HJC10" si="2818">HJA10</f>
        <v>95000</v>
      </c>
      <c r="HJD10" s="1548"/>
      <c r="HJE10" s="1547">
        <f t="shared" ref="HJE10" si="2819">HJC10</f>
        <v>95000</v>
      </c>
      <c r="HJF10" s="1548"/>
      <c r="HJG10" s="1547">
        <f t="shared" ref="HJG10" si="2820">HJE10</f>
        <v>95000</v>
      </c>
      <c r="HJH10" s="1548"/>
      <c r="HJI10" s="1547">
        <f t="shared" ref="HJI10" si="2821">HJG10</f>
        <v>95000</v>
      </c>
      <c r="HJJ10" s="1548"/>
      <c r="HJK10" s="1547">
        <f t="shared" ref="HJK10" si="2822">HJI10</f>
        <v>95000</v>
      </c>
      <c r="HJL10" s="1548"/>
      <c r="HJM10" s="1547">
        <f t="shared" ref="HJM10" si="2823">HJK10</f>
        <v>95000</v>
      </c>
      <c r="HJN10" s="1548"/>
      <c r="HJO10" s="1547">
        <f t="shared" ref="HJO10" si="2824">HJM10</f>
        <v>95000</v>
      </c>
      <c r="HJP10" s="1548"/>
      <c r="HJQ10" s="1547">
        <f t="shared" ref="HJQ10" si="2825">HJO10</f>
        <v>95000</v>
      </c>
      <c r="HJR10" s="1548"/>
      <c r="HJS10" s="1547">
        <f t="shared" ref="HJS10" si="2826">HJQ10</f>
        <v>95000</v>
      </c>
      <c r="HJT10" s="1548"/>
      <c r="HJU10" s="1547">
        <f t="shared" ref="HJU10" si="2827">HJS10</f>
        <v>95000</v>
      </c>
      <c r="HJV10" s="1548"/>
      <c r="HJW10" s="1547">
        <f t="shared" ref="HJW10" si="2828">HJU10</f>
        <v>95000</v>
      </c>
      <c r="HJX10" s="1548"/>
      <c r="HJY10" s="1547">
        <f t="shared" ref="HJY10" si="2829">HJW10</f>
        <v>95000</v>
      </c>
      <c r="HJZ10" s="1548"/>
      <c r="HKA10" s="1547">
        <f t="shared" ref="HKA10" si="2830">HJY10</f>
        <v>95000</v>
      </c>
      <c r="HKB10" s="1548"/>
      <c r="HKC10" s="1547">
        <f t="shared" ref="HKC10" si="2831">HKA10</f>
        <v>95000</v>
      </c>
      <c r="HKD10" s="1548"/>
      <c r="HKE10" s="1547">
        <f t="shared" ref="HKE10" si="2832">HKC10</f>
        <v>95000</v>
      </c>
      <c r="HKF10" s="1548"/>
      <c r="HKG10" s="1547">
        <f t="shared" ref="HKG10" si="2833">HKE10</f>
        <v>95000</v>
      </c>
      <c r="HKH10" s="1548"/>
      <c r="HKI10" s="1547">
        <f t="shared" ref="HKI10" si="2834">HKG10</f>
        <v>95000</v>
      </c>
      <c r="HKJ10" s="1548"/>
      <c r="HKK10" s="1547">
        <f t="shared" ref="HKK10" si="2835">HKI10</f>
        <v>95000</v>
      </c>
      <c r="HKL10" s="1548"/>
      <c r="HKM10" s="1547">
        <f t="shared" ref="HKM10" si="2836">HKK10</f>
        <v>95000</v>
      </c>
      <c r="HKN10" s="1548"/>
      <c r="HKO10" s="1547">
        <f t="shared" ref="HKO10" si="2837">HKM10</f>
        <v>95000</v>
      </c>
      <c r="HKP10" s="1548"/>
      <c r="HKQ10" s="1547">
        <f t="shared" ref="HKQ10" si="2838">HKO10</f>
        <v>95000</v>
      </c>
      <c r="HKR10" s="1548"/>
      <c r="HKS10" s="1547">
        <f t="shared" ref="HKS10" si="2839">HKQ10</f>
        <v>95000</v>
      </c>
      <c r="HKT10" s="1548"/>
      <c r="HKU10" s="1547">
        <f t="shared" ref="HKU10" si="2840">HKS10</f>
        <v>95000</v>
      </c>
      <c r="HKV10" s="1548"/>
      <c r="HKW10" s="1547">
        <f t="shared" ref="HKW10" si="2841">HKU10</f>
        <v>95000</v>
      </c>
      <c r="HKX10" s="1548"/>
      <c r="HKY10" s="1547">
        <f t="shared" ref="HKY10" si="2842">HKW10</f>
        <v>95000</v>
      </c>
      <c r="HKZ10" s="1548"/>
      <c r="HLA10" s="1547">
        <f t="shared" ref="HLA10" si="2843">HKY10</f>
        <v>95000</v>
      </c>
      <c r="HLB10" s="1548"/>
      <c r="HLC10" s="1547">
        <f t="shared" ref="HLC10" si="2844">HLA10</f>
        <v>95000</v>
      </c>
      <c r="HLD10" s="1548"/>
      <c r="HLE10" s="1547">
        <f t="shared" ref="HLE10" si="2845">HLC10</f>
        <v>95000</v>
      </c>
      <c r="HLF10" s="1548"/>
      <c r="HLG10" s="1547">
        <f t="shared" ref="HLG10" si="2846">HLE10</f>
        <v>95000</v>
      </c>
      <c r="HLH10" s="1548"/>
      <c r="HLI10" s="1547">
        <f t="shared" ref="HLI10" si="2847">HLG10</f>
        <v>95000</v>
      </c>
      <c r="HLJ10" s="1548"/>
      <c r="HLK10" s="1547">
        <f t="shared" ref="HLK10" si="2848">HLI10</f>
        <v>95000</v>
      </c>
      <c r="HLL10" s="1548"/>
      <c r="HLM10" s="1547">
        <f t="shared" ref="HLM10" si="2849">HLK10</f>
        <v>95000</v>
      </c>
      <c r="HLN10" s="1548"/>
      <c r="HLO10" s="1547">
        <f t="shared" ref="HLO10" si="2850">HLM10</f>
        <v>95000</v>
      </c>
      <c r="HLP10" s="1548"/>
      <c r="HLQ10" s="1547">
        <f t="shared" ref="HLQ10" si="2851">HLO10</f>
        <v>95000</v>
      </c>
      <c r="HLR10" s="1548"/>
      <c r="HLS10" s="1547">
        <f t="shared" ref="HLS10" si="2852">HLQ10</f>
        <v>95000</v>
      </c>
      <c r="HLT10" s="1548"/>
      <c r="HLU10" s="1547">
        <f t="shared" ref="HLU10" si="2853">HLS10</f>
        <v>95000</v>
      </c>
      <c r="HLV10" s="1548"/>
      <c r="HLW10" s="1547">
        <f t="shared" ref="HLW10" si="2854">HLU10</f>
        <v>95000</v>
      </c>
      <c r="HLX10" s="1548"/>
      <c r="HLY10" s="1547">
        <f t="shared" ref="HLY10" si="2855">HLW10</f>
        <v>95000</v>
      </c>
      <c r="HLZ10" s="1548"/>
      <c r="HMA10" s="1547">
        <f t="shared" ref="HMA10" si="2856">HLY10</f>
        <v>95000</v>
      </c>
      <c r="HMB10" s="1548"/>
      <c r="HMC10" s="1547">
        <f t="shared" ref="HMC10" si="2857">HMA10</f>
        <v>95000</v>
      </c>
      <c r="HMD10" s="1548"/>
      <c r="HME10" s="1547">
        <f t="shared" ref="HME10" si="2858">HMC10</f>
        <v>95000</v>
      </c>
      <c r="HMF10" s="1548"/>
      <c r="HMG10" s="1547">
        <f t="shared" ref="HMG10" si="2859">HME10</f>
        <v>95000</v>
      </c>
      <c r="HMH10" s="1548"/>
      <c r="HMI10" s="1547">
        <f t="shared" ref="HMI10" si="2860">HMG10</f>
        <v>95000</v>
      </c>
      <c r="HMJ10" s="1548"/>
      <c r="HMK10" s="1547">
        <f t="shared" ref="HMK10" si="2861">HMI10</f>
        <v>95000</v>
      </c>
      <c r="HML10" s="1548"/>
      <c r="HMM10" s="1547">
        <f t="shared" ref="HMM10" si="2862">HMK10</f>
        <v>95000</v>
      </c>
      <c r="HMN10" s="1548"/>
      <c r="HMO10" s="1547">
        <f t="shared" ref="HMO10" si="2863">HMM10</f>
        <v>95000</v>
      </c>
      <c r="HMP10" s="1548"/>
      <c r="HMQ10" s="1547">
        <f t="shared" ref="HMQ10" si="2864">HMO10</f>
        <v>95000</v>
      </c>
      <c r="HMR10" s="1548"/>
      <c r="HMS10" s="1547">
        <f t="shared" ref="HMS10" si="2865">HMQ10</f>
        <v>95000</v>
      </c>
      <c r="HMT10" s="1548"/>
      <c r="HMU10" s="1547">
        <f t="shared" ref="HMU10" si="2866">HMS10</f>
        <v>95000</v>
      </c>
      <c r="HMV10" s="1548"/>
      <c r="HMW10" s="1547">
        <f t="shared" ref="HMW10" si="2867">HMU10</f>
        <v>95000</v>
      </c>
      <c r="HMX10" s="1548"/>
      <c r="HMY10" s="1547">
        <f t="shared" ref="HMY10" si="2868">HMW10</f>
        <v>95000</v>
      </c>
      <c r="HMZ10" s="1548"/>
      <c r="HNA10" s="1547">
        <f t="shared" ref="HNA10" si="2869">HMY10</f>
        <v>95000</v>
      </c>
      <c r="HNB10" s="1548"/>
      <c r="HNC10" s="1547">
        <f t="shared" ref="HNC10" si="2870">HNA10</f>
        <v>95000</v>
      </c>
      <c r="HND10" s="1548"/>
      <c r="HNE10" s="1547">
        <f t="shared" ref="HNE10" si="2871">HNC10</f>
        <v>95000</v>
      </c>
      <c r="HNF10" s="1548"/>
      <c r="HNG10" s="1547">
        <f t="shared" ref="HNG10" si="2872">HNE10</f>
        <v>95000</v>
      </c>
      <c r="HNH10" s="1548"/>
      <c r="HNI10" s="1547">
        <f t="shared" ref="HNI10" si="2873">HNG10</f>
        <v>95000</v>
      </c>
      <c r="HNJ10" s="1548"/>
      <c r="HNK10" s="1547">
        <f t="shared" ref="HNK10" si="2874">HNI10</f>
        <v>95000</v>
      </c>
      <c r="HNL10" s="1548"/>
      <c r="HNM10" s="1547">
        <f t="shared" ref="HNM10" si="2875">HNK10</f>
        <v>95000</v>
      </c>
      <c r="HNN10" s="1548"/>
      <c r="HNO10" s="1547">
        <f t="shared" ref="HNO10" si="2876">HNM10</f>
        <v>95000</v>
      </c>
      <c r="HNP10" s="1548"/>
      <c r="HNQ10" s="1547">
        <f t="shared" ref="HNQ10" si="2877">HNO10</f>
        <v>95000</v>
      </c>
      <c r="HNR10" s="1548"/>
      <c r="HNS10" s="1547">
        <f t="shared" ref="HNS10" si="2878">HNQ10</f>
        <v>95000</v>
      </c>
      <c r="HNT10" s="1548"/>
      <c r="HNU10" s="1547">
        <f t="shared" ref="HNU10" si="2879">HNS10</f>
        <v>95000</v>
      </c>
      <c r="HNV10" s="1548"/>
      <c r="HNW10" s="1547">
        <f t="shared" ref="HNW10" si="2880">HNU10</f>
        <v>95000</v>
      </c>
      <c r="HNX10" s="1548"/>
      <c r="HNY10" s="1547">
        <f t="shared" ref="HNY10" si="2881">HNW10</f>
        <v>95000</v>
      </c>
      <c r="HNZ10" s="1548"/>
      <c r="HOA10" s="1547">
        <f t="shared" ref="HOA10" si="2882">HNY10</f>
        <v>95000</v>
      </c>
      <c r="HOB10" s="1548"/>
      <c r="HOC10" s="1547">
        <f t="shared" ref="HOC10" si="2883">HOA10</f>
        <v>95000</v>
      </c>
      <c r="HOD10" s="1548"/>
      <c r="HOE10" s="1547">
        <f t="shared" ref="HOE10" si="2884">HOC10</f>
        <v>95000</v>
      </c>
      <c r="HOF10" s="1548"/>
      <c r="HOG10" s="1547">
        <f t="shared" ref="HOG10" si="2885">HOE10</f>
        <v>95000</v>
      </c>
      <c r="HOH10" s="1548"/>
      <c r="HOI10" s="1547">
        <f t="shared" ref="HOI10" si="2886">HOG10</f>
        <v>95000</v>
      </c>
      <c r="HOJ10" s="1548"/>
      <c r="HOK10" s="1547">
        <f t="shared" ref="HOK10" si="2887">HOI10</f>
        <v>95000</v>
      </c>
      <c r="HOL10" s="1548"/>
      <c r="HOM10" s="1547">
        <f t="shared" ref="HOM10" si="2888">HOK10</f>
        <v>95000</v>
      </c>
      <c r="HON10" s="1548"/>
      <c r="HOO10" s="1547">
        <f t="shared" ref="HOO10" si="2889">HOM10</f>
        <v>95000</v>
      </c>
      <c r="HOP10" s="1548"/>
      <c r="HOQ10" s="1547">
        <f t="shared" ref="HOQ10" si="2890">HOO10</f>
        <v>95000</v>
      </c>
      <c r="HOR10" s="1548"/>
      <c r="HOS10" s="1547">
        <f t="shared" ref="HOS10" si="2891">HOQ10</f>
        <v>95000</v>
      </c>
      <c r="HOT10" s="1548"/>
      <c r="HOU10" s="1547">
        <f t="shared" ref="HOU10" si="2892">HOS10</f>
        <v>95000</v>
      </c>
      <c r="HOV10" s="1548"/>
      <c r="HOW10" s="1547">
        <f t="shared" ref="HOW10" si="2893">HOU10</f>
        <v>95000</v>
      </c>
      <c r="HOX10" s="1548"/>
      <c r="HOY10" s="1547">
        <f t="shared" ref="HOY10" si="2894">HOW10</f>
        <v>95000</v>
      </c>
      <c r="HOZ10" s="1548"/>
      <c r="HPA10" s="1547">
        <f t="shared" ref="HPA10" si="2895">HOY10</f>
        <v>95000</v>
      </c>
      <c r="HPB10" s="1548"/>
      <c r="HPC10" s="1547">
        <f t="shared" ref="HPC10" si="2896">HPA10</f>
        <v>95000</v>
      </c>
      <c r="HPD10" s="1548"/>
      <c r="HPE10" s="1547">
        <f t="shared" ref="HPE10" si="2897">HPC10</f>
        <v>95000</v>
      </c>
      <c r="HPF10" s="1548"/>
      <c r="HPG10" s="1547">
        <f t="shared" ref="HPG10" si="2898">HPE10</f>
        <v>95000</v>
      </c>
      <c r="HPH10" s="1548"/>
      <c r="HPI10" s="1547">
        <f t="shared" ref="HPI10" si="2899">HPG10</f>
        <v>95000</v>
      </c>
      <c r="HPJ10" s="1548"/>
      <c r="HPK10" s="1547">
        <f t="shared" ref="HPK10" si="2900">HPI10</f>
        <v>95000</v>
      </c>
      <c r="HPL10" s="1548"/>
      <c r="HPM10" s="1547">
        <f t="shared" ref="HPM10" si="2901">HPK10</f>
        <v>95000</v>
      </c>
      <c r="HPN10" s="1548"/>
      <c r="HPO10" s="1547">
        <f t="shared" ref="HPO10" si="2902">HPM10</f>
        <v>95000</v>
      </c>
      <c r="HPP10" s="1548"/>
      <c r="HPQ10" s="1547">
        <f t="shared" ref="HPQ10" si="2903">HPO10</f>
        <v>95000</v>
      </c>
      <c r="HPR10" s="1548"/>
      <c r="HPS10" s="1547">
        <f t="shared" ref="HPS10" si="2904">HPQ10</f>
        <v>95000</v>
      </c>
      <c r="HPT10" s="1548"/>
      <c r="HPU10" s="1547">
        <f t="shared" ref="HPU10" si="2905">HPS10</f>
        <v>95000</v>
      </c>
      <c r="HPV10" s="1548"/>
      <c r="HPW10" s="1547">
        <f t="shared" ref="HPW10" si="2906">HPU10</f>
        <v>95000</v>
      </c>
      <c r="HPX10" s="1548"/>
      <c r="HPY10" s="1547">
        <f t="shared" ref="HPY10" si="2907">HPW10</f>
        <v>95000</v>
      </c>
      <c r="HPZ10" s="1548"/>
      <c r="HQA10" s="1547">
        <f t="shared" ref="HQA10" si="2908">HPY10</f>
        <v>95000</v>
      </c>
      <c r="HQB10" s="1548"/>
      <c r="HQC10" s="1547">
        <f t="shared" ref="HQC10" si="2909">HQA10</f>
        <v>95000</v>
      </c>
      <c r="HQD10" s="1548"/>
      <c r="HQE10" s="1547">
        <f t="shared" ref="HQE10" si="2910">HQC10</f>
        <v>95000</v>
      </c>
      <c r="HQF10" s="1548"/>
      <c r="HQG10" s="1547">
        <f t="shared" ref="HQG10" si="2911">HQE10</f>
        <v>95000</v>
      </c>
      <c r="HQH10" s="1548"/>
      <c r="HQI10" s="1547">
        <f t="shared" ref="HQI10" si="2912">HQG10</f>
        <v>95000</v>
      </c>
      <c r="HQJ10" s="1548"/>
      <c r="HQK10" s="1547">
        <f t="shared" ref="HQK10" si="2913">HQI10</f>
        <v>95000</v>
      </c>
      <c r="HQL10" s="1548"/>
      <c r="HQM10" s="1547">
        <f t="shared" ref="HQM10" si="2914">HQK10</f>
        <v>95000</v>
      </c>
      <c r="HQN10" s="1548"/>
      <c r="HQO10" s="1547">
        <f t="shared" ref="HQO10" si="2915">HQM10</f>
        <v>95000</v>
      </c>
      <c r="HQP10" s="1548"/>
      <c r="HQQ10" s="1547">
        <f t="shared" ref="HQQ10" si="2916">HQO10</f>
        <v>95000</v>
      </c>
      <c r="HQR10" s="1548"/>
      <c r="HQS10" s="1547">
        <f t="shared" ref="HQS10" si="2917">HQQ10</f>
        <v>95000</v>
      </c>
      <c r="HQT10" s="1548"/>
      <c r="HQU10" s="1547">
        <f t="shared" ref="HQU10" si="2918">HQS10</f>
        <v>95000</v>
      </c>
      <c r="HQV10" s="1548"/>
      <c r="HQW10" s="1547">
        <f t="shared" ref="HQW10" si="2919">HQU10</f>
        <v>95000</v>
      </c>
      <c r="HQX10" s="1548"/>
      <c r="HQY10" s="1547">
        <f t="shared" ref="HQY10" si="2920">HQW10</f>
        <v>95000</v>
      </c>
      <c r="HQZ10" s="1548"/>
      <c r="HRA10" s="1547">
        <f t="shared" ref="HRA10" si="2921">HQY10</f>
        <v>95000</v>
      </c>
      <c r="HRB10" s="1548"/>
      <c r="HRC10" s="1547">
        <f t="shared" ref="HRC10" si="2922">HRA10</f>
        <v>95000</v>
      </c>
      <c r="HRD10" s="1548"/>
      <c r="HRE10" s="1547">
        <f t="shared" ref="HRE10" si="2923">HRC10</f>
        <v>95000</v>
      </c>
      <c r="HRF10" s="1548"/>
      <c r="HRG10" s="1547">
        <f t="shared" ref="HRG10" si="2924">HRE10</f>
        <v>95000</v>
      </c>
      <c r="HRH10" s="1548"/>
      <c r="HRI10" s="1547">
        <f t="shared" ref="HRI10" si="2925">HRG10</f>
        <v>95000</v>
      </c>
      <c r="HRJ10" s="1548"/>
      <c r="HRK10" s="1547">
        <f t="shared" ref="HRK10" si="2926">HRI10</f>
        <v>95000</v>
      </c>
      <c r="HRL10" s="1548"/>
      <c r="HRM10" s="1547">
        <f t="shared" ref="HRM10" si="2927">HRK10</f>
        <v>95000</v>
      </c>
      <c r="HRN10" s="1548"/>
      <c r="HRO10" s="1547">
        <f t="shared" ref="HRO10" si="2928">HRM10</f>
        <v>95000</v>
      </c>
      <c r="HRP10" s="1548"/>
      <c r="HRQ10" s="1547">
        <f t="shared" ref="HRQ10" si="2929">HRO10</f>
        <v>95000</v>
      </c>
      <c r="HRR10" s="1548"/>
      <c r="HRS10" s="1547">
        <f t="shared" ref="HRS10" si="2930">HRQ10</f>
        <v>95000</v>
      </c>
      <c r="HRT10" s="1548"/>
      <c r="HRU10" s="1547">
        <f t="shared" ref="HRU10" si="2931">HRS10</f>
        <v>95000</v>
      </c>
      <c r="HRV10" s="1548"/>
      <c r="HRW10" s="1547">
        <f t="shared" ref="HRW10" si="2932">HRU10</f>
        <v>95000</v>
      </c>
      <c r="HRX10" s="1548"/>
      <c r="HRY10" s="1547">
        <f t="shared" ref="HRY10" si="2933">HRW10</f>
        <v>95000</v>
      </c>
      <c r="HRZ10" s="1548"/>
      <c r="HSA10" s="1547">
        <f t="shared" ref="HSA10" si="2934">HRY10</f>
        <v>95000</v>
      </c>
      <c r="HSB10" s="1548"/>
      <c r="HSC10" s="1547">
        <f t="shared" ref="HSC10" si="2935">HSA10</f>
        <v>95000</v>
      </c>
      <c r="HSD10" s="1548"/>
      <c r="HSE10" s="1547">
        <f t="shared" ref="HSE10" si="2936">HSC10</f>
        <v>95000</v>
      </c>
      <c r="HSF10" s="1548"/>
      <c r="HSG10" s="1547">
        <f t="shared" ref="HSG10" si="2937">HSE10</f>
        <v>95000</v>
      </c>
      <c r="HSH10" s="1548"/>
      <c r="HSI10" s="1547">
        <f t="shared" ref="HSI10" si="2938">HSG10</f>
        <v>95000</v>
      </c>
      <c r="HSJ10" s="1548"/>
      <c r="HSK10" s="1547">
        <f t="shared" ref="HSK10" si="2939">HSI10</f>
        <v>95000</v>
      </c>
      <c r="HSL10" s="1548"/>
      <c r="HSM10" s="1547">
        <f t="shared" ref="HSM10" si="2940">HSK10</f>
        <v>95000</v>
      </c>
      <c r="HSN10" s="1548"/>
      <c r="HSO10" s="1547">
        <f t="shared" ref="HSO10" si="2941">HSM10</f>
        <v>95000</v>
      </c>
      <c r="HSP10" s="1548"/>
      <c r="HSQ10" s="1547">
        <f t="shared" ref="HSQ10" si="2942">HSO10</f>
        <v>95000</v>
      </c>
      <c r="HSR10" s="1548"/>
      <c r="HSS10" s="1547">
        <f t="shared" ref="HSS10" si="2943">HSQ10</f>
        <v>95000</v>
      </c>
      <c r="HST10" s="1548"/>
      <c r="HSU10" s="1547">
        <f t="shared" ref="HSU10" si="2944">HSS10</f>
        <v>95000</v>
      </c>
      <c r="HSV10" s="1548"/>
      <c r="HSW10" s="1547">
        <f t="shared" ref="HSW10" si="2945">HSU10</f>
        <v>95000</v>
      </c>
      <c r="HSX10" s="1548"/>
      <c r="HSY10" s="1547">
        <f t="shared" ref="HSY10" si="2946">HSW10</f>
        <v>95000</v>
      </c>
      <c r="HSZ10" s="1548"/>
      <c r="HTA10" s="1547">
        <f t="shared" ref="HTA10" si="2947">HSY10</f>
        <v>95000</v>
      </c>
      <c r="HTB10" s="1548"/>
      <c r="HTC10" s="1547">
        <f t="shared" ref="HTC10" si="2948">HTA10</f>
        <v>95000</v>
      </c>
      <c r="HTD10" s="1548"/>
      <c r="HTE10" s="1547">
        <f t="shared" ref="HTE10" si="2949">HTC10</f>
        <v>95000</v>
      </c>
      <c r="HTF10" s="1548"/>
      <c r="HTG10" s="1547">
        <f t="shared" ref="HTG10" si="2950">HTE10</f>
        <v>95000</v>
      </c>
      <c r="HTH10" s="1548"/>
      <c r="HTI10" s="1547">
        <f t="shared" ref="HTI10" si="2951">HTG10</f>
        <v>95000</v>
      </c>
      <c r="HTJ10" s="1548"/>
      <c r="HTK10" s="1547">
        <f t="shared" ref="HTK10" si="2952">HTI10</f>
        <v>95000</v>
      </c>
      <c r="HTL10" s="1548"/>
      <c r="HTM10" s="1547">
        <f t="shared" ref="HTM10" si="2953">HTK10</f>
        <v>95000</v>
      </c>
      <c r="HTN10" s="1548"/>
      <c r="HTO10" s="1547">
        <f t="shared" ref="HTO10" si="2954">HTM10</f>
        <v>95000</v>
      </c>
      <c r="HTP10" s="1548"/>
      <c r="HTQ10" s="1547">
        <f t="shared" ref="HTQ10" si="2955">HTO10</f>
        <v>95000</v>
      </c>
      <c r="HTR10" s="1548"/>
      <c r="HTS10" s="1547">
        <f t="shared" ref="HTS10" si="2956">HTQ10</f>
        <v>95000</v>
      </c>
      <c r="HTT10" s="1548"/>
      <c r="HTU10" s="1547">
        <f t="shared" ref="HTU10" si="2957">HTS10</f>
        <v>95000</v>
      </c>
      <c r="HTV10" s="1548"/>
      <c r="HTW10" s="1547">
        <f t="shared" ref="HTW10" si="2958">HTU10</f>
        <v>95000</v>
      </c>
      <c r="HTX10" s="1548"/>
      <c r="HTY10" s="1547">
        <f t="shared" ref="HTY10" si="2959">HTW10</f>
        <v>95000</v>
      </c>
      <c r="HTZ10" s="1548"/>
      <c r="HUA10" s="1547">
        <f t="shared" ref="HUA10" si="2960">HTY10</f>
        <v>95000</v>
      </c>
      <c r="HUB10" s="1548"/>
      <c r="HUC10" s="1547">
        <f t="shared" ref="HUC10" si="2961">HUA10</f>
        <v>95000</v>
      </c>
      <c r="HUD10" s="1548"/>
      <c r="HUE10" s="1547">
        <f t="shared" ref="HUE10" si="2962">HUC10</f>
        <v>95000</v>
      </c>
      <c r="HUF10" s="1548"/>
      <c r="HUG10" s="1547">
        <f t="shared" ref="HUG10" si="2963">HUE10</f>
        <v>95000</v>
      </c>
      <c r="HUH10" s="1548"/>
      <c r="HUI10" s="1547">
        <f t="shared" ref="HUI10" si="2964">HUG10</f>
        <v>95000</v>
      </c>
      <c r="HUJ10" s="1548"/>
      <c r="HUK10" s="1547">
        <f t="shared" ref="HUK10" si="2965">HUI10</f>
        <v>95000</v>
      </c>
      <c r="HUL10" s="1548"/>
      <c r="HUM10" s="1547">
        <f t="shared" ref="HUM10" si="2966">HUK10</f>
        <v>95000</v>
      </c>
      <c r="HUN10" s="1548"/>
      <c r="HUO10" s="1547">
        <f t="shared" ref="HUO10" si="2967">HUM10</f>
        <v>95000</v>
      </c>
      <c r="HUP10" s="1548"/>
      <c r="HUQ10" s="1547">
        <f t="shared" ref="HUQ10" si="2968">HUO10</f>
        <v>95000</v>
      </c>
      <c r="HUR10" s="1548"/>
      <c r="HUS10" s="1547">
        <f t="shared" ref="HUS10" si="2969">HUQ10</f>
        <v>95000</v>
      </c>
      <c r="HUT10" s="1548"/>
      <c r="HUU10" s="1547">
        <f t="shared" ref="HUU10" si="2970">HUS10</f>
        <v>95000</v>
      </c>
      <c r="HUV10" s="1548"/>
      <c r="HUW10" s="1547">
        <f t="shared" ref="HUW10" si="2971">HUU10</f>
        <v>95000</v>
      </c>
      <c r="HUX10" s="1548"/>
      <c r="HUY10" s="1547">
        <f t="shared" ref="HUY10" si="2972">HUW10</f>
        <v>95000</v>
      </c>
      <c r="HUZ10" s="1548"/>
      <c r="HVA10" s="1547">
        <f t="shared" ref="HVA10" si="2973">HUY10</f>
        <v>95000</v>
      </c>
      <c r="HVB10" s="1548"/>
      <c r="HVC10" s="1547">
        <f t="shared" ref="HVC10" si="2974">HVA10</f>
        <v>95000</v>
      </c>
      <c r="HVD10" s="1548"/>
      <c r="HVE10" s="1547">
        <f t="shared" ref="HVE10" si="2975">HVC10</f>
        <v>95000</v>
      </c>
      <c r="HVF10" s="1548"/>
      <c r="HVG10" s="1547">
        <f t="shared" ref="HVG10" si="2976">HVE10</f>
        <v>95000</v>
      </c>
      <c r="HVH10" s="1548"/>
      <c r="HVI10" s="1547">
        <f t="shared" ref="HVI10" si="2977">HVG10</f>
        <v>95000</v>
      </c>
      <c r="HVJ10" s="1548"/>
      <c r="HVK10" s="1547">
        <f t="shared" ref="HVK10" si="2978">HVI10</f>
        <v>95000</v>
      </c>
      <c r="HVL10" s="1548"/>
      <c r="HVM10" s="1547">
        <f t="shared" ref="HVM10" si="2979">HVK10</f>
        <v>95000</v>
      </c>
      <c r="HVN10" s="1548"/>
      <c r="HVO10" s="1547">
        <f t="shared" ref="HVO10" si="2980">HVM10</f>
        <v>95000</v>
      </c>
      <c r="HVP10" s="1548"/>
      <c r="HVQ10" s="1547">
        <f t="shared" ref="HVQ10" si="2981">HVO10</f>
        <v>95000</v>
      </c>
      <c r="HVR10" s="1548"/>
      <c r="HVS10" s="1547">
        <f t="shared" ref="HVS10" si="2982">HVQ10</f>
        <v>95000</v>
      </c>
      <c r="HVT10" s="1548"/>
      <c r="HVU10" s="1547">
        <f t="shared" ref="HVU10" si="2983">HVS10</f>
        <v>95000</v>
      </c>
      <c r="HVV10" s="1548"/>
      <c r="HVW10" s="1547">
        <f t="shared" ref="HVW10" si="2984">HVU10</f>
        <v>95000</v>
      </c>
      <c r="HVX10" s="1548"/>
      <c r="HVY10" s="1547">
        <f t="shared" ref="HVY10" si="2985">HVW10</f>
        <v>95000</v>
      </c>
      <c r="HVZ10" s="1548"/>
      <c r="HWA10" s="1547">
        <f t="shared" ref="HWA10" si="2986">HVY10</f>
        <v>95000</v>
      </c>
      <c r="HWB10" s="1548"/>
      <c r="HWC10" s="1547">
        <f t="shared" ref="HWC10" si="2987">HWA10</f>
        <v>95000</v>
      </c>
      <c r="HWD10" s="1548"/>
      <c r="HWE10" s="1547">
        <f t="shared" ref="HWE10" si="2988">HWC10</f>
        <v>95000</v>
      </c>
      <c r="HWF10" s="1548"/>
      <c r="HWG10" s="1547">
        <f t="shared" ref="HWG10" si="2989">HWE10</f>
        <v>95000</v>
      </c>
      <c r="HWH10" s="1548"/>
      <c r="HWI10" s="1547">
        <f t="shared" ref="HWI10" si="2990">HWG10</f>
        <v>95000</v>
      </c>
      <c r="HWJ10" s="1548"/>
      <c r="HWK10" s="1547">
        <f t="shared" ref="HWK10" si="2991">HWI10</f>
        <v>95000</v>
      </c>
      <c r="HWL10" s="1548"/>
      <c r="HWM10" s="1547">
        <f t="shared" ref="HWM10" si="2992">HWK10</f>
        <v>95000</v>
      </c>
      <c r="HWN10" s="1548"/>
      <c r="HWO10" s="1547">
        <f t="shared" ref="HWO10" si="2993">HWM10</f>
        <v>95000</v>
      </c>
      <c r="HWP10" s="1548"/>
      <c r="HWQ10" s="1547">
        <f t="shared" ref="HWQ10" si="2994">HWO10</f>
        <v>95000</v>
      </c>
      <c r="HWR10" s="1548"/>
      <c r="HWS10" s="1547">
        <f t="shared" ref="HWS10" si="2995">HWQ10</f>
        <v>95000</v>
      </c>
      <c r="HWT10" s="1548"/>
      <c r="HWU10" s="1547">
        <f t="shared" ref="HWU10" si="2996">HWS10</f>
        <v>95000</v>
      </c>
      <c r="HWV10" s="1548"/>
      <c r="HWW10" s="1547">
        <f t="shared" ref="HWW10" si="2997">HWU10</f>
        <v>95000</v>
      </c>
      <c r="HWX10" s="1548"/>
      <c r="HWY10" s="1547">
        <f t="shared" ref="HWY10" si="2998">HWW10</f>
        <v>95000</v>
      </c>
      <c r="HWZ10" s="1548"/>
      <c r="HXA10" s="1547">
        <f t="shared" ref="HXA10" si="2999">HWY10</f>
        <v>95000</v>
      </c>
      <c r="HXB10" s="1548"/>
      <c r="HXC10" s="1547">
        <f t="shared" ref="HXC10" si="3000">HXA10</f>
        <v>95000</v>
      </c>
      <c r="HXD10" s="1548"/>
      <c r="HXE10" s="1547">
        <f t="shared" ref="HXE10" si="3001">HXC10</f>
        <v>95000</v>
      </c>
      <c r="HXF10" s="1548"/>
      <c r="HXG10" s="1547">
        <f t="shared" ref="HXG10" si="3002">HXE10</f>
        <v>95000</v>
      </c>
      <c r="HXH10" s="1548"/>
      <c r="HXI10" s="1547">
        <f t="shared" ref="HXI10" si="3003">HXG10</f>
        <v>95000</v>
      </c>
      <c r="HXJ10" s="1548"/>
      <c r="HXK10" s="1547">
        <f t="shared" ref="HXK10" si="3004">HXI10</f>
        <v>95000</v>
      </c>
      <c r="HXL10" s="1548"/>
      <c r="HXM10" s="1547">
        <f t="shared" ref="HXM10" si="3005">HXK10</f>
        <v>95000</v>
      </c>
      <c r="HXN10" s="1548"/>
      <c r="HXO10" s="1547">
        <f t="shared" ref="HXO10" si="3006">HXM10</f>
        <v>95000</v>
      </c>
      <c r="HXP10" s="1548"/>
      <c r="HXQ10" s="1547">
        <f t="shared" ref="HXQ10" si="3007">HXO10</f>
        <v>95000</v>
      </c>
      <c r="HXR10" s="1548"/>
      <c r="HXS10" s="1547">
        <f t="shared" ref="HXS10" si="3008">HXQ10</f>
        <v>95000</v>
      </c>
      <c r="HXT10" s="1548"/>
      <c r="HXU10" s="1547">
        <f t="shared" ref="HXU10" si="3009">HXS10</f>
        <v>95000</v>
      </c>
      <c r="HXV10" s="1548"/>
      <c r="HXW10" s="1547">
        <f t="shared" ref="HXW10" si="3010">HXU10</f>
        <v>95000</v>
      </c>
      <c r="HXX10" s="1548"/>
      <c r="HXY10" s="1547">
        <f t="shared" ref="HXY10" si="3011">HXW10</f>
        <v>95000</v>
      </c>
      <c r="HXZ10" s="1548"/>
      <c r="HYA10" s="1547">
        <f t="shared" ref="HYA10" si="3012">HXY10</f>
        <v>95000</v>
      </c>
      <c r="HYB10" s="1548"/>
      <c r="HYC10" s="1547">
        <f t="shared" ref="HYC10" si="3013">HYA10</f>
        <v>95000</v>
      </c>
      <c r="HYD10" s="1548"/>
      <c r="HYE10" s="1547">
        <f t="shared" ref="HYE10" si="3014">HYC10</f>
        <v>95000</v>
      </c>
      <c r="HYF10" s="1548"/>
      <c r="HYG10" s="1547">
        <f t="shared" ref="HYG10" si="3015">HYE10</f>
        <v>95000</v>
      </c>
      <c r="HYH10" s="1548"/>
      <c r="HYI10" s="1547">
        <f t="shared" ref="HYI10" si="3016">HYG10</f>
        <v>95000</v>
      </c>
      <c r="HYJ10" s="1548"/>
      <c r="HYK10" s="1547">
        <f t="shared" ref="HYK10" si="3017">HYI10</f>
        <v>95000</v>
      </c>
      <c r="HYL10" s="1548"/>
      <c r="HYM10" s="1547">
        <f t="shared" ref="HYM10" si="3018">HYK10</f>
        <v>95000</v>
      </c>
      <c r="HYN10" s="1548"/>
      <c r="HYO10" s="1547">
        <f t="shared" ref="HYO10" si="3019">HYM10</f>
        <v>95000</v>
      </c>
      <c r="HYP10" s="1548"/>
      <c r="HYQ10" s="1547">
        <f t="shared" ref="HYQ10" si="3020">HYO10</f>
        <v>95000</v>
      </c>
      <c r="HYR10" s="1548"/>
      <c r="HYS10" s="1547">
        <f t="shared" ref="HYS10" si="3021">HYQ10</f>
        <v>95000</v>
      </c>
      <c r="HYT10" s="1548"/>
      <c r="HYU10" s="1547">
        <f t="shared" ref="HYU10" si="3022">HYS10</f>
        <v>95000</v>
      </c>
      <c r="HYV10" s="1548"/>
      <c r="HYW10" s="1547">
        <f t="shared" ref="HYW10" si="3023">HYU10</f>
        <v>95000</v>
      </c>
      <c r="HYX10" s="1548"/>
      <c r="HYY10" s="1547">
        <f t="shared" ref="HYY10" si="3024">HYW10</f>
        <v>95000</v>
      </c>
      <c r="HYZ10" s="1548"/>
      <c r="HZA10" s="1547">
        <f t="shared" ref="HZA10" si="3025">HYY10</f>
        <v>95000</v>
      </c>
      <c r="HZB10" s="1548"/>
      <c r="HZC10" s="1547">
        <f t="shared" ref="HZC10" si="3026">HZA10</f>
        <v>95000</v>
      </c>
      <c r="HZD10" s="1548"/>
      <c r="HZE10" s="1547">
        <f t="shared" ref="HZE10" si="3027">HZC10</f>
        <v>95000</v>
      </c>
      <c r="HZF10" s="1548"/>
      <c r="HZG10" s="1547">
        <f t="shared" ref="HZG10" si="3028">HZE10</f>
        <v>95000</v>
      </c>
      <c r="HZH10" s="1548"/>
      <c r="HZI10" s="1547">
        <f t="shared" ref="HZI10" si="3029">HZG10</f>
        <v>95000</v>
      </c>
      <c r="HZJ10" s="1548"/>
      <c r="HZK10" s="1547">
        <f t="shared" ref="HZK10" si="3030">HZI10</f>
        <v>95000</v>
      </c>
      <c r="HZL10" s="1548"/>
      <c r="HZM10" s="1547">
        <f t="shared" ref="HZM10" si="3031">HZK10</f>
        <v>95000</v>
      </c>
      <c r="HZN10" s="1548"/>
      <c r="HZO10" s="1547">
        <f t="shared" ref="HZO10" si="3032">HZM10</f>
        <v>95000</v>
      </c>
      <c r="HZP10" s="1548"/>
      <c r="HZQ10" s="1547">
        <f t="shared" ref="HZQ10" si="3033">HZO10</f>
        <v>95000</v>
      </c>
      <c r="HZR10" s="1548"/>
      <c r="HZS10" s="1547">
        <f t="shared" ref="HZS10" si="3034">HZQ10</f>
        <v>95000</v>
      </c>
      <c r="HZT10" s="1548"/>
      <c r="HZU10" s="1547">
        <f t="shared" ref="HZU10" si="3035">HZS10</f>
        <v>95000</v>
      </c>
      <c r="HZV10" s="1548"/>
      <c r="HZW10" s="1547">
        <f t="shared" ref="HZW10" si="3036">HZU10</f>
        <v>95000</v>
      </c>
      <c r="HZX10" s="1548"/>
      <c r="HZY10" s="1547">
        <f t="shared" ref="HZY10" si="3037">HZW10</f>
        <v>95000</v>
      </c>
      <c r="HZZ10" s="1548"/>
      <c r="IAA10" s="1547">
        <f t="shared" ref="IAA10" si="3038">HZY10</f>
        <v>95000</v>
      </c>
      <c r="IAB10" s="1548"/>
      <c r="IAC10" s="1547">
        <f t="shared" ref="IAC10" si="3039">IAA10</f>
        <v>95000</v>
      </c>
      <c r="IAD10" s="1548"/>
      <c r="IAE10" s="1547">
        <f t="shared" ref="IAE10" si="3040">IAC10</f>
        <v>95000</v>
      </c>
      <c r="IAF10" s="1548"/>
      <c r="IAG10" s="1547">
        <f t="shared" ref="IAG10" si="3041">IAE10</f>
        <v>95000</v>
      </c>
      <c r="IAH10" s="1548"/>
      <c r="IAI10" s="1547">
        <f t="shared" ref="IAI10" si="3042">IAG10</f>
        <v>95000</v>
      </c>
      <c r="IAJ10" s="1548"/>
      <c r="IAK10" s="1547">
        <f t="shared" ref="IAK10" si="3043">IAI10</f>
        <v>95000</v>
      </c>
      <c r="IAL10" s="1548"/>
      <c r="IAM10" s="1547">
        <f t="shared" ref="IAM10" si="3044">IAK10</f>
        <v>95000</v>
      </c>
      <c r="IAN10" s="1548"/>
      <c r="IAO10" s="1547">
        <f t="shared" ref="IAO10" si="3045">IAM10</f>
        <v>95000</v>
      </c>
      <c r="IAP10" s="1548"/>
      <c r="IAQ10" s="1547">
        <f t="shared" ref="IAQ10" si="3046">IAO10</f>
        <v>95000</v>
      </c>
      <c r="IAR10" s="1548"/>
      <c r="IAS10" s="1547">
        <f t="shared" ref="IAS10" si="3047">IAQ10</f>
        <v>95000</v>
      </c>
      <c r="IAT10" s="1548"/>
      <c r="IAU10" s="1547">
        <f t="shared" ref="IAU10" si="3048">IAS10</f>
        <v>95000</v>
      </c>
      <c r="IAV10" s="1548"/>
      <c r="IAW10" s="1547">
        <f t="shared" ref="IAW10" si="3049">IAU10</f>
        <v>95000</v>
      </c>
      <c r="IAX10" s="1548"/>
      <c r="IAY10" s="1547">
        <f t="shared" ref="IAY10" si="3050">IAW10</f>
        <v>95000</v>
      </c>
      <c r="IAZ10" s="1548"/>
      <c r="IBA10" s="1547">
        <f t="shared" ref="IBA10" si="3051">IAY10</f>
        <v>95000</v>
      </c>
      <c r="IBB10" s="1548"/>
      <c r="IBC10" s="1547">
        <f t="shared" ref="IBC10" si="3052">IBA10</f>
        <v>95000</v>
      </c>
      <c r="IBD10" s="1548"/>
      <c r="IBE10" s="1547">
        <f t="shared" ref="IBE10" si="3053">IBC10</f>
        <v>95000</v>
      </c>
      <c r="IBF10" s="1548"/>
      <c r="IBG10" s="1547">
        <f t="shared" ref="IBG10" si="3054">IBE10</f>
        <v>95000</v>
      </c>
      <c r="IBH10" s="1548"/>
      <c r="IBI10" s="1547">
        <f t="shared" ref="IBI10" si="3055">IBG10</f>
        <v>95000</v>
      </c>
      <c r="IBJ10" s="1548"/>
      <c r="IBK10" s="1547">
        <f t="shared" ref="IBK10" si="3056">IBI10</f>
        <v>95000</v>
      </c>
      <c r="IBL10" s="1548"/>
      <c r="IBM10" s="1547">
        <f t="shared" ref="IBM10" si="3057">IBK10</f>
        <v>95000</v>
      </c>
      <c r="IBN10" s="1548"/>
      <c r="IBO10" s="1547">
        <f t="shared" ref="IBO10" si="3058">IBM10</f>
        <v>95000</v>
      </c>
      <c r="IBP10" s="1548"/>
      <c r="IBQ10" s="1547">
        <f t="shared" ref="IBQ10" si="3059">IBO10</f>
        <v>95000</v>
      </c>
      <c r="IBR10" s="1548"/>
      <c r="IBS10" s="1547">
        <f t="shared" ref="IBS10" si="3060">IBQ10</f>
        <v>95000</v>
      </c>
      <c r="IBT10" s="1548"/>
      <c r="IBU10" s="1547">
        <f t="shared" ref="IBU10" si="3061">IBS10</f>
        <v>95000</v>
      </c>
      <c r="IBV10" s="1548"/>
      <c r="IBW10" s="1547">
        <f t="shared" ref="IBW10" si="3062">IBU10</f>
        <v>95000</v>
      </c>
      <c r="IBX10" s="1548"/>
      <c r="IBY10" s="1547">
        <f t="shared" ref="IBY10" si="3063">IBW10</f>
        <v>95000</v>
      </c>
      <c r="IBZ10" s="1548"/>
      <c r="ICA10" s="1547">
        <f t="shared" ref="ICA10" si="3064">IBY10</f>
        <v>95000</v>
      </c>
      <c r="ICB10" s="1548"/>
      <c r="ICC10" s="1547">
        <f t="shared" ref="ICC10" si="3065">ICA10</f>
        <v>95000</v>
      </c>
      <c r="ICD10" s="1548"/>
      <c r="ICE10" s="1547">
        <f t="shared" ref="ICE10" si="3066">ICC10</f>
        <v>95000</v>
      </c>
      <c r="ICF10" s="1548"/>
      <c r="ICG10" s="1547">
        <f t="shared" ref="ICG10" si="3067">ICE10</f>
        <v>95000</v>
      </c>
      <c r="ICH10" s="1548"/>
      <c r="ICI10" s="1547">
        <f t="shared" ref="ICI10" si="3068">ICG10</f>
        <v>95000</v>
      </c>
      <c r="ICJ10" s="1548"/>
      <c r="ICK10" s="1547">
        <f t="shared" ref="ICK10" si="3069">ICI10</f>
        <v>95000</v>
      </c>
      <c r="ICL10" s="1548"/>
      <c r="ICM10" s="1547">
        <f t="shared" ref="ICM10" si="3070">ICK10</f>
        <v>95000</v>
      </c>
      <c r="ICN10" s="1548"/>
      <c r="ICO10" s="1547">
        <f t="shared" ref="ICO10" si="3071">ICM10</f>
        <v>95000</v>
      </c>
      <c r="ICP10" s="1548"/>
      <c r="ICQ10" s="1547">
        <f t="shared" ref="ICQ10" si="3072">ICO10</f>
        <v>95000</v>
      </c>
      <c r="ICR10" s="1548"/>
      <c r="ICS10" s="1547">
        <f t="shared" ref="ICS10" si="3073">ICQ10</f>
        <v>95000</v>
      </c>
      <c r="ICT10" s="1548"/>
      <c r="ICU10" s="1547">
        <f t="shared" ref="ICU10" si="3074">ICS10</f>
        <v>95000</v>
      </c>
      <c r="ICV10" s="1548"/>
      <c r="ICW10" s="1547">
        <f t="shared" ref="ICW10" si="3075">ICU10</f>
        <v>95000</v>
      </c>
      <c r="ICX10" s="1548"/>
      <c r="ICY10" s="1547">
        <f t="shared" ref="ICY10" si="3076">ICW10</f>
        <v>95000</v>
      </c>
      <c r="ICZ10" s="1548"/>
      <c r="IDA10" s="1547">
        <f t="shared" ref="IDA10" si="3077">ICY10</f>
        <v>95000</v>
      </c>
      <c r="IDB10" s="1548"/>
      <c r="IDC10" s="1547">
        <f t="shared" ref="IDC10" si="3078">IDA10</f>
        <v>95000</v>
      </c>
      <c r="IDD10" s="1548"/>
      <c r="IDE10" s="1547">
        <f t="shared" ref="IDE10" si="3079">IDC10</f>
        <v>95000</v>
      </c>
      <c r="IDF10" s="1548"/>
      <c r="IDG10" s="1547">
        <f t="shared" ref="IDG10" si="3080">IDE10</f>
        <v>95000</v>
      </c>
      <c r="IDH10" s="1548"/>
      <c r="IDI10" s="1547">
        <f t="shared" ref="IDI10" si="3081">IDG10</f>
        <v>95000</v>
      </c>
      <c r="IDJ10" s="1548"/>
      <c r="IDK10" s="1547">
        <f t="shared" ref="IDK10" si="3082">IDI10</f>
        <v>95000</v>
      </c>
      <c r="IDL10" s="1548"/>
      <c r="IDM10" s="1547">
        <f t="shared" ref="IDM10" si="3083">IDK10</f>
        <v>95000</v>
      </c>
      <c r="IDN10" s="1548"/>
      <c r="IDO10" s="1547">
        <f t="shared" ref="IDO10" si="3084">IDM10</f>
        <v>95000</v>
      </c>
      <c r="IDP10" s="1548"/>
      <c r="IDQ10" s="1547">
        <f t="shared" ref="IDQ10" si="3085">IDO10</f>
        <v>95000</v>
      </c>
      <c r="IDR10" s="1548"/>
      <c r="IDS10" s="1547">
        <f t="shared" ref="IDS10" si="3086">IDQ10</f>
        <v>95000</v>
      </c>
      <c r="IDT10" s="1548"/>
      <c r="IDU10" s="1547">
        <f t="shared" ref="IDU10" si="3087">IDS10</f>
        <v>95000</v>
      </c>
      <c r="IDV10" s="1548"/>
      <c r="IDW10" s="1547">
        <f t="shared" ref="IDW10" si="3088">IDU10</f>
        <v>95000</v>
      </c>
      <c r="IDX10" s="1548"/>
      <c r="IDY10" s="1547">
        <f t="shared" ref="IDY10" si="3089">IDW10</f>
        <v>95000</v>
      </c>
      <c r="IDZ10" s="1548"/>
      <c r="IEA10" s="1547">
        <f t="shared" ref="IEA10" si="3090">IDY10</f>
        <v>95000</v>
      </c>
      <c r="IEB10" s="1548"/>
      <c r="IEC10" s="1547">
        <f t="shared" ref="IEC10" si="3091">IEA10</f>
        <v>95000</v>
      </c>
      <c r="IED10" s="1548"/>
      <c r="IEE10" s="1547">
        <f t="shared" ref="IEE10" si="3092">IEC10</f>
        <v>95000</v>
      </c>
      <c r="IEF10" s="1548"/>
      <c r="IEG10" s="1547">
        <f t="shared" ref="IEG10" si="3093">IEE10</f>
        <v>95000</v>
      </c>
      <c r="IEH10" s="1548"/>
      <c r="IEI10" s="1547">
        <f t="shared" ref="IEI10" si="3094">IEG10</f>
        <v>95000</v>
      </c>
      <c r="IEJ10" s="1548"/>
      <c r="IEK10" s="1547">
        <f t="shared" ref="IEK10" si="3095">IEI10</f>
        <v>95000</v>
      </c>
      <c r="IEL10" s="1548"/>
      <c r="IEM10" s="1547">
        <f t="shared" ref="IEM10" si="3096">IEK10</f>
        <v>95000</v>
      </c>
      <c r="IEN10" s="1548"/>
      <c r="IEO10" s="1547">
        <f t="shared" ref="IEO10" si="3097">IEM10</f>
        <v>95000</v>
      </c>
      <c r="IEP10" s="1548"/>
      <c r="IEQ10" s="1547">
        <f t="shared" ref="IEQ10" si="3098">IEO10</f>
        <v>95000</v>
      </c>
      <c r="IER10" s="1548"/>
      <c r="IES10" s="1547">
        <f t="shared" ref="IES10" si="3099">IEQ10</f>
        <v>95000</v>
      </c>
      <c r="IET10" s="1548"/>
      <c r="IEU10" s="1547">
        <f t="shared" ref="IEU10" si="3100">IES10</f>
        <v>95000</v>
      </c>
      <c r="IEV10" s="1548"/>
      <c r="IEW10" s="1547">
        <f t="shared" ref="IEW10" si="3101">IEU10</f>
        <v>95000</v>
      </c>
      <c r="IEX10" s="1548"/>
      <c r="IEY10" s="1547">
        <f t="shared" ref="IEY10" si="3102">IEW10</f>
        <v>95000</v>
      </c>
      <c r="IEZ10" s="1548"/>
      <c r="IFA10" s="1547">
        <f t="shared" ref="IFA10" si="3103">IEY10</f>
        <v>95000</v>
      </c>
      <c r="IFB10" s="1548"/>
      <c r="IFC10" s="1547">
        <f t="shared" ref="IFC10" si="3104">IFA10</f>
        <v>95000</v>
      </c>
      <c r="IFD10" s="1548"/>
      <c r="IFE10" s="1547">
        <f t="shared" ref="IFE10" si="3105">IFC10</f>
        <v>95000</v>
      </c>
      <c r="IFF10" s="1548"/>
      <c r="IFG10" s="1547">
        <f t="shared" ref="IFG10" si="3106">IFE10</f>
        <v>95000</v>
      </c>
      <c r="IFH10" s="1548"/>
      <c r="IFI10" s="1547">
        <f t="shared" ref="IFI10" si="3107">IFG10</f>
        <v>95000</v>
      </c>
      <c r="IFJ10" s="1548"/>
      <c r="IFK10" s="1547">
        <f t="shared" ref="IFK10" si="3108">IFI10</f>
        <v>95000</v>
      </c>
      <c r="IFL10" s="1548"/>
      <c r="IFM10" s="1547">
        <f t="shared" ref="IFM10" si="3109">IFK10</f>
        <v>95000</v>
      </c>
      <c r="IFN10" s="1548"/>
      <c r="IFO10" s="1547">
        <f t="shared" ref="IFO10" si="3110">IFM10</f>
        <v>95000</v>
      </c>
      <c r="IFP10" s="1548"/>
      <c r="IFQ10" s="1547">
        <f t="shared" ref="IFQ10" si="3111">IFO10</f>
        <v>95000</v>
      </c>
      <c r="IFR10" s="1548"/>
      <c r="IFS10" s="1547">
        <f t="shared" ref="IFS10" si="3112">IFQ10</f>
        <v>95000</v>
      </c>
      <c r="IFT10" s="1548"/>
      <c r="IFU10" s="1547">
        <f t="shared" ref="IFU10" si="3113">IFS10</f>
        <v>95000</v>
      </c>
      <c r="IFV10" s="1548"/>
      <c r="IFW10" s="1547">
        <f t="shared" ref="IFW10" si="3114">IFU10</f>
        <v>95000</v>
      </c>
      <c r="IFX10" s="1548"/>
      <c r="IFY10" s="1547">
        <f t="shared" ref="IFY10" si="3115">IFW10</f>
        <v>95000</v>
      </c>
      <c r="IFZ10" s="1548"/>
      <c r="IGA10" s="1547">
        <f t="shared" ref="IGA10" si="3116">IFY10</f>
        <v>95000</v>
      </c>
      <c r="IGB10" s="1548"/>
      <c r="IGC10" s="1547">
        <f t="shared" ref="IGC10" si="3117">IGA10</f>
        <v>95000</v>
      </c>
      <c r="IGD10" s="1548"/>
      <c r="IGE10" s="1547">
        <f t="shared" ref="IGE10" si="3118">IGC10</f>
        <v>95000</v>
      </c>
      <c r="IGF10" s="1548"/>
      <c r="IGG10" s="1547">
        <f t="shared" ref="IGG10" si="3119">IGE10</f>
        <v>95000</v>
      </c>
      <c r="IGH10" s="1548"/>
      <c r="IGI10" s="1547">
        <f t="shared" ref="IGI10" si="3120">IGG10</f>
        <v>95000</v>
      </c>
      <c r="IGJ10" s="1548"/>
      <c r="IGK10" s="1547">
        <f t="shared" ref="IGK10" si="3121">IGI10</f>
        <v>95000</v>
      </c>
      <c r="IGL10" s="1548"/>
      <c r="IGM10" s="1547">
        <f t="shared" ref="IGM10" si="3122">IGK10</f>
        <v>95000</v>
      </c>
      <c r="IGN10" s="1548"/>
      <c r="IGO10" s="1547">
        <f t="shared" ref="IGO10" si="3123">IGM10</f>
        <v>95000</v>
      </c>
      <c r="IGP10" s="1548"/>
      <c r="IGQ10" s="1547">
        <f t="shared" ref="IGQ10" si="3124">IGO10</f>
        <v>95000</v>
      </c>
      <c r="IGR10" s="1548"/>
      <c r="IGS10" s="1547">
        <f t="shared" ref="IGS10" si="3125">IGQ10</f>
        <v>95000</v>
      </c>
      <c r="IGT10" s="1548"/>
      <c r="IGU10" s="1547">
        <f t="shared" ref="IGU10" si="3126">IGS10</f>
        <v>95000</v>
      </c>
      <c r="IGV10" s="1548"/>
      <c r="IGW10" s="1547">
        <f t="shared" ref="IGW10" si="3127">IGU10</f>
        <v>95000</v>
      </c>
      <c r="IGX10" s="1548"/>
      <c r="IGY10" s="1547">
        <f t="shared" ref="IGY10" si="3128">IGW10</f>
        <v>95000</v>
      </c>
      <c r="IGZ10" s="1548"/>
      <c r="IHA10" s="1547">
        <f t="shared" ref="IHA10" si="3129">IGY10</f>
        <v>95000</v>
      </c>
      <c r="IHB10" s="1548"/>
      <c r="IHC10" s="1547">
        <f t="shared" ref="IHC10" si="3130">IHA10</f>
        <v>95000</v>
      </c>
      <c r="IHD10" s="1548"/>
      <c r="IHE10" s="1547">
        <f t="shared" ref="IHE10" si="3131">IHC10</f>
        <v>95000</v>
      </c>
      <c r="IHF10" s="1548"/>
      <c r="IHG10" s="1547">
        <f t="shared" ref="IHG10" si="3132">IHE10</f>
        <v>95000</v>
      </c>
      <c r="IHH10" s="1548"/>
      <c r="IHI10" s="1547">
        <f t="shared" ref="IHI10" si="3133">IHG10</f>
        <v>95000</v>
      </c>
      <c r="IHJ10" s="1548"/>
      <c r="IHK10" s="1547">
        <f t="shared" ref="IHK10" si="3134">IHI10</f>
        <v>95000</v>
      </c>
      <c r="IHL10" s="1548"/>
      <c r="IHM10" s="1547">
        <f t="shared" ref="IHM10" si="3135">IHK10</f>
        <v>95000</v>
      </c>
      <c r="IHN10" s="1548"/>
      <c r="IHO10" s="1547">
        <f t="shared" ref="IHO10" si="3136">IHM10</f>
        <v>95000</v>
      </c>
      <c r="IHP10" s="1548"/>
      <c r="IHQ10" s="1547">
        <f t="shared" ref="IHQ10" si="3137">IHO10</f>
        <v>95000</v>
      </c>
      <c r="IHR10" s="1548"/>
      <c r="IHS10" s="1547">
        <f t="shared" ref="IHS10" si="3138">IHQ10</f>
        <v>95000</v>
      </c>
      <c r="IHT10" s="1548"/>
      <c r="IHU10" s="1547">
        <f t="shared" ref="IHU10" si="3139">IHS10</f>
        <v>95000</v>
      </c>
      <c r="IHV10" s="1548"/>
      <c r="IHW10" s="1547">
        <f t="shared" ref="IHW10" si="3140">IHU10</f>
        <v>95000</v>
      </c>
      <c r="IHX10" s="1548"/>
      <c r="IHY10" s="1547">
        <f t="shared" ref="IHY10" si="3141">IHW10</f>
        <v>95000</v>
      </c>
      <c r="IHZ10" s="1548"/>
      <c r="IIA10" s="1547">
        <f t="shared" ref="IIA10" si="3142">IHY10</f>
        <v>95000</v>
      </c>
      <c r="IIB10" s="1548"/>
      <c r="IIC10" s="1547">
        <f t="shared" ref="IIC10" si="3143">IIA10</f>
        <v>95000</v>
      </c>
      <c r="IID10" s="1548"/>
      <c r="IIE10" s="1547">
        <f t="shared" ref="IIE10" si="3144">IIC10</f>
        <v>95000</v>
      </c>
      <c r="IIF10" s="1548"/>
      <c r="IIG10" s="1547">
        <f t="shared" ref="IIG10" si="3145">IIE10</f>
        <v>95000</v>
      </c>
      <c r="IIH10" s="1548"/>
      <c r="III10" s="1547">
        <f t="shared" ref="III10" si="3146">IIG10</f>
        <v>95000</v>
      </c>
      <c r="IIJ10" s="1548"/>
      <c r="IIK10" s="1547">
        <f t="shared" ref="IIK10" si="3147">III10</f>
        <v>95000</v>
      </c>
      <c r="IIL10" s="1548"/>
      <c r="IIM10" s="1547">
        <f t="shared" ref="IIM10" si="3148">IIK10</f>
        <v>95000</v>
      </c>
      <c r="IIN10" s="1548"/>
      <c r="IIO10" s="1547">
        <f t="shared" ref="IIO10" si="3149">IIM10</f>
        <v>95000</v>
      </c>
      <c r="IIP10" s="1548"/>
      <c r="IIQ10" s="1547">
        <f t="shared" ref="IIQ10" si="3150">IIO10</f>
        <v>95000</v>
      </c>
      <c r="IIR10" s="1548"/>
      <c r="IIS10" s="1547">
        <f t="shared" ref="IIS10" si="3151">IIQ10</f>
        <v>95000</v>
      </c>
      <c r="IIT10" s="1548"/>
      <c r="IIU10" s="1547">
        <f t="shared" ref="IIU10" si="3152">IIS10</f>
        <v>95000</v>
      </c>
      <c r="IIV10" s="1548"/>
      <c r="IIW10" s="1547">
        <f t="shared" ref="IIW10" si="3153">IIU10</f>
        <v>95000</v>
      </c>
      <c r="IIX10" s="1548"/>
      <c r="IIY10" s="1547">
        <f t="shared" ref="IIY10" si="3154">IIW10</f>
        <v>95000</v>
      </c>
      <c r="IIZ10" s="1548"/>
      <c r="IJA10" s="1547">
        <f t="shared" ref="IJA10" si="3155">IIY10</f>
        <v>95000</v>
      </c>
      <c r="IJB10" s="1548"/>
      <c r="IJC10" s="1547">
        <f t="shared" ref="IJC10" si="3156">IJA10</f>
        <v>95000</v>
      </c>
      <c r="IJD10" s="1548"/>
      <c r="IJE10" s="1547">
        <f t="shared" ref="IJE10" si="3157">IJC10</f>
        <v>95000</v>
      </c>
      <c r="IJF10" s="1548"/>
      <c r="IJG10" s="1547">
        <f t="shared" ref="IJG10" si="3158">IJE10</f>
        <v>95000</v>
      </c>
      <c r="IJH10" s="1548"/>
      <c r="IJI10" s="1547">
        <f t="shared" ref="IJI10" si="3159">IJG10</f>
        <v>95000</v>
      </c>
      <c r="IJJ10" s="1548"/>
      <c r="IJK10" s="1547">
        <f t="shared" ref="IJK10" si="3160">IJI10</f>
        <v>95000</v>
      </c>
      <c r="IJL10" s="1548"/>
      <c r="IJM10" s="1547">
        <f t="shared" ref="IJM10" si="3161">IJK10</f>
        <v>95000</v>
      </c>
      <c r="IJN10" s="1548"/>
      <c r="IJO10" s="1547">
        <f t="shared" ref="IJO10" si="3162">IJM10</f>
        <v>95000</v>
      </c>
      <c r="IJP10" s="1548"/>
      <c r="IJQ10" s="1547">
        <f t="shared" ref="IJQ10" si="3163">IJO10</f>
        <v>95000</v>
      </c>
      <c r="IJR10" s="1548"/>
      <c r="IJS10" s="1547">
        <f t="shared" ref="IJS10" si="3164">IJQ10</f>
        <v>95000</v>
      </c>
      <c r="IJT10" s="1548"/>
      <c r="IJU10" s="1547">
        <f t="shared" ref="IJU10" si="3165">IJS10</f>
        <v>95000</v>
      </c>
      <c r="IJV10" s="1548"/>
      <c r="IJW10" s="1547">
        <f t="shared" ref="IJW10" si="3166">IJU10</f>
        <v>95000</v>
      </c>
      <c r="IJX10" s="1548"/>
      <c r="IJY10" s="1547">
        <f t="shared" ref="IJY10" si="3167">IJW10</f>
        <v>95000</v>
      </c>
      <c r="IJZ10" s="1548"/>
      <c r="IKA10" s="1547">
        <f t="shared" ref="IKA10" si="3168">IJY10</f>
        <v>95000</v>
      </c>
      <c r="IKB10" s="1548"/>
      <c r="IKC10" s="1547">
        <f t="shared" ref="IKC10" si="3169">IKA10</f>
        <v>95000</v>
      </c>
      <c r="IKD10" s="1548"/>
      <c r="IKE10" s="1547">
        <f t="shared" ref="IKE10" si="3170">IKC10</f>
        <v>95000</v>
      </c>
      <c r="IKF10" s="1548"/>
      <c r="IKG10" s="1547">
        <f t="shared" ref="IKG10" si="3171">IKE10</f>
        <v>95000</v>
      </c>
      <c r="IKH10" s="1548"/>
      <c r="IKI10" s="1547">
        <f t="shared" ref="IKI10" si="3172">IKG10</f>
        <v>95000</v>
      </c>
      <c r="IKJ10" s="1548"/>
      <c r="IKK10" s="1547">
        <f t="shared" ref="IKK10" si="3173">IKI10</f>
        <v>95000</v>
      </c>
      <c r="IKL10" s="1548"/>
      <c r="IKM10" s="1547">
        <f t="shared" ref="IKM10" si="3174">IKK10</f>
        <v>95000</v>
      </c>
      <c r="IKN10" s="1548"/>
      <c r="IKO10" s="1547">
        <f t="shared" ref="IKO10" si="3175">IKM10</f>
        <v>95000</v>
      </c>
      <c r="IKP10" s="1548"/>
      <c r="IKQ10" s="1547">
        <f t="shared" ref="IKQ10" si="3176">IKO10</f>
        <v>95000</v>
      </c>
      <c r="IKR10" s="1548"/>
      <c r="IKS10" s="1547">
        <f t="shared" ref="IKS10" si="3177">IKQ10</f>
        <v>95000</v>
      </c>
      <c r="IKT10" s="1548"/>
      <c r="IKU10" s="1547">
        <f t="shared" ref="IKU10" si="3178">IKS10</f>
        <v>95000</v>
      </c>
      <c r="IKV10" s="1548"/>
      <c r="IKW10" s="1547">
        <f t="shared" ref="IKW10" si="3179">IKU10</f>
        <v>95000</v>
      </c>
      <c r="IKX10" s="1548"/>
      <c r="IKY10" s="1547">
        <f t="shared" ref="IKY10" si="3180">IKW10</f>
        <v>95000</v>
      </c>
      <c r="IKZ10" s="1548"/>
      <c r="ILA10" s="1547">
        <f t="shared" ref="ILA10" si="3181">IKY10</f>
        <v>95000</v>
      </c>
      <c r="ILB10" s="1548"/>
      <c r="ILC10" s="1547">
        <f t="shared" ref="ILC10" si="3182">ILA10</f>
        <v>95000</v>
      </c>
      <c r="ILD10" s="1548"/>
      <c r="ILE10" s="1547">
        <f t="shared" ref="ILE10" si="3183">ILC10</f>
        <v>95000</v>
      </c>
      <c r="ILF10" s="1548"/>
      <c r="ILG10" s="1547">
        <f t="shared" ref="ILG10" si="3184">ILE10</f>
        <v>95000</v>
      </c>
      <c r="ILH10" s="1548"/>
      <c r="ILI10" s="1547">
        <f t="shared" ref="ILI10" si="3185">ILG10</f>
        <v>95000</v>
      </c>
      <c r="ILJ10" s="1548"/>
      <c r="ILK10" s="1547">
        <f t="shared" ref="ILK10" si="3186">ILI10</f>
        <v>95000</v>
      </c>
      <c r="ILL10" s="1548"/>
      <c r="ILM10" s="1547">
        <f t="shared" ref="ILM10" si="3187">ILK10</f>
        <v>95000</v>
      </c>
      <c r="ILN10" s="1548"/>
      <c r="ILO10" s="1547">
        <f t="shared" ref="ILO10" si="3188">ILM10</f>
        <v>95000</v>
      </c>
      <c r="ILP10" s="1548"/>
      <c r="ILQ10" s="1547">
        <f t="shared" ref="ILQ10" si="3189">ILO10</f>
        <v>95000</v>
      </c>
      <c r="ILR10" s="1548"/>
      <c r="ILS10" s="1547">
        <f t="shared" ref="ILS10" si="3190">ILQ10</f>
        <v>95000</v>
      </c>
      <c r="ILT10" s="1548"/>
      <c r="ILU10" s="1547">
        <f t="shared" ref="ILU10" si="3191">ILS10</f>
        <v>95000</v>
      </c>
      <c r="ILV10" s="1548"/>
      <c r="ILW10" s="1547">
        <f t="shared" ref="ILW10" si="3192">ILU10</f>
        <v>95000</v>
      </c>
      <c r="ILX10" s="1548"/>
      <c r="ILY10" s="1547">
        <f t="shared" ref="ILY10" si="3193">ILW10</f>
        <v>95000</v>
      </c>
      <c r="ILZ10" s="1548"/>
      <c r="IMA10" s="1547">
        <f t="shared" ref="IMA10" si="3194">ILY10</f>
        <v>95000</v>
      </c>
      <c r="IMB10" s="1548"/>
      <c r="IMC10" s="1547">
        <f t="shared" ref="IMC10" si="3195">IMA10</f>
        <v>95000</v>
      </c>
      <c r="IMD10" s="1548"/>
      <c r="IME10" s="1547">
        <f t="shared" ref="IME10" si="3196">IMC10</f>
        <v>95000</v>
      </c>
      <c r="IMF10" s="1548"/>
      <c r="IMG10" s="1547">
        <f t="shared" ref="IMG10" si="3197">IME10</f>
        <v>95000</v>
      </c>
      <c r="IMH10" s="1548"/>
      <c r="IMI10" s="1547">
        <f t="shared" ref="IMI10" si="3198">IMG10</f>
        <v>95000</v>
      </c>
      <c r="IMJ10" s="1548"/>
      <c r="IMK10" s="1547">
        <f t="shared" ref="IMK10" si="3199">IMI10</f>
        <v>95000</v>
      </c>
      <c r="IML10" s="1548"/>
      <c r="IMM10" s="1547">
        <f t="shared" ref="IMM10" si="3200">IMK10</f>
        <v>95000</v>
      </c>
      <c r="IMN10" s="1548"/>
      <c r="IMO10" s="1547">
        <f t="shared" ref="IMO10" si="3201">IMM10</f>
        <v>95000</v>
      </c>
      <c r="IMP10" s="1548"/>
      <c r="IMQ10" s="1547">
        <f t="shared" ref="IMQ10" si="3202">IMO10</f>
        <v>95000</v>
      </c>
      <c r="IMR10" s="1548"/>
      <c r="IMS10" s="1547">
        <f t="shared" ref="IMS10" si="3203">IMQ10</f>
        <v>95000</v>
      </c>
      <c r="IMT10" s="1548"/>
      <c r="IMU10" s="1547">
        <f t="shared" ref="IMU10" si="3204">IMS10</f>
        <v>95000</v>
      </c>
      <c r="IMV10" s="1548"/>
      <c r="IMW10" s="1547">
        <f t="shared" ref="IMW10" si="3205">IMU10</f>
        <v>95000</v>
      </c>
      <c r="IMX10" s="1548"/>
      <c r="IMY10" s="1547">
        <f t="shared" ref="IMY10" si="3206">IMW10</f>
        <v>95000</v>
      </c>
      <c r="IMZ10" s="1548"/>
      <c r="INA10" s="1547">
        <f t="shared" ref="INA10" si="3207">IMY10</f>
        <v>95000</v>
      </c>
      <c r="INB10" s="1548"/>
      <c r="INC10" s="1547">
        <f t="shared" ref="INC10" si="3208">INA10</f>
        <v>95000</v>
      </c>
      <c r="IND10" s="1548"/>
      <c r="INE10" s="1547">
        <f t="shared" ref="INE10" si="3209">INC10</f>
        <v>95000</v>
      </c>
      <c r="INF10" s="1548"/>
      <c r="ING10" s="1547">
        <f t="shared" ref="ING10" si="3210">INE10</f>
        <v>95000</v>
      </c>
      <c r="INH10" s="1548"/>
      <c r="INI10" s="1547">
        <f t="shared" ref="INI10" si="3211">ING10</f>
        <v>95000</v>
      </c>
      <c r="INJ10" s="1548"/>
      <c r="INK10" s="1547">
        <f t="shared" ref="INK10" si="3212">INI10</f>
        <v>95000</v>
      </c>
      <c r="INL10" s="1548"/>
      <c r="INM10" s="1547">
        <f t="shared" ref="INM10" si="3213">INK10</f>
        <v>95000</v>
      </c>
      <c r="INN10" s="1548"/>
      <c r="INO10" s="1547">
        <f t="shared" ref="INO10" si="3214">INM10</f>
        <v>95000</v>
      </c>
      <c r="INP10" s="1548"/>
      <c r="INQ10" s="1547">
        <f t="shared" ref="INQ10" si="3215">INO10</f>
        <v>95000</v>
      </c>
      <c r="INR10" s="1548"/>
      <c r="INS10" s="1547">
        <f t="shared" ref="INS10" si="3216">INQ10</f>
        <v>95000</v>
      </c>
      <c r="INT10" s="1548"/>
      <c r="INU10" s="1547">
        <f t="shared" ref="INU10" si="3217">INS10</f>
        <v>95000</v>
      </c>
      <c r="INV10" s="1548"/>
      <c r="INW10" s="1547">
        <f t="shared" ref="INW10" si="3218">INU10</f>
        <v>95000</v>
      </c>
      <c r="INX10" s="1548"/>
      <c r="INY10" s="1547">
        <f t="shared" ref="INY10" si="3219">INW10</f>
        <v>95000</v>
      </c>
      <c r="INZ10" s="1548"/>
      <c r="IOA10" s="1547">
        <f t="shared" ref="IOA10" si="3220">INY10</f>
        <v>95000</v>
      </c>
      <c r="IOB10" s="1548"/>
      <c r="IOC10" s="1547">
        <f t="shared" ref="IOC10" si="3221">IOA10</f>
        <v>95000</v>
      </c>
      <c r="IOD10" s="1548"/>
      <c r="IOE10" s="1547">
        <f t="shared" ref="IOE10" si="3222">IOC10</f>
        <v>95000</v>
      </c>
      <c r="IOF10" s="1548"/>
      <c r="IOG10" s="1547">
        <f t="shared" ref="IOG10" si="3223">IOE10</f>
        <v>95000</v>
      </c>
      <c r="IOH10" s="1548"/>
      <c r="IOI10" s="1547">
        <f t="shared" ref="IOI10" si="3224">IOG10</f>
        <v>95000</v>
      </c>
      <c r="IOJ10" s="1548"/>
      <c r="IOK10" s="1547">
        <f t="shared" ref="IOK10" si="3225">IOI10</f>
        <v>95000</v>
      </c>
      <c r="IOL10" s="1548"/>
      <c r="IOM10" s="1547">
        <f t="shared" ref="IOM10" si="3226">IOK10</f>
        <v>95000</v>
      </c>
      <c r="ION10" s="1548"/>
      <c r="IOO10" s="1547">
        <f t="shared" ref="IOO10" si="3227">IOM10</f>
        <v>95000</v>
      </c>
      <c r="IOP10" s="1548"/>
      <c r="IOQ10" s="1547">
        <f t="shared" ref="IOQ10" si="3228">IOO10</f>
        <v>95000</v>
      </c>
      <c r="IOR10" s="1548"/>
      <c r="IOS10" s="1547">
        <f t="shared" ref="IOS10" si="3229">IOQ10</f>
        <v>95000</v>
      </c>
      <c r="IOT10" s="1548"/>
      <c r="IOU10" s="1547">
        <f t="shared" ref="IOU10" si="3230">IOS10</f>
        <v>95000</v>
      </c>
      <c r="IOV10" s="1548"/>
      <c r="IOW10" s="1547">
        <f t="shared" ref="IOW10" si="3231">IOU10</f>
        <v>95000</v>
      </c>
      <c r="IOX10" s="1548"/>
      <c r="IOY10" s="1547">
        <f t="shared" ref="IOY10" si="3232">IOW10</f>
        <v>95000</v>
      </c>
      <c r="IOZ10" s="1548"/>
      <c r="IPA10" s="1547">
        <f t="shared" ref="IPA10" si="3233">IOY10</f>
        <v>95000</v>
      </c>
      <c r="IPB10" s="1548"/>
      <c r="IPC10" s="1547">
        <f t="shared" ref="IPC10" si="3234">IPA10</f>
        <v>95000</v>
      </c>
      <c r="IPD10" s="1548"/>
      <c r="IPE10" s="1547">
        <f t="shared" ref="IPE10" si="3235">IPC10</f>
        <v>95000</v>
      </c>
      <c r="IPF10" s="1548"/>
      <c r="IPG10" s="1547">
        <f t="shared" ref="IPG10" si="3236">IPE10</f>
        <v>95000</v>
      </c>
      <c r="IPH10" s="1548"/>
      <c r="IPI10" s="1547">
        <f t="shared" ref="IPI10" si="3237">IPG10</f>
        <v>95000</v>
      </c>
      <c r="IPJ10" s="1548"/>
      <c r="IPK10" s="1547">
        <f t="shared" ref="IPK10" si="3238">IPI10</f>
        <v>95000</v>
      </c>
      <c r="IPL10" s="1548"/>
      <c r="IPM10" s="1547">
        <f t="shared" ref="IPM10" si="3239">IPK10</f>
        <v>95000</v>
      </c>
      <c r="IPN10" s="1548"/>
      <c r="IPO10" s="1547">
        <f t="shared" ref="IPO10" si="3240">IPM10</f>
        <v>95000</v>
      </c>
      <c r="IPP10" s="1548"/>
      <c r="IPQ10" s="1547">
        <f t="shared" ref="IPQ10" si="3241">IPO10</f>
        <v>95000</v>
      </c>
      <c r="IPR10" s="1548"/>
      <c r="IPS10" s="1547">
        <f t="shared" ref="IPS10" si="3242">IPQ10</f>
        <v>95000</v>
      </c>
      <c r="IPT10" s="1548"/>
      <c r="IPU10" s="1547">
        <f t="shared" ref="IPU10" si="3243">IPS10</f>
        <v>95000</v>
      </c>
      <c r="IPV10" s="1548"/>
      <c r="IPW10" s="1547">
        <f t="shared" ref="IPW10" si="3244">IPU10</f>
        <v>95000</v>
      </c>
      <c r="IPX10" s="1548"/>
      <c r="IPY10" s="1547">
        <f t="shared" ref="IPY10" si="3245">IPW10</f>
        <v>95000</v>
      </c>
      <c r="IPZ10" s="1548"/>
      <c r="IQA10" s="1547">
        <f t="shared" ref="IQA10" si="3246">IPY10</f>
        <v>95000</v>
      </c>
      <c r="IQB10" s="1548"/>
      <c r="IQC10" s="1547">
        <f t="shared" ref="IQC10" si="3247">IQA10</f>
        <v>95000</v>
      </c>
      <c r="IQD10" s="1548"/>
      <c r="IQE10" s="1547">
        <f t="shared" ref="IQE10" si="3248">IQC10</f>
        <v>95000</v>
      </c>
      <c r="IQF10" s="1548"/>
      <c r="IQG10" s="1547">
        <f t="shared" ref="IQG10" si="3249">IQE10</f>
        <v>95000</v>
      </c>
      <c r="IQH10" s="1548"/>
      <c r="IQI10" s="1547">
        <f t="shared" ref="IQI10" si="3250">IQG10</f>
        <v>95000</v>
      </c>
      <c r="IQJ10" s="1548"/>
      <c r="IQK10" s="1547">
        <f t="shared" ref="IQK10" si="3251">IQI10</f>
        <v>95000</v>
      </c>
      <c r="IQL10" s="1548"/>
      <c r="IQM10" s="1547">
        <f t="shared" ref="IQM10" si="3252">IQK10</f>
        <v>95000</v>
      </c>
      <c r="IQN10" s="1548"/>
      <c r="IQO10" s="1547">
        <f t="shared" ref="IQO10" si="3253">IQM10</f>
        <v>95000</v>
      </c>
      <c r="IQP10" s="1548"/>
      <c r="IQQ10" s="1547">
        <f t="shared" ref="IQQ10" si="3254">IQO10</f>
        <v>95000</v>
      </c>
      <c r="IQR10" s="1548"/>
      <c r="IQS10" s="1547">
        <f t="shared" ref="IQS10" si="3255">IQQ10</f>
        <v>95000</v>
      </c>
      <c r="IQT10" s="1548"/>
      <c r="IQU10" s="1547">
        <f t="shared" ref="IQU10" si="3256">IQS10</f>
        <v>95000</v>
      </c>
      <c r="IQV10" s="1548"/>
      <c r="IQW10" s="1547">
        <f t="shared" ref="IQW10" si="3257">IQU10</f>
        <v>95000</v>
      </c>
      <c r="IQX10" s="1548"/>
      <c r="IQY10" s="1547">
        <f t="shared" ref="IQY10" si="3258">IQW10</f>
        <v>95000</v>
      </c>
      <c r="IQZ10" s="1548"/>
      <c r="IRA10" s="1547">
        <f t="shared" ref="IRA10" si="3259">IQY10</f>
        <v>95000</v>
      </c>
      <c r="IRB10" s="1548"/>
      <c r="IRC10" s="1547">
        <f t="shared" ref="IRC10" si="3260">IRA10</f>
        <v>95000</v>
      </c>
      <c r="IRD10" s="1548"/>
      <c r="IRE10" s="1547">
        <f t="shared" ref="IRE10" si="3261">IRC10</f>
        <v>95000</v>
      </c>
      <c r="IRF10" s="1548"/>
      <c r="IRG10" s="1547">
        <f t="shared" ref="IRG10" si="3262">IRE10</f>
        <v>95000</v>
      </c>
      <c r="IRH10" s="1548"/>
      <c r="IRI10" s="1547">
        <f t="shared" ref="IRI10" si="3263">IRG10</f>
        <v>95000</v>
      </c>
      <c r="IRJ10" s="1548"/>
      <c r="IRK10" s="1547">
        <f t="shared" ref="IRK10" si="3264">IRI10</f>
        <v>95000</v>
      </c>
      <c r="IRL10" s="1548"/>
      <c r="IRM10" s="1547">
        <f t="shared" ref="IRM10" si="3265">IRK10</f>
        <v>95000</v>
      </c>
      <c r="IRN10" s="1548"/>
      <c r="IRO10" s="1547">
        <f t="shared" ref="IRO10" si="3266">IRM10</f>
        <v>95000</v>
      </c>
      <c r="IRP10" s="1548"/>
      <c r="IRQ10" s="1547">
        <f t="shared" ref="IRQ10" si="3267">IRO10</f>
        <v>95000</v>
      </c>
      <c r="IRR10" s="1548"/>
      <c r="IRS10" s="1547">
        <f t="shared" ref="IRS10" si="3268">IRQ10</f>
        <v>95000</v>
      </c>
      <c r="IRT10" s="1548"/>
      <c r="IRU10" s="1547">
        <f t="shared" ref="IRU10" si="3269">IRS10</f>
        <v>95000</v>
      </c>
      <c r="IRV10" s="1548"/>
      <c r="IRW10" s="1547">
        <f t="shared" ref="IRW10" si="3270">IRU10</f>
        <v>95000</v>
      </c>
      <c r="IRX10" s="1548"/>
      <c r="IRY10" s="1547">
        <f t="shared" ref="IRY10" si="3271">IRW10</f>
        <v>95000</v>
      </c>
      <c r="IRZ10" s="1548"/>
      <c r="ISA10" s="1547">
        <f t="shared" ref="ISA10" si="3272">IRY10</f>
        <v>95000</v>
      </c>
      <c r="ISB10" s="1548"/>
      <c r="ISC10" s="1547">
        <f t="shared" ref="ISC10" si="3273">ISA10</f>
        <v>95000</v>
      </c>
      <c r="ISD10" s="1548"/>
      <c r="ISE10" s="1547">
        <f t="shared" ref="ISE10" si="3274">ISC10</f>
        <v>95000</v>
      </c>
      <c r="ISF10" s="1548"/>
      <c r="ISG10" s="1547">
        <f t="shared" ref="ISG10" si="3275">ISE10</f>
        <v>95000</v>
      </c>
      <c r="ISH10" s="1548"/>
      <c r="ISI10" s="1547">
        <f t="shared" ref="ISI10" si="3276">ISG10</f>
        <v>95000</v>
      </c>
      <c r="ISJ10" s="1548"/>
      <c r="ISK10" s="1547">
        <f t="shared" ref="ISK10" si="3277">ISI10</f>
        <v>95000</v>
      </c>
      <c r="ISL10" s="1548"/>
      <c r="ISM10" s="1547">
        <f t="shared" ref="ISM10" si="3278">ISK10</f>
        <v>95000</v>
      </c>
      <c r="ISN10" s="1548"/>
      <c r="ISO10" s="1547">
        <f t="shared" ref="ISO10" si="3279">ISM10</f>
        <v>95000</v>
      </c>
      <c r="ISP10" s="1548"/>
      <c r="ISQ10" s="1547">
        <f t="shared" ref="ISQ10" si="3280">ISO10</f>
        <v>95000</v>
      </c>
      <c r="ISR10" s="1548"/>
      <c r="ISS10" s="1547">
        <f t="shared" ref="ISS10" si="3281">ISQ10</f>
        <v>95000</v>
      </c>
      <c r="IST10" s="1548"/>
      <c r="ISU10" s="1547">
        <f t="shared" ref="ISU10" si="3282">ISS10</f>
        <v>95000</v>
      </c>
      <c r="ISV10" s="1548"/>
      <c r="ISW10" s="1547">
        <f t="shared" ref="ISW10" si="3283">ISU10</f>
        <v>95000</v>
      </c>
      <c r="ISX10" s="1548"/>
      <c r="ISY10" s="1547">
        <f t="shared" ref="ISY10" si="3284">ISW10</f>
        <v>95000</v>
      </c>
      <c r="ISZ10" s="1548"/>
      <c r="ITA10" s="1547">
        <f t="shared" ref="ITA10" si="3285">ISY10</f>
        <v>95000</v>
      </c>
      <c r="ITB10" s="1548"/>
      <c r="ITC10" s="1547">
        <f t="shared" ref="ITC10" si="3286">ITA10</f>
        <v>95000</v>
      </c>
      <c r="ITD10" s="1548"/>
      <c r="ITE10" s="1547">
        <f t="shared" ref="ITE10" si="3287">ITC10</f>
        <v>95000</v>
      </c>
      <c r="ITF10" s="1548"/>
      <c r="ITG10" s="1547">
        <f t="shared" ref="ITG10" si="3288">ITE10</f>
        <v>95000</v>
      </c>
      <c r="ITH10" s="1548"/>
      <c r="ITI10" s="1547">
        <f t="shared" ref="ITI10" si="3289">ITG10</f>
        <v>95000</v>
      </c>
      <c r="ITJ10" s="1548"/>
      <c r="ITK10" s="1547">
        <f t="shared" ref="ITK10" si="3290">ITI10</f>
        <v>95000</v>
      </c>
      <c r="ITL10" s="1548"/>
      <c r="ITM10" s="1547">
        <f t="shared" ref="ITM10" si="3291">ITK10</f>
        <v>95000</v>
      </c>
      <c r="ITN10" s="1548"/>
      <c r="ITO10" s="1547">
        <f t="shared" ref="ITO10" si="3292">ITM10</f>
        <v>95000</v>
      </c>
      <c r="ITP10" s="1548"/>
      <c r="ITQ10" s="1547">
        <f t="shared" ref="ITQ10" si="3293">ITO10</f>
        <v>95000</v>
      </c>
      <c r="ITR10" s="1548"/>
      <c r="ITS10" s="1547">
        <f t="shared" ref="ITS10" si="3294">ITQ10</f>
        <v>95000</v>
      </c>
      <c r="ITT10" s="1548"/>
      <c r="ITU10" s="1547">
        <f t="shared" ref="ITU10" si="3295">ITS10</f>
        <v>95000</v>
      </c>
      <c r="ITV10" s="1548"/>
      <c r="ITW10" s="1547">
        <f t="shared" ref="ITW10" si="3296">ITU10</f>
        <v>95000</v>
      </c>
      <c r="ITX10" s="1548"/>
      <c r="ITY10" s="1547">
        <f t="shared" ref="ITY10" si="3297">ITW10</f>
        <v>95000</v>
      </c>
      <c r="ITZ10" s="1548"/>
      <c r="IUA10" s="1547">
        <f t="shared" ref="IUA10" si="3298">ITY10</f>
        <v>95000</v>
      </c>
      <c r="IUB10" s="1548"/>
      <c r="IUC10" s="1547">
        <f t="shared" ref="IUC10" si="3299">IUA10</f>
        <v>95000</v>
      </c>
      <c r="IUD10" s="1548"/>
      <c r="IUE10" s="1547">
        <f t="shared" ref="IUE10" si="3300">IUC10</f>
        <v>95000</v>
      </c>
      <c r="IUF10" s="1548"/>
      <c r="IUG10" s="1547">
        <f t="shared" ref="IUG10" si="3301">IUE10</f>
        <v>95000</v>
      </c>
      <c r="IUH10" s="1548"/>
      <c r="IUI10" s="1547">
        <f t="shared" ref="IUI10" si="3302">IUG10</f>
        <v>95000</v>
      </c>
      <c r="IUJ10" s="1548"/>
      <c r="IUK10" s="1547">
        <f t="shared" ref="IUK10" si="3303">IUI10</f>
        <v>95000</v>
      </c>
      <c r="IUL10" s="1548"/>
      <c r="IUM10" s="1547">
        <f t="shared" ref="IUM10" si="3304">IUK10</f>
        <v>95000</v>
      </c>
      <c r="IUN10" s="1548"/>
      <c r="IUO10" s="1547">
        <f t="shared" ref="IUO10" si="3305">IUM10</f>
        <v>95000</v>
      </c>
      <c r="IUP10" s="1548"/>
      <c r="IUQ10" s="1547">
        <f t="shared" ref="IUQ10" si="3306">IUO10</f>
        <v>95000</v>
      </c>
      <c r="IUR10" s="1548"/>
      <c r="IUS10" s="1547">
        <f t="shared" ref="IUS10" si="3307">IUQ10</f>
        <v>95000</v>
      </c>
      <c r="IUT10" s="1548"/>
      <c r="IUU10" s="1547">
        <f t="shared" ref="IUU10" si="3308">IUS10</f>
        <v>95000</v>
      </c>
      <c r="IUV10" s="1548"/>
      <c r="IUW10" s="1547">
        <f t="shared" ref="IUW10" si="3309">IUU10</f>
        <v>95000</v>
      </c>
      <c r="IUX10" s="1548"/>
      <c r="IUY10" s="1547">
        <f t="shared" ref="IUY10" si="3310">IUW10</f>
        <v>95000</v>
      </c>
      <c r="IUZ10" s="1548"/>
      <c r="IVA10" s="1547">
        <f t="shared" ref="IVA10" si="3311">IUY10</f>
        <v>95000</v>
      </c>
      <c r="IVB10" s="1548"/>
      <c r="IVC10" s="1547">
        <f t="shared" ref="IVC10" si="3312">IVA10</f>
        <v>95000</v>
      </c>
      <c r="IVD10" s="1548"/>
      <c r="IVE10" s="1547">
        <f t="shared" ref="IVE10" si="3313">IVC10</f>
        <v>95000</v>
      </c>
      <c r="IVF10" s="1548"/>
      <c r="IVG10" s="1547">
        <f t="shared" ref="IVG10" si="3314">IVE10</f>
        <v>95000</v>
      </c>
      <c r="IVH10" s="1548"/>
      <c r="IVI10" s="1547">
        <f t="shared" ref="IVI10" si="3315">IVG10</f>
        <v>95000</v>
      </c>
      <c r="IVJ10" s="1548"/>
      <c r="IVK10" s="1547">
        <f t="shared" ref="IVK10" si="3316">IVI10</f>
        <v>95000</v>
      </c>
      <c r="IVL10" s="1548"/>
      <c r="IVM10" s="1547">
        <f t="shared" ref="IVM10" si="3317">IVK10</f>
        <v>95000</v>
      </c>
      <c r="IVN10" s="1548"/>
      <c r="IVO10" s="1547">
        <f t="shared" ref="IVO10" si="3318">IVM10</f>
        <v>95000</v>
      </c>
      <c r="IVP10" s="1548"/>
      <c r="IVQ10" s="1547">
        <f t="shared" ref="IVQ10" si="3319">IVO10</f>
        <v>95000</v>
      </c>
      <c r="IVR10" s="1548"/>
      <c r="IVS10" s="1547">
        <f t="shared" ref="IVS10" si="3320">IVQ10</f>
        <v>95000</v>
      </c>
      <c r="IVT10" s="1548"/>
      <c r="IVU10" s="1547">
        <f t="shared" ref="IVU10" si="3321">IVS10</f>
        <v>95000</v>
      </c>
      <c r="IVV10" s="1548"/>
      <c r="IVW10" s="1547">
        <f t="shared" ref="IVW10" si="3322">IVU10</f>
        <v>95000</v>
      </c>
      <c r="IVX10" s="1548"/>
      <c r="IVY10" s="1547">
        <f t="shared" ref="IVY10" si="3323">IVW10</f>
        <v>95000</v>
      </c>
      <c r="IVZ10" s="1548"/>
      <c r="IWA10" s="1547">
        <f t="shared" ref="IWA10" si="3324">IVY10</f>
        <v>95000</v>
      </c>
      <c r="IWB10" s="1548"/>
      <c r="IWC10" s="1547">
        <f t="shared" ref="IWC10" si="3325">IWA10</f>
        <v>95000</v>
      </c>
      <c r="IWD10" s="1548"/>
      <c r="IWE10" s="1547">
        <f t="shared" ref="IWE10" si="3326">IWC10</f>
        <v>95000</v>
      </c>
      <c r="IWF10" s="1548"/>
      <c r="IWG10" s="1547">
        <f t="shared" ref="IWG10" si="3327">IWE10</f>
        <v>95000</v>
      </c>
      <c r="IWH10" s="1548"/>
      <c r="IWI10" s="1547">
        <f t="shared" ref="IWI10" si="3328">IWG10</f>
        <v>95000</v>
      </c>
      <c r="IWJ10" s="1548"/>
      <c r="IWK10" s="1547">
        <f t="shared" ref="IWK10" si="3329">IWI10</f>
        <v>95000</v>
      </c>
      <c r="IWL10" s="1548"/>
      <c r="IWM10" s="1547">
        <f t="shared" ref="IWM10" si="3330">IWK10</f>
        <v>95000</v>
      </c>
      <c r="IWN10" s="1548"/>
      <c r="IWO10" s="1547">
        <f t="shared" ref="IWO10" si="3331">IWM10</f>
        <v>95000</v>
      </c>
      <c r="IWP10" s="1548"/>
      <c r="IWQ10" s="1547">
        <f t="shared" ref="IWQ10" si="3332">IWO10</f>
        <v>95000</v>
      </c>
      <c r="IWR10" s="1548"/>
      <c r="IWS10" s="1547">
        <f t="shared" ref="IWS10" si="3333">IWQ10</f>
        <v>95000</v>
      </c>
      <c r="IWT10" s="1548"/>
      <c r="IWU10" s="1547">
        <f t="shared" ref="IWU10" si="3334">IWS10</f>
        <v>95000</v>
      </c>
      <c r="IWV10" s="1548"/>
      <c r="IWW10" s="1547">
        <f t="shared" ref="IWW10" si="3335">IWU10</f>
        <v>95000</v>
      </c>
      <c r="IWX10" s="1548"/>
      <c r="IWY10" s="1547">
        <f t="shared" ref="IWY10" si="3336">IWW10</f>
        <v>95000</v>
      </c>
      <c r="IWZ10" s="1548"/>
      <c r="IXA10" s="1547">
        <f t="shared" ref="IXA10" si="3337">IWY10</f>
        <v>95000</v>
      </c>
      <c r="IXB10" s="1548"/>
      <c r="IXC10" s="1547">
        <f t="shared" ref="IXC10" si="3338">IXA10</f>
        <v>95000</v>
      </c>
      <c r="IXD10" s="1548"/>
      <c r="IXE10" s="1547">
        <f t="shared" ref="IXE10" si="3339">IXC10</f>
        <v>95000</v>
      </c>
      <c r="IXF10" s="1548"/>
      <c r="IXG10" s="1547">
        <f t="shared" ref="IXG10" si="3340">IXE10</f>
        <v>95000</v>
      </c>
      <c r="IXH10" s="1548"/>
      <c r="IXI10" s="1547">
        <f t="shared" ref="IXI10" si="3341">IXG10</f>
        <v>95000</v>
      </c>
      <c r="IXJ10" s="1548"/>
      <c r="IXK10" s="1547">
        <f t="shared" ref="IXK10" si="3342">IXI10</f>
        <v>95000</v>
      </c>
      <c r="IXL10" s="1548"/>
      <c r="IXM10" s="1547">
        <f t="shared" ref="IXM10" si="3343">IXK10</f>
        <v>95000</v>
      </c>
      <c r="IXN10" s="1548"/>
      <c r="IXO10" s="1547">
        <f t="shared" ref="IXO10" si="3344">IXM10</f>
        <v>95000</v>
      </c>
      <c r="IXP10" s="1548"/>
      <c r="IXQ10" s="1547">
        <f t="shared" ref="IXQ10" si="3345">IXO10</f>
        <v>95000</v>
      </c>
      <c r="IXR10" s="1548"/>
      <c r="IXS10" s="1547">
        <f t="shared" ref="IXS10" si="3346">IXQ10</f>
        <v>95000</v>
      </c>
      <c r="IXT10" s="1548"/>
      <c r="IXU10" s="1547">
        <f t="shared" ref="IXU10" si="3347">IXS10</f>
        <v>95000</v>
      </c>
      <c r="IXV10" s="1548"/>
      <c r="IXW10" s="1547">
        <f t="shared" ref="IXW10" si="3348">IXU10</f>
        <v>95000</v>
      </c>
      <c r="IXX10" s="1548"/>
      <c r="IXY10" s="1547">
        <f t="shared" ref="IXY10" si="3349">IXW10</f>
        <v>95000</v>
      </c>
      <c r="IXZ10" s="1548"/>
      <c r="IYA10" s="1547">
        <f t="shared" ref="IYA10" si="3350">IXY10</f>
        <v>95000</v>
      </c>
      <c r="IYB10" s="1548"/>
      <c r="IYC10" s="1547">
        <f t="shared" ref="IYC10" si="3351">IYA10</f>
        <v>95000</v>
      </c>
      <c r="IYD10" s="1548"/>
      <c r="IYE10" s="1547">
        <f t="shared" ref="IYE10" si="3352">IYC10</f>
        <v>95000</v>
      </c>
      <c r="IYF10" s="1548"/>
      <c r="IYG10" s="1547">
        <f t="shared" ref="IYG10" si="3353">IYE10</f>
        <v>95000</v>
      </c>
      <c r="IYH10" s="1548"/>
      <c r="IYI10" s="1547">
        <f t="shared" ref="IYI10" si="3354">IYG10</f>
        <v>95000</v>
      </c>
      <c r="IYJ10" s="1548"/>
      <c r="IYK10" s="1547">
        <f t="shared" ref="IYK10" si="3355">IYI10</f>
        <v>95000</v>
      </c>
      <c r="IYL10" s="1548"/>
      <c r="IYM10" s="1547">
        <f t="shared" ref="IYM10" si="3356">IYK10</f>
        <v>95000</v>
      </c>
      <c r="IYN10" s="1548"/>
      <c r="IYO10" s="1547">
        <f t="shared" ref="IYO10" si="3357">IYM10</f>
        <v>95000</v>
      </c>
      <c r="IYP10" s="1548"/>
      <c r="IYQ10" s="1547">
        <f t="shared" ref="IYQ10" si="3358">IYO10</f>
        <v>95000</v>
      </c>
      <c r="IYR10" s="1548"/>
      <c r="IYS10" s="1547">
        <f t="shared" ref="IYS10" si="3359">IYQ10</f>
        <v>95000</v>
      </c>
      <c r="IYT10" s="1548"/>
      <c r="IYU10" s="1547">
        <f t="shared" ref="IYU10" si="3360">IYS10</f>
        <v>95000</v>
      </c>
      <c r="IYV10" s="1548"/>
      <c r="IYW10" s="1547">
        <f t="shared" ref="IYW10" si="3361">IYU10</f>
        <v>95000</v>
      </c>
      <c r="IYX10" s="1548"/>
      <c r="IYY10" s="1547">
        <f t="shared" ref="IYY10" si="3362">IYW10</f>
        <v>95000</v>
      </c>
      <c r="IYZ10" s="1548"/>
      <c r="IZA10" s="1547">
        <f t="shared" ref="IZA10" si="3363">IYY10</f>
        <v>95000</v>
      </c>
      <c r="IZB10" s="1548"/>
      <c r="IZC10" s="1547">
        <f t="shared" ref="IZC10" si="3364">IZA10</f>
        <v>95000</v>
      </c>
      <c r="IZD10" s="1548"/>
      <c r="IZE10" s="1547">
        <f t="shared" ref="IZE10" si="3365">IZC10</f>
        <v>95000</v>
      </c>
      <c r="IZF10" s="1548"/>
      <c r="IZG10" s="1547">
        <f t="shared" ref="IZG10" si="3366">IZE10</f>
        <v>95000</v>
      </c>
      <c r="IZH10" s="1548"/>
      <c r="IZI10" s="1547">
        <f t="shared" ref="IZI10" si="3367">IZG10</f>
        <v>95000</v>
      </c>
      <c r="IZJ10" s="1548"/>
      <c r="IZK10" s="1547">
        <f t="shared" ref="IZK10" si="3368">IZI10</f>
        <v>95000</v>
      </c>
      <c r="IZL10" s="1548"/>
      <c r="IZM10" s="1547">
        <f t="shared" ref="IZM10" si="3369">IZK10</f>
        <v>95000</v>
      </c>
      <c r="IZN10" s="1548"/>
      <c r="IZO10" s="1547">
        <f t="shared" ref="IZO10" si="3370">IZM10</f>
        <v>95000</v>
      </c>
      <c r="IZP10" s="1548"/>
      <c r="IZQ10" s="1547">
        <f t="shared" ref="IZQ10" si="3371">IZO10</f>
        <v>95000</v>
      </c>
      <c r="IZR10" s="1548"/>
      <c r="IZS10" s="1547">
        <f t="shared" ref="IZS10" si="3372">IZQ10</f>
        <v>95000</v>
      </c>
      <c r="IZT10" s="1548"/>
      <c r="IZU10" s="1547">
        <f t="shared" ref="IZU10" si="3373">IZS10</f>
        <v>95000</v>
      </c>
      <c r="IZV10" s="1548"/>
      <c r="IZW10" s="1547">
        <f t="shared" ref="IZW10" si="3374">IZU10</f>
        <v>95000</v>
      </c>
      <c r="IZX10" s="1548"/>
      <c r="IZY10" s="1547">
        <f t="shared" ref="IZY10" si="3375">IZW10</f>
        <v>95000</v>
      </c>
      <c r="IZZ10" s="1548"/>
      <c r="JAA10" s="1547">
        <f t="shared" ref="JAA10" si="3376">IZY10</f>
        <v>95000</v>
      </c>
      <c r="JAB10" s="1548"/>
      <c r="JAC10" s="1547">
        <f t="shared" ref="JAC10" si="3377">JAA10</f>
        <v>95000</v>
      </c>
      <c r="JAD10" s="1548"/>
      <c r="JAE10" s="1547">
        <f t="shared" ref="JAE10" si="3378">JAC10</f>
        <v>95000</v>
      </c>
      <c r="JAF10" s="1548"/>
      <c r="JAG10" s="1547">
        <f t="shared" ref="JAG10" si="3379">JAE10</f>
        <v>95000</v>
      </c>
      <c r="JAH10" s="1548"/>
      <c r="JAI10" s="1547">
        <f t="shared" ref="JAI10" si="3380">JAG10</f>
        <v>95000</v>
      </c>
      <c r="JAJ10" s="1548"/>
      <c r="JAK10" s="1547">
        <f t="shared" ref="JAK10" si="3381">JAI10</f>
        <v>95000</v>
      </c>
      <c r="JAL10" s="1548"/>
      <c r="JAM10" s="1547">
        <f t="shared" ref="JAM10" si="3382">JAK10</f>
        <v>95000</v>
      </c>
      <c r="JAN10" s="1548"/>
      <c r="JAO10" s="1547">
        <f t="shared" ref="JAO10" si="3383">JAM10</f>
        <v>95000</v>
      </c>
      <c r="JAP10" s="1548"/>
      <c r="JAQ10" s="1547">
        <f t="shared" ref="JAQ10" si="3384">JAO10</f>
        <v>95000</v>
      </c>
      <c r="JAR10" s="1548"/>
      <c r="JAS10" s="1547">
        <f t="shared" ref="JAS10" si="3385">JAQ10</f>
        <v>95000</v>
      </c>
      <c r="JAT10" s="1548"/>
      <c r="JAU10" s="1547">
        <f t="shared" ref="JAU10" si="3386">JAS10</f>
        <v>95000</v>
      </c>
      <c r="JAV10" s="1548"/>
      <c r="JAW10" s="1547">
        <f t="shared" ref="JAW10" si="3387">JAU10</f>
        <v>95000</v>
      </c>
      <c r="JAX10" s="1548"/>
      <c r="JAY10" s="1547">
        <f t="shared" ref="JAY10" si="3388">JAW10</f>
        <v>95000</v>
      </c>
      <c r="JAZ10" s="1548"/>
      <c r="JBA10" s="1547">
        <f t="shared" ref="JBA10" si="3389">JAY10</f>
        <v>95000</v>
      </c>
      <c r="JBB10" s="1548"/>
      <c r="JBC10" s="1547">
        <f t="shared" ref="JBC10" si="3390">JBA10</f>
        <v>95000</v>
      </c>
      <c r="JBD10" s="1548"/>
      <c r="JBE10" s="1547">
        <f t="shared" ref="JBE10" si="3391">JBC10</f>
        <v>95000</v>
      </c>
      <c r="JBF10" s="1548"/>
      <c r="JBG10" s="1547">
        <f t="shared" ref="JBG10" si="3392">JBE10</f>
        <v>95000</v>
      </c>
      <c r="JBH10" s="1548"/>
      <c r="JBI10" s="1547">
        <f t="shared" ref="JBI10" si="3393">JBG10</f>
        <v>95000</v>
      </c>
      <c r="JBJ10" s="1548"/>
      <c r="JBK10" s="1547">
        <f t="shared" ref="JBK10" si="3394">JBI10</f>
        <v>95000</v>
      </c>
      <c r="JBL10" s="1548"/>
      <c r="JBM10" s="1547">
        <f t="shared" ref="JBM10" si="3395">JBK10</f>
        <v>95000</v>
      </c>
      <c r="JBN10" s="1548"/>
      <c r="JBO10" s="1547">
        <f t="shared" ref="JBO10" si="3396">JBM10</f>
        <v>95000</v>
      </c>
      <c r="JBP10" s="1548"/>
      <c r="JBQ10" s="1547">
        <f t="shared" ref="JBQ10" si="3397">JBO10</f>
        <v>95000</v>
      </c>
      <c r="JBR10" s="1548"/>
      <c r="JBS10" s="1547">
        <f t="shared" ref="JBS10" si="3398">JBQ10</f>
        <v>95000</v>
      </c>
      <c r="JBT10" s="1548"/>
      <c r="JBU10" s="1547">
        <f t="shared" ref="JBU10" si="3399">JBS10</f>
        <v>95000</v>
      </c>
      <c r="JBV10" s="1548"/>
      <c r="JBW10" s="1547">
        <f t="shared" ref="JBW10" si="3400">JBU10</f>
        <v>95000</v>
      </c>
      <c r="JBX10" s="1548"/>
      <c r="JBY10" s="1547">
        <f t="shared" ref="JBY10" si="3401">JBW10</f>
        <v>95000</v>
      </c>
      <c r="JBZ10" s="1548"/>
      <c r="JCA10" s="1547">
        <f t="shared" ref="JCA10" si="3402">JBY10</f>
        <v>95000</v>
      </c>
      <c r="JCB10" s="1548"/>
      <c r="JCC10" s="1547">
        <f t="shared" ref="JCC10" si="3403">JCA10</f>
        <v>95000</v>
      </c>
      <c r="JCD10" s="1548"/>
      <c r="JCE10" s="1547">
        <f t="shared" ref="JCE10" si="3404">JCC10</f>
        <v>95000</v>
      </c>
      <c r="JCF10" s="1548"/>
      <c r="JCG10" s="1547">
        <f t="shared" ref="JCG10" si="3405">JCE10</f>
        <v>95000</v>
      </c>
      <c r="JCH10" s="1548"/>
      <c r="JCI10" s="1547">
        <f t="shared" ref="JCI10" si="3406">JCG10</f>
        <v>95000</v>
      </c>
      <c r="JCJ10" s="1548"/>
      <c r="JCK10" s="1547">
        <f t="shared" ref="JCK10" si="3407">JCI10</f>
        <v>95000</v>
      </c>
      <c r="JCL10" s="1548"/>
      <c r="JCM10" s="1547">
        <f t="shared" ref="JCM10" si="3408">JCK10</f>
        <v>95000</v>
      </c>
      <c r="JCN10" s="1548"/>
      <c r="JCO10" s="1547">
        <f t="shared" ref="JCO10" si="3409">JCM10</f>
        <v>95000</v>
      </c>
      <c r="JCP10" s="1548"/>
      <c r="JCQ10" s="1547">
        <f t="shared" ref="JCQ10" si="3410">JCO10</f>
        <v>95000</v>
      </c>
      <c r="JCR10" s="1548"/>
      <c r="JCS10" s="1547">
        <f t="shared" ref="JCS10" si="3411">JCQ10</f>
        <v>95000</v>
      </c>
      <c r="JCT10" s="1548"/>
      <c r="JCU10" s="1547">
        <f t="shared" ref="JCU10" si="3412">JCS10</f>
        <v>95000</v>
      </c>
      <c r="JCV10" s="1548"/>
      <c r="JCW10" s="1547">
        <f t="shared" ref="JCW10" si="3413">JCU10</f>
        <v>95000</v>
      </c>
      <c r="JCX10" s="1548"/>
      <c r="JCY10" s="1547">
        <f t="shared" ref="JCY10" si="3414">JCW10</f>
        <v>95000</v>
      </c>
      <c r="JCZ10" s="1548"/>
      <c r="JDA10" s="1547">
        <f t="shared" ref="JDA10" si="3415">JCY10</f>
        <v>95000</v>
      </c>
      <c r="JDB10" s="1548"/>
      <c r="JDC10" s="1547">
        <f t="shared" ref="JDC10" si="3416">JDA10</f>
        <v>95000</v>
      </c>
      <c r="JDD10" s="1548"/>
      <c r="JDE10" s="1547">
        <f t="shared" ref="JDE10" si="3417">JDC10</f>
        <v>95000</v>
      </c>
      <c r="JDF10" s="1548"/>
      <c r="JDG10" s="1547">
        <f t="shared" ref="JDG10" si="3418">JDE10</f>
        <v>95000</v>
      </c>
      <c r="JDH10" s="1548"/>
      <c r="JDI10" s="1547">
        <f t="shared" ref="JDI10" si="3419">JDG10</f>
        <v>95000</v>
      </c>
      <c r="JDJ10" s="1548"/>
      <c r="JDK10" s="1547">
        <f t="shared" ref="JDK10" si="3420">JDI10</f>
        <v>95000</v>
      </c>
      <c r="JDL10" s="1548"/>
      <c r="JDM10" s="1547">
        <f t="shared" ref="JDM10" si="3421">JDK10</f>
        <v>95000</v>
      </c>
      <c r="JDN10" s="1548"/>
      <c r="JDO10" s="1547">
        <f t="shared" ref="JDO10" si="3422">JDM10</f>
        <v>95000</v>
      </c>
      <c r="JDP10" s="1548"/>
      <c r="JDQ10" s="1547">
        <f t="shared" ref="JDQ10" si="3423">JDO10</f>
        <v>95000</v>
      </c>
      <c r="JDR10" s="1548"/>
      <c r="JDS10" s="1547">
        <f t="shared" ref="JDS10" si="3424">JDQ10</f>
        <v>95000</v>
      </c>
      <c r="JDT10" s="1548"/>
      <c r="JDU10" s="1547">
        <f t="shared" ref="JDU10" si="3425">JDS10</f>
        <v>95000</v>
      </c>
      <c r="JDV10" s="1548"/>
      <c r="JDW10" s="1547">
        <f t="shared" ref="JDW10" si="3426">JDU10</f>
        <v>95000</v>
      </c>
      <c r="JDX10" s="1548"/>
      <c r="JDY10" s="1547">
        <f t="shared" ref="JDY10" si="3427">JDW10</f>
        <v>95000</v>
      </c>
      <c r="JDZ10" s="1548"/>
      <c r="JEA10" s="1547">
        <f t="shared" ref="JEA10" si="3428">JDY10</f>
        <v>95000</v>
      </c>
      <c r="JEB10" s="1548"/>
      <c r="JEC10" s="1547">
        <f t="shared" ref="JEC10" si="3429">JEA10</f>
        <v>95000</v>
      </c>
      <c r="JED10" s="1548"/>
      <c r="JEE10" s="1547">
        <f t="shared" ref="JEE10" si="3430">JEC10</f>
        <v>95000</v>
      </c>
      <c r="JEF10" s="1548"/>
      <c r="JEG10" s="1547">
        <f t="shared" ref="JEG10" si="3431">JEE10</f>
        <v>95000</v>
      </c>
      <c r="JEH10" s="1548"/>
      <c r="JEI10" s="1547">
        <f t="shared" ref="JEI10" si="3432">JEG10</f>
        <v>95000</v>
      </c>
      <c r="JEJ10" s="1548"/>
      <c r="JEK10" s="1547">
        <f t="shared" ref="JEK10" si="3433">JEI10</f>
        <v>95000</v>
      </c>
      <c r="JEL10" s="1548"/>
      <c r="JEM10" s="1547">
        <f t="shared" ref="JEM10" si="3434">JEK10</f>
        <v>95000</v>
      </c>
      <c r="JEN10" s="1548"/>
      <c r="JEO10" s="1547">
        <f t="shared" ref="JEO10" si="3435">JEM10</f>
        <v>95000</v>
      </c>
      <c r="JEP10" s="1548"/>
      <c r="JEQ10" s="1547">
        <f t="shared" ref="JEQ10" si="3436">JEO10</f>
        <v>95000</v>
      </c>
      <c r="JER10" s="1548"/>
      <c r="JES10" s="1547">
        <f t="shared" ref="JES10" si="3437">JEQ10</f>
        <v>95000</v>
      </c>
      <c r="JET10" s="1548"/>
      <c r="JEU10" s="1547">
        <f t="shared" ref="JEU10" si="3438">JES10</f>
        <v>95000</v>
      </c>
      <c r="JEV10" s="1548"/>
      <c r="JEW10" s="1547">
        <f t="shared" ref="JEW10" si="3439">JEU10</f>
        <v>95000</v>
      </c>
      <c r="JEX10" s="1548"/>
      <c r="JEY10" s="1547">
        <f t="shared" ref="JEY10" si="3440">JEW10</f>
        <v>95000</v>
      </c>
      <c r="JEZ10" s="1548"/>
      <c r="JFA10" s="1547">
        <f t="shared" ref="JFA10" si="3441">JEY10</f>
        <v>95000</v>
      </c>
      <c r="JFB10" s="1548"/>
      <c r="JFC10" s="1547">
        <f t="shared" ref="JFC10" si="3442">JFA10</f>
        <v>95000</v>
      </c>
      <c r="JFD10" s="1548"/>
      <c r="JFE10" s="1547">
        <f t="shared" ref="JFE10" si="3443">JFC10</f>
        <v>95000</v>
      </c>
      <c r="JFF10" s="1548"/>
      <c r="JFG10" s="1547">
        <f t="shared" ref="JFG10" si="3444">JFE10</f>
        <v>95000</v>
      </c>
      <c r="JFH10" s="1548"/>
      <c r="JFI10" s="1547">
        <f t="shared" ref="JFI10" si="3445">JFG10</f>
        <v>95000</v>
      </c>
      <c r="JFJ10" s="1548"/>
      <c r="JFK10" s="1547">
        <f t="shared" ref="JFK10" si="3446">JFI10</f>
        <v>95000</v>
      </c>
      <c r="JFL10" s="1548"/>
      <c r="JFM10" s="1547">
        <f t="shared" ref="JFM10" si="3447">JFK10</f>
        <v>95000</v>
      </c>
      <c r="JFN10" s="1548"/>
      <c r="JFO10" s="1547">
        <f t="shared" ref="JFO10" si="3448">JFM10</f>
        <v>95000</v>
      </c>
      <c r="JFP10" s="1548"/>
      <c r="JFQ10" s="1547">
        <f t="shared" ref="JFQ10" si="3449">JFO10</f>
        <v>95000</v>
      </c>
      <c r="JFR10" s="1548"/>
      <c r="JFS10" s="1547">
        <f t="shared" ref="JFS10" si="3450">JFQ10</f>
        <v>95000</v>
      </c>
      <c r="JFT10" s="1548"/>
      <c r="JFU10" s="1547">
        <f t="shared" ref="JFU10" si="3451">JFS10</f>
        <v>95000</v>
      </c>
      <c r="JFV10" s="1548"/>
      <c r="JFW10" s="1547">
        <f t="shared" ref="JFW10" si="3452">JFU10</f>
        <v>95000</v>
      </c>
      <c r="JFX10" s="1548"/>
      <c r="JFY10" s="1547">
        <f t="shared" ref="JFY10" si="3453">JFW10</f>
        <v>95000</v>
      </c>
      <c r="JFZ10" s="1548"/>
      <c r="JGA10" s="1547">
        <f t="shared" ref="JGA10" si="3454">JFY10</f>
        <v>95000</v>
      </c>
      <c r="JGB10" s="1548"/>
      <c r="JGC10" s="1547">
        <f t="shared" ref="JGC10" si="3455">JGA10</f>
        <v>95000</v>
      </c>
      <c r="JGD10" s="1548"/>
      <c r="JGE10" s="1547">
        <f t="shared" ref="JGE10" si="3456">JGC10</f>
        <v>95000</v>
      </c>
      <c r="JGF10" s="1548"/>
      <c r="JGG10" s="1547">
        <f t="shared" ref="JGG10" si="3457">JGE10</f>
        <v>95000</v>
      </c>
      <c r="JGH10" s="1548"/>
      <c r="JGI10" s="1547">
        <f t="shared" ref="JGI10" si="3458">JGG10</f>
        <v>95000</v>
      </c>
      <c r="JGJ10" s="1548"/>
      <c r="JGK10" s="1547">
        <f t="shared" ref="JGK10" si="3459">JGI10</f>
        <v>95000</v>
      </c>
      <c r="JGL10" s="1548"/>
      <c r="JGM10" s="1547">
        <f t="shared" ref="JGM10" si="3460">JGK10</f>
        <v>95000</v>
      </c>
      <c r="JGN10" s="1548"/>
      <c r="JGO10" s="1547">
        <f t="shared" ref="JGO10" si="3461">JGM10</f>
        <v>95000</v>
      </c>
      <c r="JGP10" s="1548"/>
      <c r="JGQ10" s="1547">
        <f t="shared" ref="JGQ10" si="3462">JGO10</f>
        <v>95000</v>
      </c>
      <c r="JGR10" s="1548"/>
      <c r="JGS10" s="1547">
        <f t="shared" ref="JGS10" si="3463">JGQ10</f>
        <v>95000</v>
      </c>
      <c r="JGT10" s="1548"/>
      <c r="JGU10" s="1547">
        <f t="shared" ref="JGU10" si="3464">JGS10</f>
        <v>95000</v>
      </c>
      <c r="JGV10" s="1548"/>
      <c r="JGW10" s="1547">
        <f t="shared" ref="JGW10" si="3465">JGU10</f>
        <v>95000</v>
      </c>
      <c r="JGX10" s="1548"/>
      <c r="JGY10" s="1547">
        <f t="shared" ref="JGY10" si="3466">JGW10</f>
        <v>95000</v>
      </c>
      <c r="JGZ10" s="1548"/>
      <c r="JHA10" s="1547">
        <f t="shared" ref="JHA10" si="3467">JGY10</f>
        <v>95000</v>
      </c>
      <c r="JHB10" s="1548"/>
      <c r="JHC10" s="1547">
        <f t="shared" ref="JHC10" si="3468">JHA10</f>
        <v>95000</v>
      </c>
      <c r="JHD10" s="1548"/>
      <c r="JHE10" s="1547">
        <f t="shared" ref="JHE10" si="3469">JHC10</f>
        <v>95000</v>
      </c>
      <c r="JHF10" s="1548"/>
      <c r="JHG10" s="1547">
        <f t="shared" ref="JHG10" si="3470">JHE10</f>
        <v>95000</v>
      </c>
      <c r="JHH10" s="1548"/>
      <c r="JHI10" s="1547">
        <f t="shared" ref="JHI10" si="3471">JHG10</f>
        <v>95000</v>
      </c>
      <c r="JHJ10" s="1548"/>
      <c r="JHK10" s="1547">
        <f t="shared" ref="JHK10" si="3472">JHI10</f>
        <v>95000</v>
      </c>
      <c r="JHL10" s="1548"/>
      <c r="JHM10" s="1547">
        <f t="shared" ref="JHM10" si="3473">JHK10</f>
        <v>95000</v>
      </c>
      <c r="JHN10" s="1548"/>
      <c r="JHO10" s="1547">
        <f t="shared" ref="JHO10" si="3474">JHM10</f>
        <v>95000</v>
      </c>
      <c r="JHP10" s="1548"/>
      <c r="JHQ10" s="1547">
        <f t="shared" ref="JHQ10" si="3475">JHO10</f>
        <v>95000</v>
      </c>
      <c r="JHR10" s="1548"/>
      <c r="JHS10" s="1547">
        <f t="shared" ref="JHS10" si="3476">JHQ10</f>
        <v>95000</v>
      </c>
      <c r="JHT10" s="1548"/>
      <c r="JHU10" s="1547">
        <f t="shared" ref="JHU10" si="3477">JHS10</f>
        <v>95000</v>
      </c>
      <c r="JHV10" s="1548"/>
      <c r="JHW10" s="1547">
        <f t="shared" ref="JHW10" si="3478">JHU10</f>
        <v>95000</v>
      </c>
      <c r="JHX10" s="1548"/>
      <c r="JHY10" s="1547">
        <f t="shared" ref="JHY10" si="3479">JHW10</f>
        <v>95000</v>
      </c>
      <c r="JHZ10" s="1548"/>
      <c r="JIA10" s="1547">
        <f t="shared" ref="JIA10" si="3480">JHY10</f>
        <v>95000</v>
      </c>
      <c r="JIB10" s="1548"/>
      <c r="JIC10" s="1547">
        <f t="shared" ref="JIC10" si="3481">JIA10</f>
        <v>95000</v>
      </c>
      <c r="JID10" s="1548"/>
      <c r="JIE10" s="1547">
        <f t="shared" ref="JIE10" si="3482">JIC10</f>
        <v>95000</v>
      </c>
      <c r="JIF10" s="1548"/>
      <c r="JIG10" s="1547">
        <f t="shared" ref="JIG10" si="3483">JIE10</f>
        <v>95000</v>
      </c>
      <c r="JIH10" s="1548"/>
      <c r="JII10" s="1547">
        <f t="shared" ref="JII10" si="3484">JIG10</f>
        <v>95000</v>
      </c>
      <c r="JIJ10" s="1548"/>
      <c r="JIK10" s="1547">
        <f t="shared" ref="JIK10" si="3485">JII10</f>
        <v>95000</v>
      </c>
      <c r="JIL10" s="1548"/>
      <c r="JIM10" s="1547">
        <f t="shared" ref="JIM10" si="3486">JIK10</f>
        <v>95000</v>
      </c>
      <c r="JIN10" s="1548"/>
      <c r="JIO10" s="1547">
        <f t="shared" ref="JIO10" si="3487">JIM10</f>
        <v>95000</v>
      </c>
      <c r="JIP10" s="1548"/>
      <c r="JIQ10" s="1547">
        <f t="shared" ref="JIQ10" si="3488">JIO10</f>
        <v>95000</v>
      </c>
      <c r="JIR10" s="1548"/>
      <c r="JIS10" s="1547">
        <f t="shared" ref="JIS10" si="3489">JIQ10</f>
        <v>95000</v>
      </c>
      <c r="JIT10" s="1548"/>
      <c r="JIU10" s="1547">
        <f t="shared" ref="JIU10" si="3490">JIS10</f>
        <v>95000</v>
      </c>
      <c r="JIV10" s="1548"/>
      <c r="JIW10" s="1547">
        <f t="shared" ref="JIW10" si="3491">JIU10</f>
        <v>95000</v>
      </c>
      <c r="JIX10" s="1548"/>
      <c r="JIY10" s="1547">
        <f t="shared" ref="JIY10" si="3492">JIW10</f>
        <v>95000</v>
      </c>
      <c r="JIZ10" s="1548"/>
      <c r="JJA10" s="1547">
        <f t="shared" ref="JJA10" si="3493">JIY10</f>
        <v>95000</v>
      </c>
      <c r="JJB10" s="1548"/>
      <c r="JJC10" s="1547">
        <f t="shared" ref="JJC10" si="3494">JJA10</f>
        <v>95000</v>
      </c>
      <c r="JJD10" s="1548"/>
      <c r="JJE10" s="1547">
        <f t="shared" ref="JJE10" si="3495">JJC10</f>
        <v>95000</v>
      </c>
      <c r="JJF10" s="1548"/>
      <c r="JJG10" s="1547">
        <f t="shared" ref="JJG10" si="3496">JJE10</f>
        <v>95000</v>
      </c>
      <c r="JJH10" s="1548"/>
      <c r="JJI10" s="1547">
        <f t="shared" ref="JJI10" si="3497">JJG10</f>
        <v>95000</v>
      </c>
      <c r="JJJ10" s="1548"/>
      <c r="JJK10" s="1547">
        <f t="shared" ref="JJK10" si="3498">JJI10</f>
        <v>95000</v>
      </c>
      <c r="JJL10" s="1548"/>
      <c r="JJM10" s="1547">
        <f t="shared" ref="JJM10" si="3499">JJK10</f>
        <v>95000</v>
      </c>
      <c r="JJN10" s="1548"/>
      <c r="JJO10" s="1547">
        <f t="shared" ref="JJO10" si="3500">JJM10</f>
        <v>95000</v>
      </c>
      <c r="JJP10" s="1548"/>
      <c r="JJQ10" s="1547">
        <f t="shared" ref="JJQ10" si="3501">JJO10</f>
        <v>95000</v>
      </c>
      <c r="JJR10" s="1548"/>
      <c r="JJS10" s="1547">
        <f t="shared" ref="JJS10" si="3502">JJQ10</f>
        <v>95000</v>
      </c>
      <c r="JJT10" s="1548"/>
      <c r="JJU10" s="1547">
        <f t="shared" ref="JJU10" si="3503">JJS10</f>
        <v>95000</v>
      </c>
      <c r="JJV10" s="1548"/>
      <c r="JJW10" s="1547">
        <f t="shared" ref="JJW10" si="3504">JJU10</f>
        <v>95000</v>
      </c>
      <c r="JJX10" s="1548"/>
      <c r="JJY10" s="1547">
        <f t="shared" ref="JJY10" si="3505">JJW10</f>
        <v>95000</v>
      </c>
      <c r="JJZ10" s="1548"/>
      <c r="JKA10" s="1547">
        <f t="shared" ref="JKA10" si="3506">JJY10</f>
        <v>95000</v>
      </c>
      <c r="JKB10" s="1548"/>
      <c r="JKC10" s="1547">
        <f t="shared" ref="JKC10" si="3507">JKA10</f>
        <v>95000</v>
      </c>
      <c r="JKD10" s="1548"/>
      <c r="JKE10" s="1547">
        <f t="shared" ref="JKE10" si="3508">JKC10</f>
        <v>95000</v>
      </c>
      <c r="JKF10" s="1548"/>
      <c r="JKG10" s="1547">
        <f t="shared" ref="JKG10" si="3509">JKE10</f>
        <v>95000</v>
      </c>
      <c r="JKH10" s="1548"/>
      <c r="JKI10" s="1547">
        <f t="shared" ref="JKI10" si="3510">JKG10</f>
        <v>95000</v>
      </c>
      <c r="JKJ10" s="1548"/>
      <c r="JKK10" s="1547">
        <f t="shared" ref="JKK10" si="3511">JKI10</f>
        <v>95000</v>
      </c>
      <c r="JKL10" s="1548"/>
      <c r="JKM10" s="1547">
        <f t="shared" ref="JKM10" si="3512">JKK10</f>
        <v>95000</v>
      </c>
      <c r="JKN10" s="1548"/>
      <c r="JKO10" s="1547">
        <f t="shared" ref="JKO10" si="3513">JKM10</f>
        <v>95000</v>
      </c>
      <c r="JKP10" s="1548"/>
      <c r="JKQ10" s="1547">
        <f t="shared" ref="JKQ10" si="3514">JKO10</f>
        <v>95000</v>
      </c>
      <c r="JKR10" s="1548"/>
      <c r="JKS10" s="1547">
        <f t="shared" ref="JKS10" si="3515">JKQ10</f>
        <v>95000</v>
      </c>
      <c r="JKT10" s="1548"/>
      <c r="JKU10" s="1547">
        <f t="shared" ref="JKU10" si="3516">JKS10</f>
        <v>95000</v>
      </c>
      <c r="JKV10" s="1548"/>
      <c r="JKW10" s="1547">
        <f t="shared" ref="JKW10" si="3517">JKU10</f>
        <v>95000</v>
      </c>
      <c r="JKX10" s="1548"/>
      <c r="JKY10" s="1547">
        <f t="shared" ref="JKY10" si="3518">JKW10</f>
        <v>95000</v>
      </c>
      <c r="JKZ10" s="1548"/>
      <c r="JLA10" s="1547">
        <f t="shared" ref="JLA10" si="3519">JKY10</f>
        <v>95000</v>
      </c>
      <c r="JLB10" s="1548"/>
      <c r="JLC10" s="1547">
        <f t="shared" ref="JLC10" si="3520">JLA10</f>
        <v>95000</v>
      </c>
      <c r="JLD10" s="1548"/>
      <c r="JLE10" s="1547">
        <f t="shared" ref="JLE10" si="3521">JLC10</f>
        <v>95000</v>
      </c>
      <c r="JLF10" s="1548"/>
      <c r="JLG10" s="1547">
        <f t="shared" ref="JLG10" si="3522">JLE10</f>
        <v>95000</v>
      </c>
      <c r="JLH10" s="1548"/>
      <c r="JLI10" s="1547">
        <f t="shared" ref="JLI10" si="3523">JLG10</f>
        <v>95000</v>
      </c>
      <c r="JLJ10" s="1548"/>
      <c r="JLK10" s="1547">
        <f t="shared" ref="JLK10" si="3524">JLI10</f>
        <v>95000</v>
      </c>
      <c r="JLL10" s="1548"/>
      <c r="JLM10" s="1547">
        <f t="shared" ref="JLM10" si="3525">JLK10</f>
        <v>95000</v>
      </c>
      <c r="JLN10" s="1548"/>
      <c r="JLO10" s="1547">
        <f t="shared" ref="JLO10" si="3526">JLM10</f>
        <v>95000</v>
      </c>
      <c r="JLP10" s="1548"/>
      <c r="JLQ10" s="1547">
        <f t="shared" ref="JLQ10" si="3527">JLO10</f>
        <v>95000</v>
      </c>
      <c r="JLR10" s="1548"/>
      <c r="JLS10" s="1547">
        <f t="shared" ref="JLS10" si="3528">JLQ10</f>
        <v>95000</v>
      </c>
      <c r="JLT10" s="1548"/>
      <c r="JLU10" s="1547">
        <f t="shared" ref="JLU10" si="3529">JLS10</f>
        <v>95000</v>
      </c>
      <c r="JLV10" s="1548"/>
      <c r="JLW10" s="1547">
        <f t="shared" ref="JLW10" si="3530">JLU10</f>
        <v>95000</v>
      </c>
      <c r="JLX10" s="1548"/>
      <c r="JLY10" s="1547">
        <f t="shared" ref="JLY10" si="3531">JLW10</f>
        <v>95000</v>
      </c>
      <c r="JLZ10" s="1548"/>
      <c r="JMA10" s="1547">
        <f t="shared" ref="JMA10" si="3532">JLY10</f>
        <v>95000</v>
      </c>
      <c r="JMB10" s="1548"/>
      <c r="JMC10" s="1547">
        <f t="shared" ref="JMC10" si="3533">JMA10</f>
        <v>95000</v>
      </c>
      <c r="JMD10" s="1548"/>
      <c r="JME10" s="1547">
        <f t="shared" ref="JME10" si="3534">JMC10</f>
        <v>95000</v>
      </c>
      <c r="JMF10" s="1548"/>
      <c r="JMG10" s="1547">
        <f t="shared" ref="JMG10" si="3535">JME10</f>
        <v>95000</v>
      </c>
      <c r="JMH10" s="1548"/>
      <c r="JMI10" s="1547">
        <f t="shared" ref="JMI10" si="3536">JMG10</f>
        <v>95000</v>
      </c>
      <c r="JMJ10" s="1548"/>
      <c r="JMK10" s="1547">
        <f t="shared" ref="JMK10" si="3537">JMI10</f>
        <v>95000</v>
      </c>
      <c r="JML10" s="1548"/>
      <c r="JMM10" s="1547">
        <f t="shared" ref="JMM10" si="3538">JMK10</f>
        <v>95000</v>
      </c>
      <c r="JMN10" s="1548"/>
      <c r="JMO10" s="1547">
        <f t="shared" ref="JMO10" si="3539">JMM10</f>
        <v>95000</v>
      </c>
      <c r="JMP10" s="1548"/>
      <c r="JMQ10" s="1547">
        <f t="shared" ref="JMQ10" si="3540">JMO10</f>
        <v>95000</v>
      </c>
      <c r="JMR10" s="1548"/>
      <c r="JMS10" s="1547">
        <f t="shared" ref="JMS10" si="3541">JMQ10</f>
        <v>95000</v>
      </c>
      <c r="JMT10" s="1548"/>
      <c r="JMU10" s="1547">
        <f t="shared" ref="JMU10" si="3542">JMS10</f>
        <v>95000</v>
      </c>
      <c r="JMV10" s="1548"/>
      <c r="JMW10" s="1547">
        <f t="shared" ref="JMW10" si="3543">JMU10</f>
        <v>95000</v>
      </c>
      <c r="JMX10" s="1548"/>
      <c r="JMY10" s="1547">
        <f t="shared" ref="JMY10" si="3544">JMW10</f>
        <v>95000</v>
      </c>
      <c r="JMZ10" s="1548"/>
      <c r="JNA10" s="1547">
        <f t="shared" ref="JNA10" si="3545">JMY10</f>
        <v>95000</v>
      </c>
      <c r="JNB10" s="1548"/>
      <c r="JNC10" s="1547">
        <f t="shared" ref="JNC10" si="3546">JNA10</f>
        <v>95000</v>
      </c>
      <c r="JND10" s="1548"/>
      <c r="JNE10" s="1547">
        <f t="shared" ref="JNE10" si="3547">JNC10</f>
        <v>95000</v>
      </c>
      <c r="JNF10" s="1548"/>
      <c r="JNG10" s="1547">
        <f t="shared" ref="JNG10" si="3548">JNE10</f>
        <v>95000</v>
      </c>
      <c r="JNH10" s="1548"/>
      <c r="JNI10" s="1547">
        <f t="shared" ref="JNI10" si="3549">JNG10</f>
        <v>95000</v>
      </c>
      <c r="JNJ10" s="1548"/>
      <c r="JNK10" s="1547">
        <f t="shared" ref="JNK10" si="3550">JNI10</f>
        <v>95000</v>
      </c>
      <c r="JNL10" s="1548"/>
      <c r="JNM10" s="1547">
        <f t="shared" ref="JNM10" si="3551">JNK10</f>
        <v>95000</v>
      </c>
      <c r="JNN10" s="1548"/>
      <c r="JNO10" s="1547">
        <f t="shared" ref="JNO10" si="3552">JNM10</f>
        <v>95000</v>
      </c>
      <c r="JNP10" s="1548"/>
      <c r="JNQ10" s="1547">
        <f t="shared" ref="JNQ10" si="3553">JNO10</f>
        <v>95000</v>
      </c>
      <c r="JNR10" s="1548"/>
      <c r="JNS10" s="1547">
        <f t="shared" ref="JNS10" si="3554">JNQ10</f>
        <v>95000</v>
      </c>
      <c r="JNT10" s="1548"/>
      <c r="JNU10" s="1547">
        <f t="shared" ref="JNU10" si="3555">JNS10</f>
        <v>95000</v>
      </c>
      <c r="JNV10" s="1548"/>
      <c r="JNW10" s="1547">
        <f t="shared" ref="JNW10" si="3556">JNU10</f>
        <v>95000</v>
      </c>
      <c r="JNX10" s="1548"/>
      <c r="JNY10" s="1547">
        <f t="shared" ref="JNY10" si="3557">JNW10</f>
        <v>95000</v>
      </c>
      <c r="JNZ10" s="1548"/>
      <c r="JOA10" s="1547">
        <f t="shared" ref="JOA10" si="3558">JNY10</f>
        <v>95000</v>
      </c>
      <c r="JOB10" s="1548"/>
      <c r="JOC10" s="1547">
        <f t="shared" ref="JOC10" si="3559">JOA10</f>
        <v>95000</v>
      </c>
      <c r="JOD10" s="1548"/>
      <c r="JOE10" s="1547">
        <f t="shared" ref="JOE10" si="3560">JOC10</f>
        <v>95000</v>
      </c>
      <c r="JOF10" s="1548"/>
      <c r="JOG10" s="1547">
        <f t="shared" ref="JOG10" si="3561">JOE10</f>
        <v>95000</v>
      </c>
      <c r="JOH10" s="1548"/>
      <c r="JOI10" s="1547">
        <f t="shared" ref="JOI10" si="3562">JOG10</f>
        <v>95000</v>
      </c>
      <c r="JOJ10" s="1548"/>
      <c r="JOK10" s="1547">
        <f t="shared" ref="JOK10" si="3563">JOI10</f>
        <v>95000</v>
      </c>
      <c r="JOL10" s="1548"/>
      <c r="JOM10" s="1547">
        <f t="shared" ref="JOM10" si="3564">JOK10</f>
        <v>95000</v>
      </c>
      <c r="JON10" s="1548"/>
      <c r="JOO10" s="1547">
        <f t="shared" ref="JOO10" si="3565">JOM10</f>
        <v>95000</v>
      </c>
      <c r="JOP10" s="1548"/>
      <c r="JOQ10" s="1547">
        <f t="shared" ref="JOQ10" si="3566">JOO10</f>
        <v>95000</v>
      </c>
      <c r="JOR10" s="1548"/>
      <c r="JOS10" s="1547">
        <f t="shared" ref="JOS10" si="3567">JOQ10</f>
        <v>95000</v>
      </c>
      <c r="JOT10" s="1548"/>
      <c r="JOU10" s="1547">
        <f t="shared" ref="JOU10" si="3568">JOS10</f>
        <v>95000</v>
      </c>
      <c r="JOV10" s="1548"/>
      <c r="JOW10" s="1547">
        <f t="shared" ref="JOW10" si="3569">JOU10</f>
        <v>95000</v>
      </c>
      <c r="JOX10" s="1548"/>
      <c r="JOY10" s="1547">
        <f t="shared" ref="JOY10" si="3570">JOW10</f>
        <v>95000</v>
      </c>
      <c r="JOZ10" s="1548"/>
      <c r="JPA10" s="1547">
        <f t="shared" ref="JPA10" si="3571">JOY10</f>
        <v>95000</v>
      </c>
      <c r="JPB10" s="1548"/>
      <c r="JPC10" s="1547">
        <f t="shared" ref="JPC10" si="3572">JPA10</f>
        <v>95000</v>
      </c>
      <c r="JPD10" s="1548"/>
      <c r="JPE10" s="1547">
        <f t="shared" ref="JPE10" si="3573">JPC10</f>
        <v>95000</v>
      </c>
      <c r="JPF10" s="1548"/>
      <c r="JPG10" s="1547">
        <f t="shared" ref="JPG10" si="3574">JPE10</f>
        <v>95000</v>
      </c>
      <c r="JPH10" s="1548"/>
      <c r="JPI10" s="1547">
        <f t="shared" ref="JPI10" si="3575">JPG10</f>
        <v>95000</v>
      </c>
      <c r="JPJ10" s="1548"/>
      <c r="JPK10" s="1547">
        <f t="shared" ref="JPK10" si="3576">JPI10</f>
        <v>95000</v>
      </c>
      <c r="JPL10" s="1548"/>
      <c r="JPM10" s="1547">
        <f t="shared" ref="JPM10" si="3577">JPK10</f>
        <v>95000</v>
      </c>
      <c r="JPN10" s="1548"/>
      <c r="JPO10" s="1547">
        <f t="shared" ref="JPO10" si="3578">JPM10</f>
        <v>95000</v>
      </c>
      <c r="JPP10" s="1548"/>
      <c r="JPQ10" s="1547">
        <f t="shared" ref="JPQ10" si="3579">JPO10</f>
        <v>95000</v>
      </c>
      <c r="JPR10" s="1548"/>
      <c r="JPS10" s="1547">
        <f t="shared" ref="JPS10" si="3580">JPQ10</f>
        <v>95000</v>
      </c>
      <c r="JPT10" s="1548"/>
      <c r="JPU10" s="1547">
        <f t="shared" ref="JPU10" si="3581">JPS10</f>
        <v>95000</v>
      </c>
      <c r="JPV10" s="1548"/>
      <c r="JPW10" s="1547">
        <f t="shared" ref="JPW10" si="3582">JPU10</f>
        <v>95000</v>
      </c>
      <c r="JPX10" s="1548"/>
      <c r="JPY10" s="1547">
        <f t="shared" ref="JPY10" si="3583">JPW10</f>
        <v>95000</v>
      </c>
      <c r="JPZ10" s="1548"/>
      <c r="JQA10" s="1547">
        <f t="shared" ref="JQA10" si="3584">JPY10</f>
        <v>95000</v>
      </c>
      <c r="JQB10" s="1548"/>
      <c r="JQC10" s="1547">
        <f t="shared" ref="JQC10" si="3585">JQA10</f>
        <v>95000</v>
      </c>
      <c r="JQD10" s="1548"/>
      <c r="JQE10" s="1547">
        <f t="shared" ref="JQE10" si="3586">JQC10</f>
        <v>95000</v>
      </c>
      <c r="JQF10" s="1548"/>
      <c r="JQG10" s="1547">
        <f t="shared" ref="JQG10" si="3587">JQE10</f>
        <v>95000</v>
      </c>
      <c r="JQH10" s="1548"/>
      <c r="JQI10" s="1547">
        <f t="shared" ref="JQI10" si="3588">JQG10</f>
        <v>95000</v>
      </c>
      <c r="JQJ10" s="1548"/>
      <c r="JQK10" s="1547">
        <f t="shared" ref="JQK10" si="3589">JQI10</f>
        <v>95000</v>
      </c>
      <c r="JQL10" s="1548"/>
      <c r="JQM10" s="1547">
        <f t="shared" ref="JQM10" si="3590">JQK10</f>
        <v>95000</v>
      </c>
      <c r="JQN10" s="1548"/>
      <c r="JQO10" s="1547">
        <f t="shared" ref="JQO10" si="3591">JQM10</f>
        <v>95000</v>
      </c>
      <c r="JQP10" s="1548"/>
      <c r="JQQ10" s="1547">
        <f t="shared" ref="JQQ10" si="3592">JQO10</f>
        <v>95000</v>
      </c>
      <c r="JQR10" s="1548"/>
      <c r="JQS10" s="1547">
        <f t="shared" ref="JQS10" si="3593">JQQ10</f>
        <v>95000</v>
      </c>
      <c r="JQT10" s="1548"/>
      <c r="JQU10" s="1547">
        <f t="shared" ref="JQU10" si="3594">JQS10</f>
        <v>95000</v>
      </c>
      <c r="JQV10" s="1548"/>
      <c r="JQW10" s="1547">
        <f t="shared" ref="JQW10" si="3595">JQU10</f>
        <v>95000</v>
      </c>
      <c r="JQX10" s="1548"/>
      <c r="JQY10" s="1547">
        <f t="shared" ref="JQY10" si="3596">JQW10</f>
        <v>95000</v>
      </c>
      <c r="JQZ10" s="1548"/>
      <c r="JRA10" s="1547">
        <f t="shared" ref="JRA10" si="3597">JQY10</f>
        <v>95000</v>
      </c>
      <c r="JRB10" s="1548"/>
      <c r="JRC10" s="1547">
        <f t="shared" ref="JRC10" si="3598">JRA10</f>
        <v>95000</v>
      </c>
      <c r="JRD10" s="1548"/>
      <c r="JRE10" s="1547">
        <f t="shared" ref="JRE10" si="3599">JRC10</f>
        <v>95000</v>
      </c>
      <c r="JRF10" s="1548"/>
      <c r="JRG10" s="1547">
        <f t="shared" ref="JRG10" si="3600">JRE10</f>
        <v>95000</v>
      </c>
      <c r="JRH10" s="1548"/>
      <c r="JRI10" s="1547">
        <f t="shared" ref="JRI10" si="3601">JRG10</f>
        <v>95000</v>
      </c>
      <c r="JRJ10" s="1548"/>
      <c r="JRK10" s="1547">
        <f t="shared" ref="JRK10" si="3602">JRI10</f>
        <v>95000</v>
      </c>
      <c r="JRL10" s="1548"/>
      <c r="JRM10" s="1547">
        <f t="shared" ref="JRM10" si="3603">JRK10</f>
        <v>95000</v>
      </c>
      <c r="JRN10" s="1548"/>
      <c r="JRO10" s="1547">
        <f t="shared" ref="JRO10" si="3604">JRM10</f>
        <v>95000</v>
      </c>
      <c r="JRP10" s="1548"/>
      <c r="JRQ10" s="1547">
        <f t="shared" ref="JRQ10" si="3605">JRO10</f>
        <v>95000</v>
      </c>
      <c r="JRR10" s="1548"/>
      <c r="JRS10" s="1547">
        <f t="shared" ref="JRS10" si="3606">JRQ10</f>
        <v>95000</v>
      </c>
      <c r="JRT10" s="1548"/>
      <c r="JRU10" s="1547">
        <f t="shared" ref="JRU10" si="3607">JRS10</f>
        <v>95000</v>
      </c>
      <c r="JRV10" s="1548"/>
      <c r="JRW10" s="1547">
        <f t="shared" ref="JRW10" si="3608">JRU10</f>
        <v>95000</v>
      </c>
      <c r="JRX10" s="1548"/>
      <c r="JRY10" s="1547">
        <f t="shared" ref="JRY10" si="3609">JRW10</f>
        <v>95000</v>
      </c>
      <c r="JRZ10" s="1548"/>
      <c r="JSA10" s="1547">
        <f t="shared" ref="JSA10" si="3610">JRY10</f>
        <v>95000</v>
      </c>
      <c r="JSB10" s="1548"/>
      <c r="JSC10" s="1547">
        <f t="shared" ref="JSC10" si="3611">JSA10</f>
        <v>95000</v>
      </c>
      <c r="JSD10" s="1548"/>
      <c r="JSE10" s="1547">
        <f t="shared" ref="JSE10" si="3612">JSC10</f>
        <v>95000</v>
      </c>
      <c r="JSF10" s="1548"/>
      <c r="JSG10" s="1547">
        <f t="shared" ref="JSG10" si="3613">JSE10</f>
        <v>95000</v>
      </c>
      <c r="JSH10" s="1548"/>
      <c r="JSI10" s="1547">
        <f t="shared" ref="JSI10" si="3614">JSG10</f>
        <v>95000</v>
      </c>
      <c r="JSJ10" s="1548"/>
      <c r="JSK10" s="1547">
        <f t="shared" ref="JSK10" si="3615">JSI10</f>
        <v>95000</v>
      </c>
      <c r="JSL10" s="1548"/>
      <c r="JSM10" s="1547">
        <f t="shared" ref="JSM10" si="3616">JSK10</f>
        <v>95000</v>
      </c>
      <c r="JSN10" s="1548"/>
      <c r="JSO10" s="1547">
        <f t="shared" ref="JSO10" si="3617">JSM10</f>
        <v>95000</v>
      </c>
      <c r="JSP10" s="1548"/>
      <c r="JSQ10" s="1547">
        <f t="shared" ref="JSQ10" si="3618">JSO10</f>
        <v>95000</v>
      </c>
      <c r="JSR10" s="1548"/>
      <c r="JSS10" s="1547">
        <f t="shared" ref="JSS10" si="3619">JSQ10</f>
        <v>95000</v>
      </c>
      <c r="JST10" s="1548"/>
      <c r="JSU10" s="1547">
        <f t="shared" ref="JSU10" si="3620">JSS10</f>
        <v>95000</v>
      </c>
      <c r="JSV10" s="1548"/>
      <c r="JSW10" s="1547">
        <f t="shared" ref="JSW10" si="3621">JSU10</f>
        <v>95000</v>
      </c>
      <c r="JSX10" s="1548"/>
      <c r="JSY10" s="1547">
        <f t="shared" ref="JSY10" si="3622">JSW10</f>
        <v>95000</v>
      </c>
      <c r="JSZ10" s="1548"/>
      <c r="JTA10" s="1547">
        <f t="shared" ref="JTA10" si="3623">JSY10</f>
        <v>95000</v>
      </c>
      <c r="JTB10" s="1548"/>
      <c r="JTC10" s="1547">
        <f t="shared" ref="JTC10" si="3624">JTA10</f>
        <v>95000</v>
      </c>
      <c r="JTD10" s="1548"/>
      <c r="JTE10" s="1547">
        <f t="shared" ref="JTE10" si="3625">JTC10</f>
        <v>95000</v>
      </c>
      <c r="JTF10" s="1548"/>
      <c r="JTG10" s="1547">
        <f t="shared" ref="JTG10" si="3626">JTE10</f>
        <v>95000</v>
      </c>
      <c r="JTH10" s="1548"/>
      <c r="JTI10" s="1547">
        <f t="shared" ref="JTI10" si="3627">JTG10</f>
        <v>95000</v>
      </c>
      <c r="JTJ10" s="1548"/>
      <c r="JTK10" s="1547">
        <f t="shared" ref="JTK10" si="3628">JTI10</f>
        <v>95000</v>
      </c>
      <c r="JTL10" s="1548"/>
      <c r="JTM10" s="1547">
        <f t="shared" ref="JTM10" si="3629">JTK10</f>
        <v>95000</v>
      </c>
      <c r="JTN10" s="1548"/>
      <c r="JTO10" s="1547">
        <f t="shared" ref="JTO10" si="3630">JTM10</f>
        <v>95000</v>
      </c>
      <c r="JTP10" s="1548"/>
      <c r="JTQ10" s="1547">
        <f t="shared" ref="JTQ10" si="3631">JTO10</f>
        <v>95000</v>
      </c>
      <c r="JTR10" s="1548"/>
      <c r="JTS10" s="1547">
        <f t="shared" ref="JTS10" si="3632">JTQ10</f>
        <v>95000</v>
      </c>
      <c r="JTT10" s="1548"/>
      <c r="JTU10" s="1547">
        <f t="shared" ref="JTU10" si="3633">JTS10</f>
        <v>95000</v>
      </c>
      <c r="JTV10" s="1548"/>
      <c r="JTW10" s="1547">
        <f t="shared" ref="JTW10" si="3634">JTU10</f>
        <v>95000</v>
      </c>
      <c r="JTX10" s="1548"/>
      <c r="JTY10" s="1547">
        <f t="shared" ref="JTY10" si="3635">JTW10</f>
        <v>95000</v>
      </c>
      <c r="JTZ10" s="1548"/>
      <c r="JUA10" s="1547">
        <f t="shared" ref="JUA10" si="3636">JTY10</f>
        <v>95000</v>
      </c>
      <c r="JUB10" s="1548"/>
      <c r="JUC10" s="1547">
        <f t="shared" ref="JUC10" si="3637">JUA10</f>
        <v>95000</v>
      </c>
      <c r="JUD10" s="1548"/>
      <c r="JUE10" s="1547">
        <f t="shared" ref="JUE10" si="3638">JUC10</f>
        <v>95000</v>
      </c>
      <c r="JUF10" s="1548"/>
      <c r="JUG10" s="1547">
        <f t="shared" ref="JUG10" si="3639">JUE10</f>
        <v>95000</v>
      </c>
      <c r="JUH10" s="1548"/>
      <c r="JUI10" s="1547">
        <f t="shared" ref="JUI10" si="3640">JUG10</f>
        <v>95000</v>
      </c>
      <c r="JUJ10" s="1548"/>
      <c r="JUK10" s="1547">
        <f t="shared" ref="JUK10" si="3641">JUI10</f>
        <v>95000</v>
      </c>
      <c r="JUL10" s="1548"/>
      <c r="JUM10" s="1547">
        <f t="shared" ref="JUM10" si="3642">JUK10</f>
        <v>95000</v>
      </c>
      <c r="JUN10" s="1548"/>
      <c r="JUO10" s="1547">
        <f t="shared" ref="JUO10" si="3643">JUM10</f>
        <v>95000</v>
      </c>
      <c r="JUP10" s="1548"/>
      <c r="JUQ10" s="1547">
        <f t="shared" ref="JUQ10" si="3644">JUO10</f>
        <v>95000</v>
      </c>
      <c r="JUR10" s="1548"/>
      <c r="JUS10" s="1547">
        <f t="shared" ref="JUS10" si="3645">JUQ10</f>
        <v>95000</v>
      </c>
      <c r="JUT10" s="1548"/>
      <c r="JUU10" s="1547">
        <f t="shared" ref="JUU10" si="3646">JUS10</f>
        <v>95000</v>
      </c>
      <c r="JUV10" s="1548"/>
      <c r="JUW10" s="1547">
        <f t="shared" ref="JUW10" si="3647">JUU10</f>
        <v>95000</v>
      </c>
      <c r="JUX10" s="1548"/>
      <c r="JUY10" s="1547">
        <f t="shared" ref="JUY10" si="3648">JUW10</f>
        <v>95000</v>
      </c>
      <c r="JUZ10" s="1548"/>
      <c r="JVA10" s="1547">
        <f t="shared" ref="JVA10" si="3649">JUY10</f>
        <v>95000</v>
      </c>
      <c r="JVB10" s="1548"/>
      <c r="JVC10" s="1547">
        <f t="shared" ref="JVC10" si="3650">JVA10</f>
        <v>95000</v>
      </c>
      <c r="JVD10" s="1548"/>
      <c r="JVE10" s="1547">
        <f t="shared" ref="JVE10" si="3651">JVC10</f>
        <v>95000</v>
      </c>
      <c r="JVF10" s="1548"/>
      <c r="JVG10" s="1547">
        <f t="shared" ref="JVG10" si="3652">JVE10</f>
        <v>95000</v>
      </c>
      <c r="JVH10" s="1548"/>
      <c r="JVI10" s="1547">
        <f t="shared" ref="JVI10" si="3653">JVG10</f>
        <v>95000</v>
      </c>
      <c r="JVJ10" s="1548"/>
      <c r="JVK10" s="1547">
        <f t="shared" ref="JVK10" si="3654">JVI10</f>
        <v>95000</v>
      </c>
      <c r="JVL10" s="1548"/>
      <c r="JVM10" s="1547">
        <f t="shared" ref="JVM10" si="3655">JVK10</f>
        <v>95000</v>
      </c>
      <c r="JVN10" s="1548"/>
      <c r="JVO10" s="1547">
        <f t="shared" ref="JVO10" si="3656">JVM10</f>
        <v>95000</v>
      </c>
      <c r="JVP10" s="1548"/>
      <c r="JVQ10" s="1547">
        <f t="shared" ref="JVQ10" si="3657">JVO10</f>
        <v>95000</v>
      </c>
      <c r="JVR10" s="1548"/>
      <c r="JVS10" s="1547">
        <f t="shared" ref="JVS10" si="3658">JVQ10</f>
        <v>95000</v>
      </c>
      <c r="JVT10" s="1548"/>
      <c r="JVU10" s="1547">
        <f t="shared" ref="JVU10" si="3659">JVS10</f>
        <v>95000</v>
      </c>
      <c r="JVV10" s="1548"/>
      <c r="JVW10" s="1547">
        <f t="shared" ref="JVW10" si="3660">JVU10</f>
        <v>95000</v>
      </c>
      <c r="JVX10" s="1548"/>
      <c r="JVY10" s="1547">
        <f t="shared" ref="JVY10" si="3661">JVW10</f>
        <v>95000</v>
      </c>
      <c r="JVZ10" s="1548"/>
      <c r="JWA10" s="1547">
        <f t="shared" ref="JWA10" si="3662">JVY10</f>
        <v>95000</v>
      </c>
      <c r="JWB10" s="1548"/>
      <c r="JWC10" s="1547">
        <f t="shared" ref="JWC10" si="3663">JWA10</f>
        <v>95000</v>
      </c>
      <c r="JWD10" s="1548"/>
      <c r="JWE10" s="1547">
        <f t="shared" ref="JWE10" si="3664">JWC10</f>
        <v>95000</v>
      </c>
      <c r="JWF10" s="1548"/>
      <c r="JWG10" s="1547">
        <f t="shared" ref="JWG10" si="3665">JWE10</f>
        <v>95000</v>
      </c>
      <c r="JWH10" s="1548"/>
      <c r="JWI10" s="1547">
        <f t="shared" ref="JWI10" si="3666">JWG10</f>
        <v>95000</v>
      </c>
      <c r="JWJ10" s="1548"/>
      <c r="JWK10" s="1547">
        <f t="shared" ref="JWK10" si="3667">JWI10</f>
        <v>95000</v>
      </c>
      <c r="JWL10" s="1548"/>
      <c r="JWM10" s="1547">
        <f t="shared" ref="JWM10" si="3668">JWK10</f>
        <v>95000</v>
      </c>
      <c r="JWN10" s="1548"/>
      <c r="JWO10" s="1547">
        <f t="shared" ref="JWO10" si="3669">JWM10</f>
        <v>95000</v>
      </c>
      <c r="JWP10" s="1548"/>
      <c r="JWQ10" s="1547">
        <f t="shared" ref="JWQ10" si="3670">JWO10</f>
        <v>95000</v>
      </c>
      <c r="JWR10" s="1548"/>
      <c r="JWS10" s="1547">
        <f t="shared" ref="JWS10" si="3671">JWQ10</f>
        <v>95000</v>
      </c>
      <c r="JWT10" s="1548"/>
      <c r="JWU10" s="1547">
        <f t="shared" ref="JWU10" si="3672">JWS10</f>
        <v>95000</v>
      </c>
      <c r="JWV10" s="1548"/>
      <c r="JWW10" s="1547">
        <f t="shared" ref="JWW10" si="3673">JWU10</f>
        <v>95000</v>
      </c>
      <c r="JWX10" s="1548"/>
      <c r="JWY10" s="1547">
        <f t="shared" ref="JWY10" si="3674">JWW10</f>
        <v>95000</v>
      </c>
      <c r="JWZ10" s="1548"/>
      <c r="JXA10" s="1547">
        <f t="shared" ref="JXA10" si="3675">JWY10</f>
        <v>95000</v>
      </c>
      <c r="JXB10" s="1548"/>
      <c r="JXC10" s="1547">
        <f t="shared" ref="JXC10" si="3676">JXA10</f>
        <v>95000</v>
      </c>
      <c r="JXD10" s="1548"/>
      <c r="JXE10" s="1547">
        <f t="shared" ref="JXE10" si="3677">JXC10</f>
        <v>95000</v>
      </c>
      <c r="JXF10" s="1548"/>
      <c r="JXG10" s="1547">
        <f t="shared" ref="JXG10" si="3678">JXE10</f>
        <v>95000</v>
      </c>
      <c r="JXH10" s="1548"/>
      <c r="JXI10" s="1547">
        <f t="shared" ref="JXI10" si="3679">JXG10</f>
        <v>95000</v>
      </c>
      <c r="JXJ10" s="1548"/>
      <c r="JXK10" s="1547">
        <f t="shared" ref="JXK10" si="3680">JXI10</f>
        <v>95000</v>
      </c>
      <c r="JXL10" s="1548"/>
      <c r="JXM10" s="1547">
        <f t="shared" ref="JXM10" si="3681">JXK10</f>
        <v>95000</v>
      </c>
      <c r="JXN10" s="1548"/>
      <c r="JXO10" s="1547">
        <f t="shared" ref="JXO10" si="3682">JXM10</f>
        <v>95000</v>
      </c>
      <c r="JXP10" s="1548"/>
      <c r="JXQ10" s="1547">
        <f t="shared" ref="JXQ10" si="3683">JXO10</f>
        <v>95000</v>
      </c>
      <c r="JXR10" s="1548"/>
      <c r="JXS10" s="1547">
        <f t="shared" ref="JXS10" si="3684">JXQ10</f>
        <v>95000</v>
      </c>
      <c r="JXT10" s="1548"/>
      <c r="JXU10" s="1547">
        <f t="shared" ref="JXU10" si="3685">JXS10</f>
        <v>95000</v>
      </c>
      <c r="JXV10" s="1548"/>
      <c r="JXW10" s="1547">
        <f t="shared" ref="JXW10" si="3686">JXU10</f>
        <v>95000</v>
      </c>
      <c r="JXX10" s="1548"/>
      <c r="JXY10" s="1547">
        <f t="shared" ref="JXY10" si="3687">JXW10</f>
        <v>95000</v>
      </c>
      <c r="JXZ10" s="1548"/>
      <c r="JYA10" s="1547">
        <f t="shared" ref="JYA10" si="3688">JXY10</f>
        <v>95000</v>
      </c>
      <c r="JYB10" s="1548"/>
      <c r="JYC10" s="1547">
        <f t="shared" ref="JYC10" si="3689">JYA10</f>
        <v>95000</v>
      </c>
      <c r="JYD10" s="1548"/>
      <c r="JYE10" s="1547">
        <f t="shared" ref="JYE10" si="3690">JYC10</f>
        <v>95000</v>
      </c>
      <c r="JYF10" s="1548"/>
      <c r="JYG10" s="1547">
        <f t="shared" ref="JYG10" si="3691">JYE10</f>
        <v>95000</v>
      </c>
      <c r="JYH10" s="1548"/>
      <c r="JYI10" s="1547">
        <f t="shared" ref="JYI10" si="3692">JYG10</f>
        <v>95000</v>
      </c>
      <c r="JYJ10" s="1548"/>
      <c r="JYK10" s="1547">
        <f t="shared" ref="JYK10" si="3693">JYI10</f>
        <v>95000</v>
      </c>
      <c r="JYL10" s="1548"/>
      <c r="JYM10" s="1547">
        <f t="shared" ref="JYM10" si="3694">JYK10</f>
        <v>95000</v>
      </c>
      <c r="JYN10" s="1548"/>
      <c r="JYO10" s="1547">
        <f t="shared" ref="JYO10" si="3695">JYM10</f>
        <v>95000</v>
      </c>
      <c r="JYP10" s="1548"/>
      <c r="JYQ10" s="1547">
        <f t="shared" ref="JYQ10" si="3696">JYO10</f>
        <v>95000</v>
      </c>
      <c r="JYR10" s="1548"/>
      <c r="JYS10" s="1547">
        <f t="shared" ref="JYS10" si="3697">JYQ10</f>
        <v>95000</v>
      </c>
      <c r="JYT10" s="1548"/>
      <c r="JYU10" s="1547">
        <f t="shared" ref="JYU10" si="3698">JYS10</f>
        <v>95000</v>
      </c>
      <c r="JYV10" s="1548"/>
      <c r="JYW10" s="1547">
        <f t="shared" ref="JYW10" si="3699">JYU10</f>
        <v>95000</v>
      </c>
      <c r="JYX10" s="1548"/>
      <c r="JYY10" s="1547">
        <f t="shared" ref="JYY10" si="3700">JYW10</f>
        <v>95000</v>
      </c>
      <c r="JYZ10" s="1548"/>
      <c r="JZA10" s="1547">
        <f t="shared" ref="JZA10" si="3701">JYY10</f>
        <v>95000</v>
      </c>
      <c r="JZB10" s="1548"/>
      <c r="JZC10" s="1547">
        <f t="shared" ref="JZC10" si="3702">JZA10</f>
        <v>95000</v>
      </c>
      <c r="JZD10" s="1548"/>
      <c r="JZE10" s="1547">
        <f t="shared" ref="JZE10" si="3703">JZC10</f>
        <v>95000</v>
      </c>
      <c r="JZF10" s="1548"/>
      <c r="JZG10" s="1547">
        <f t="shared" ref="JZG10" si="3704">JZE10</f>
        <v>95000</v>
      </c>
      <c r="JZH10" s="1548"/>
      <c r="JZI10" s="1547">
        <f t="shared" ref="JZI10" si="3705">JZG10</f>
        <v>95000</v>
      </c>
      <c r="JZJ10" s="1548"/>
      <c r="JZK10" s="1547">
        <f t="shared" ref="JZK10" si="3706">JZI10</f>
        <v>95000</v>
      </c>
      <c r="JZL10" s="1548"/>
      <c r="JZM10" s="1547">
        <f t="shared" ref="JZM10" si="3707">JZK10</f>
        <v>95000</v>
      </c>
      <c r="JZN10" s="1548"/>
      <c r="JZO10" s="1547">
        <f t="shared" ref="JZO10" si="3708">JZM10</f>
        <v>95000</v>
      </c>
      <c r="JZP10" s="1548"/>
      <c r="JZQ10" s="1547">
        <f t="shared" ref="JZQ10" si="3709">JZO10</f>
        <v>95000</v>
      </c>
      <c r="JZR10" s="1548"/>
      <c r="JZS10" s="1547">
        <f t="shared" ref="JZS10" si="3710">JZQ10</f>
        <v>95000</v>
      </c>
      <c r="JZT10" s="1548"/>
      <c r="JZU10" s="1547">
        <f t="shared" ref="JZU10" si="3711">JZS10</f>
        <v>95000</v>
      </c>
      <c r="JZV10" s="1548"/>
      <c r="JZW10" s="1547">
        <f t="shared" ref="JZW10" si="3712">JZU10</f>
        <v>95000</v>
      </c>
      <c r="JZX10" s="1548"/>
      <c r="JZY10" s="1547">
        <f t="shared" ref="JZY10" si="3713">JZW10</f>
        <v>95000</v>
      </c>
      <c r="JZZ10" s="1548"/>
      <c r="KAA10" s="1547">
        <f t="shared" ref="KAA10" si="3714">JZY10</f>
        <v>95000</v>
      </c>
      <c r="KAB10" s="1548"/>
      <c r="KAC10" s="1547">
        <f t="shared" ref="KAC10" si="3715">KAA10</f>
        <v>95000</v>
      </c>
      <c r="KAD10" s="1548"/>
      <c r="KAE10" s="1547">
        <f t="shared" ref="KAE10" si="3716">KAC10</f>
        <v>95000</v>
      </c>
      <c r="KAF10" s="1548"/>
      <c r="KAG10" s="1547">
        <f t="shared" ref="KAG10" si="3717">KAE10</f>
        <v>95000</v>
      </c>
      <c r="KAH10" s="1548"/>
      <c r="KAI10" s="1547">
        <f t="shared" ref="KAI10" si="3718">KAG10</f>
        <v>95000</v>
      </c>
      <c r="KAJ10" s="1548"/>
      <c r="KAK10" s="1547">
        <f t="shared" ref="KAK10" si="3719">KAI10</f>
        <v>95000</v>
      </c>
      <c r="KAL10" s="1548"/>
      <c r="KAM10" s="1547">
        <f t="shared" ref="KAM10" si="3720">KAK10</f>
        <v>95000</v>
      </c>
      <c r="KAN10" s="1548"/>
      <c r="KAO10" s="1547">
        <f t="shared" ref="KAO10" si="3721">KAM10</f>
        <v>95000</v>
      </c>
      <c r="KAP10" s="1548"/>
      <c r="KAQ10" s="1547">
        <f t="shared" ref="KAQ10" si="3722">KAO10</f>
        <v>95000</v>
      </c>
      <c r="KAR10" s="1548"/>
      <c r="KAS10" s="1547">
        <f t="shared" ref="KAS10" si="3723">KAQ10</f>
        <v>95000</v>
      </c>
      <c r="KAT10" s="1548"/>
      <c r="KAU10" s="1547">
        <f t="shared" ref="KAU10" si="3724">KAS10</f>
        <v>95000</v>
      </c>
      <c r="KAV10" s="1548"/>
      <c r="KAW10" s="1547">
        <f t="shared" ref="KAW10" si="3725">KAU10</f>
        <v>95000</v>
      </c>
      <c r="KAX10" s="1548"/>
      <c r="KAY10" s="1547">
        <f t="shared" ref="KAY10" si="3726">KAW10</f>
        <v>95000</v>
      </c>
      <c r="KAZ10" s="1548"/>
      <c r="KBA10" s="1547">
        <f t="shared" ref="KBA10" si="3727">KAY10</f>
        <v>95000</v>
      </c>
      <c r="KBB10" s="1548"/>
      <c r="KBC10" s="1547">
        <f t="shared" ref="KBC10" si="3728">KBA10</f>
        <v>95000</v>
      </c>
      <c r="KBD10" s="1548"/>
      <c r="KBE10" s="1547">
        <f t="shared" ref="KBE10" si="3729">KBC10</f>
        <v>95000</v>
      </c>
      <c r="KBF10" s="1548"/>
      <c r="KBG10" s="1547">
        <f t="shared" ref="KBG10" si="3730">KBE10</f>
        <v>95000</v>
      </c>
      <c r="KBH10" s="1548"/>
      <c r="KBI10" s="1547">
        <f t="shared" ref="KBI10" si="3731">KBG10</f>
        <v>95000</v>
      </c>
      <c r="KBJ10" s="1548"/>
      <c r="KBK10" s="1547">
        <f t="shared" ref="KBK10" si="3732">KBI10</f>
        <v>95000</v>
      </c>
      <c r="KBL10" s="1548"/>
      <c r="KBM10" s="1547">
        <f t="shared" ref="KBM10" si="3733">KBK10</f>
        <v>95000</v>
      </c>
      <c r="KBN10" s="1548"/>
      <c r="KBO10" s="1547">
        <f t="shared" ref="KBO10" si="3734">KBM10</f>
        <v>95000</v>
      </c>
      <c r="KBP10" s="1548"/>
      <c r="KBQ10" s="1547">
        <f t="shared" ref="KBQ10" si="3735">KBO10</f>
        <v>95000</v>
      </c>
      <c r="KBR10" s="1548"/>
      <c r="KBS10" s="1547">
        <f t="shared" ref="KBS10" si="3736">KBQ10</f>
        <v>95000</v>
      </c>
      <c r="KBT10" s="1548"/>
      <c r="KBU10" s="1547">
        <f t="shared" ref="KBU10" si="3737">KBS10</f>
        <v>95000</v>
      </c>
      <c r="KBV10" s="1548"/>
      <c r="KBW10" s="1547">
        <f t="shared" ref="KBW10" si="3738">KBU10</f>
        <v>95000</v>
      </c>
      <c r="KBX10" s="1548"/>
      <c r="KBY10" s="1547">
        <f t="shared" ref="KBY10" si="3739">KBW10</f>
        <v>95000</v>
      </c>
      <c r="KBZ10" s="1548"/>
      <c r="KCA10" s="1547">
        <f t="shared" ref="KCA10" si="3740">KBY10</f>
        <v>95000</v>
      </c>
      <c r="KCB10" s="1548"/>
      <c r="KCC10" s="1547">
        <f t="shared" ref="KCC10" si="3741">KCA10</f>
        <v>95000</v>
      </c>
      <c r="KCD10" s="1548"/>
      <c r="KCE10" s="1547">
        <f t="shared" ref="KCE10" si="3742">KCC10</f>
        <v>95000</v>
      </c>
      <c r="KCF10" s="1548"/>
      <c r="KCG10" s="1547">
        <f t="shared" ref="KCG10" si="3743">KCE10</f>
        <v>95000</v>
      </c>
      <c r="KCH10" s="1548"/>
      <c r="KCI10" s="1547">
        <f t="shared" ref="KCI10" si="3744">KCG10</f>
        <v>95000</v>
      </c>
      <c r="KCJ10" s="1548"/>
      <c r="KCK10" s="1547">
        <f t="shared" ref="KCK10" si="3745">KCI10</f>
        <v>95000</v>
      </c>
      <c r="KCL10" s="1548"/>
      <c r="KCM10" s="1547">
        <f t="shared" ref="KCM10" si="3746">KCK10</f>
        <v>95000</v>
      </c>
      <c r="KCN10" s="1548"/>
      <c r="KCO10" s="1547">
        <f t="shared" ref="KCO10" si="3747">KCM10</f>
        <v>95000</v>
      </c>
      <c r="KCP10" s="1548"/>
      <c r="KCQ10" s="1547">
        <f t="shared" ref="KCQ10" si="3748">KCO10</f>
        <v>95000</v>
      </c>
      <c r="KCR10" s="1548"/>
      <c r="KCS10" s="1547">
        <f t="shared" ref="KCS10" si="3749">KCQ10</f>
        <v>95000</v>
      </c>
      <c r="KCT10" s="1548"/>
      <c r="KCU10" s="1547">
        <f t="shared" ref="KCU10" si="3750">KCS10</f>
        <v>95000</v>
      </c>
      <c r="KCV10" s="1548"/>
      <c r="KCW10" s="1547">
        <f t="shared" ref="KCW10" si="3751">KCU10</f>
        <v>95000</v>
      </c>
      <c r="KCX10" s="1548"/>
      <c r="KCY10" s="1547">
        <f t="shared" ref="KCY10" si="3752">KCW10</f>
        <v>95000</v>
      </c>
      <c r="KCZ10" s="1548"/>
      <c r="KDA10" s="1547">
        <f t="shared" ref="KDA10" si="3753">KCY10</f>
        <v>95000</v>
      </c>
      <c r="KDB10" s="1548"/>
      <c r="KDC10" s="1547">
        <f t="shared" ref="KDC10" si="3754">KDA10</f>
        <v>95000</v>
      </c>
      <c r="KDD10" s="1548"/>
      <c r="KDE10" s="1547">
        <f t="shared" ref="KDE10" si="3755">KDC10</f>
        <v>95000</v>
      </c>
      <c r="KDF10" s="1548"/>
      <c r="KDG10" s="1547">
        <f t="shared" ref="KDG10" si="3756">KDE10</f>
        <v>95000</v>
      </c>
      <c r="KDH10" s="1548"/>
      <c r="KDI10" s="1547">
        <f t="shared" ref="KDI10" si="3757">KDG10</f>
        <v>95000</v>
      </c>
      <c r="KDJ10" s="1548"/>
      <c r="KDK10" s="1547">
        <f t="shared" ref="KDK10" si="3758">KDI10</f>
        <v>95000</v>
      </c>
      <c r="KDL10" s="1548"/>
      <c r="KDM10" s="1547">
        <f t="shared" ref="KDM10" si="3759">KDK10</f>
        <v>95000</v>
      </c>
      <c r="KDN10" s="1548"/>
      <c r="KDO10" s="1547">
        <f t="shared" ref="KDO10" si="3760">KDM10</f>
        <v>95000</v>
      </c>
      <c r="KDP10" s="1548"/>
      <c r="KDQ10" s="1547">
        <f t="shared" ref="KDQ10" si="3761">KDO10</f>
        <v>95000</v>
      </c>
      <c r="KDR10" s="1548"/>
      <c r="KDS10" s="1547">
        <f t="shared" ref="KDS10" si="3762">KDQ10</f>
        <v>95000</v>
      </c>
      <c r="KDT10" s="1548"/>
      <c r="KDU10" s="1547">
        <f t="shared" ref="KDU10" si="3763">KDS10</f>
        <v>95000</v>
      </c>
      <c r="KDV10" s="1548"/>
      <c r="KDW10" s="1547">
        <f t="shared" ref="KDW10" si="3764">KDU10</f>
        <v>95000</v>
      </c>
      <c r="KDX10" s="1548"/>
      <c r="KDY10" s="1547">
        <f t="shared" ref="KDY10" si="3765">KDW10</f>
        <v>95000</v>
      </c>
      <c r="KDZ10" s="1548"/>
      <c r="KEA10" s="1547">
        <f t="shared" ref="KEA10" si="3766">KDY10</f>
        <v>95000</v>
      </c>
      <c r="KEB10" s="1548"/>
      <c r="KEC10" s="1547">
        <f t="shared" ref="KEC10" si="3767">KEA10</f>
        <v>95000</v>
      </c>
      <c r="KED10" s="1548"/>
      <c r="KEE10" s="1547">
        <f t="shared" ref="KEE10" si="3768">KEC10</f>
        <v>95000</v>
      </c>
      <c r="KEF10" s="1548"/>
      <c r="KEG10" s="1547">
        <f t="shared" ref="KEG10" si="3769">KEE10</f>
        <v>95000</v>
      </c>
      <c r="KEH10" s="1548"/>
      <c r="KEI10" s="1547">
        <f t="shared" ref="KEI10" si="3770">KEG10</f>
        <v>95000</v>
      </c>
      <c r="KEJ10" s="1548"/>
      <c r="KEK10" s="1547">
        <f t="shared" ref="KEK10" si="3771">KEI10</f>
        <v>95000</v>
      </c>
      <c r="KEL10" s="1548"/>
      <c r="KEM10" s="1547">
        <f t="shared" ref="KEM10" si="3772">KEK10</f>
        <v>95000</v>
      </c>
      <c r="KEN10" s="1548"/>
      <c r="KEO10" s="1547">
        <f t="shared" ref="KEO10" si="3773">KEM10</f>
        <v>95000</v>
      </c>
      <c r="KEP10" s="1548"/>
      <c r="KEQ10" s="1547">
        <f t="shared" ref="KEQ10" si="3774">KEO10</f>
        <v>95000</v>
      </c>
      <c r="KER10" s="1548"/>
      <c r="KES10" s="1547">
        <f t="shared" ref="KES10" si="3775">KEQ10</f>
        <v>95000</v>
      </c>
      <c r="KET10" s="1548"/>
      <c r="KEU10" s="1547">
        <f t="shared" ref="KEU10" si="3776">KES10</f>
        <v>95000</v>
      </c>
      <c r="KEV10" s="1548"/>
      <c r="KEW10" s="1547">
        <f t="shared" ref="KEW10" si="3777">KEU10</f>
        <v>95000</v>
      </c>
      <c r="KEX10" s="1548"/>
      <c r="KEY10" s="1547">
        <f t="shared" ref="KEY10" si="3778">KEW10</f>
        <v>95000</v>
      </c>
      <c r="KEZ10" s="1548"/>
      <c r="KFA10" s="1547">
        <f t="shared" ref="KFA10" si="3779">KEY10</f>
        <v>95000</v>
      </c>
      <c r="KFB10" s="1548"/>
      <c r="KFC10" s="1547">
        <f t="shared" ref="KFC10" si="3780">KFA10</f>
        <v>95000</v>
      </c>
      <c r="KFD10" s="1548"/>
      <c r="KFE10" s="1547">
        <f t="shared" ref="KFE10" si="3781">KFC10</f>
        <v>95000</v>
      </c>
      <c r="KFF10" s="1548"/>
      <c r="KFG10" s="1547">
        <f t="shared" ref="KFG10" si="3782">KFE10</f>
        <v>95000</v>
      </c>
      <c r="KFH10" s="1548"/>
      <c r="KFI10" s="1547">
        <f t="shared" ref="KFI10" si="3783">KFG10</f>
        <v>95000</v>
      </c>
      <c r="KFJ10" s="1548"/>
      <c r="KFK10" s="1547">
        <f t="shared" ref="KFK10" si="3784">KFI10</f>
        <v>95000</v>
      </c>
      <c r="KFL10" s="1548"/>
      <c r="KFM10" s="1547">
        <f t="shared" ref="KFM10" si="3785">KFK10</f>
        <v>95000</v>
      </c>
      <c r="KFN10" s="1548"/>
      <c r="KFO10" s="1547">
        <f t="shared" ref="KFO10" si="3786">KFM10</f>
        <v>95000</v>
      </c>
      <c r="KFP10" s="1548"/>
      <c r="KFQ10" s="1547">
        <f t="shared" ref="KFQ10" si="3787">KFO10</f>
        <v>95000</v>
      </c>
      <c r="KFR10" s="1548"/>
      <c r="KFS10" s="1547">
        <f t="shared" ref="KFS10" si="3788">KFQ10</f>
        <v>95000</v>
      </c>
      <c r="KFT10" s="1548"/>
      <c r="KFU10" s="1547">
        <f t="shared" ref="KFU10" si="3789">KFS10</f>
        <v>95000</v>
      </c>
      <c r="KFV10" s="1548"/>
      <c r="KFW10" s="1547">
        <f t="shared" ref="KFW10" si="3790">KFU10</f>
        <v>95000</v>
      </c>
      <c r="KFX10" s="1548"/>
      <c r="KFY10" s="1547">
        <f t="shared" ref="KFY10" si="3791">KFW10</f>
        <v>95000</v>
      </c>
      <c r="KFZ10" s="1548"/>
      <c r="KGA10" s="1547">
        <f t="shared" ref="KGA10" si="3792">KFY10</f>
        <v>95000</v>
      </c>
      <c r="KGB10" s="1548"/>
      <c r="KGC10" s="1547">
        <f t="shared" ref="KGC10" si="3793">KGA10</f>
        <v>95000</v>
      </c>
      <c r="KGD10" s="1548"/>
      <c r="KGE10" s="1547">
        <f t="shared" ref="KGE10" si="3794">KGC10</f>
        <v>95000</v>
      </c>
      <c r="KGF10" s="1548"/>
      <c r="KGG10" s="1547">
        <f t="shared" ref="KGG10" si="3795">KGE10</f>
        <v>95000</v>
      </c>
      <c r="KGH10" s="1548"/>
      <c r="KGI10" s="1547">
        <f t="shared" ref="KGI10" si="3796">KGG10</f>
        <v>95000</v>
      </c>
      <c r="KGJ10" s="1548"/>
      <c r="KGK10" s="1547">
        <f t="shared" ref="KGK10" si="3797">KGI10</f>
        <v>95000</v>
      </c>
      <c r="KGL10" s="1548"/>
      <c r="KGM10" s="1547">
        <f t="shared" ref="KGM10" si="3798">KGK10</f>
        <v>95000</v>
      </c>
      <c r="KGN10" s="1548"/>
      <c r="KGO10" s="1547">
        <f t="shared" ref="KGO10" si="3799">KGM10</f>
        <v>95000</v>
      </c>
      <c r="KGP10" s="1548"/>
      <c r="KGQ10" s="1547">
        <f t="shared" ref="KGQ10" si="3800">KGO10</f>
        <v>95000</v>
      </c>
      <c r="KGR10" s="1548"/>
      <c r="KGS10" s="1547">
        <f t="shared" ref="KGS10" si="3801">KGQ10</f>
        <v>95000</v>
      </c>
      <c r="KGT10" s="1548"/>
      <c r="KGU10" s="1547">
        <f t="shared" ref="KGU10" si="3802">KGS10</f>
        <v>95000</v>
      </c>
      <c r="KGV10" s="1548"/>
      <c r="KGW10" s="1547">
        <f t="shared" ref="KGW10" si="3803">KGU10</f>
        <v>95000</v>
      </c>
      <c r="KGX10" s="1548"/>
      <c r="KGY10" s="1547">
        <f t="shared" ref="KGY10" si="3804">KGW10</f>
        <v>95000</v>
      </c>
      <c r="KGZ10" s="1548"/>
      <c r="KHA10" s="1547">
        <f t="shared" ref="KHA10" si="3805">KGY10</f>
        <v>95000</v>
      </c>
      <c r="KHB10" s="1548"/>
      <c r="KHC10" s="1547">
        <f t="shared" ref="KHC10" si="3806">KHA10</f>
        <v>95000</v>
      </c>
      <c r="KHD10" s="1548"/>
      <c r="KHE10" s="1547">
        <f t="shared" ref="KHE10" si="3807">KHC10</f>
        <v>95000</v>
      </c>
      <c r="KHF10" s="1548"/>
      <c r="KHG10" s="1547">
        <f t="shared" ref="KHG10" si="3808">KHE10</f>
        <v>95000</v>
      </c>
      <c r="KHH10" s="1548"/>
      <c r="KHI10" s="1547">
        <f t="shared" ref="KHI10" si="3809">KHG10</f>
        <v>95000</v>
      </c>
      <c r="KHJ10" s="1548"/>
      <c r="KHK10" s="1547">
        <f t="shared" ref="KHK10" si="3810">KHI10</f>
        <v>95000</v>
      </c>
      <c r="KHL10" s="1548"/>
      <c r="KHM10" s="1547">
        <f t="shared" ref="KHM10" si="3811">KHK10</f>
        <v>95000</v>
      </c>
      <c r="KHN10" s="1548"/>
      <c r="KHO10" s="1547">
        <f t="shared" ref="KHO10" si="3812">KHM10</f>
        <v>95000</v>
      </c>
      <c r="KHP10" s="1548"/>
      <c r="KHQ10" s="1547">
        <f t="shared" ref="KHQ10" si="3813">KHO10</f>
        <v>95000</v>
      </c>
      <c r="KHR10" s="1548"/>
      <c r="KHS10" s="1547">
        <f t="shared" ref="KHS10" si="3814">KHQ10</f>
        <v>95000</v>
      </c>
      <c r="KHT10" s="1548"/>
      <c r="KHU10" s="1547">
        <f t="shared" ref="KHU10" si="3815">KHS10</f>
        <v>95000</v>
      </c>
      <c r="KHV10" s="1548"/>
      <c r="KHW10" s="1547">
        <f t="shared" ref="KHW10" si="3816">KHU10</f>
        <v>95000</v>
      </c>
      <c r="KHX10" s="1548"/>
      <c r="KHY10" s="1547">
        <f t="shared" ref="KHY10" si="3817">KHW10</f>
        <v>95000</v>
      </c>
      <c r="KHZ10" s="1548"/>
      <c r="KIA10" s="1547">
        <f t="shared" ref="KIA10" si="3818">KHY10</f>
        <v>95000</v>
      </c>
      <c r="KIB10" s="1548"/>
      <c r="KIC10" s="1547">
        <f t="shared" ref="KIC10" si="3819">KIA10</f>
        <v>95000</v>
      </c>
      <c r="KID10" s="1548"/>
      <c r="KIE10" s="1547">
        <f t="shared" ref="KIE10" si="3820">KIC10</f>
        <v>95000</v>
      </c>
      <c r="KIF10" s="1548"/>
      <c r="KIG10" s="1547">
        <f t="shared" ref="KIG10" si="3821">KIE10</f>
        <v>95000</v>
      </c>
      <c r="KIH10" s="1548"/>
      <c r="KII10" s="1547">
        <f t="shared" ref="KII10" si="3822">KIG10</f>
        <v>95000</v>
      </c>
      <c r="KIJ10" s="1548"/>
      <c r="KIK10" s="1547">
        <f t="shared" ref="KIK10" si="3823">KII10</f>
        <v>95000</v>
      </c>
      <c r="KIL10" s="1548"/>
      <c r="KIM10" s="1547">
        <f t="shared" ref="KIM10" si="3824">KIK10</f>
        <v>95000</v>
      </c>
      <c r="KIN10" s="1548"/>
      <c r="KIO10" s="1547">
        <f t="shared" ref="KIO10" si="3825">KIM10</f>
        <v>95000</v>
      </c>
      <c r="KIP10" s="1548"/>
      <c r="KIQ10" s="1547">
        <f t="shared" ref="KIQ10" si="3826">KIO10</f>
        <v>95000</v>
      </c>
      <c r="KIR10" s="1548"/>
      <c r="KIS10" s="1547">
        <f t="shared" ref="KIS10" si="3827">KIQ10</f>
        <v>95000</v>
      </c>
      <c r="KIT10" s="1548"/>
      <c r="KIU10" s="1547">
        <f t="shared" ref="KIU10" si="3828">KIS10</f>
        <v>95000</v>
      </c>
      <c r="KIV10" s="1548"/>
      <c r="KIW10" s="1547">
        <f t="shared" ref="KIW10" si="3829">KIU10</f>
        <v>95000</v>
      </c>
      <c r="KIX10" s="1548"/>
      <c r="KIY10" s="1547">
        <f t="shared" ref="KIY10" si="3830">KIW10</f>
        <v>95000</v>
      </c>
      <c r="KIZ10" s="1548"/>
      <c r="KJA10" s="1547">
        <f t="shared" ref="KJA10" si="3831">KIY10</f>
        <v>95000</v>
      </c>
      <c r="KJB10" s="1548"/>
      <c r="KJC10" s="1547">
        <f t="shared" ref="KJC10" si="3832">KJA10</f>
        <v>95000</v>
      </c>
      <c r="KJD10" s="1548"/>
      <c r="KJE10" s="1547">
        <f t="shared" ref="KJE10" si="3833">KJC10</f>
        <v>95000</v>
      </c>
      <c r="KJF10" s="1548"/>
      <c r="KJG10" s="1547">
        <f t="shared" ref="KJG10" si="3834">KJE10</f>
        <v>95000</v>
      </c>
      <c r="KJH10" s="1548"/>
      <c r="KJI10" s="1547">
        <f t="shared" ref="KJI10" si="3835">KJG10</f>
        <v>95000</v>
      </c>
      <c r="KJJ10" s="1548"/>
      <c r="KJK10" s="1547">
        <f t="shared" ref="KJK10" si="3836">KJI10</f>
        <v>95000</v>
      </c>
      <c r="KJL10" s="1548"/>
      <c r="KJM10" s="1547">
        <f t="shared" ref="KJM10" si="3837">KJK10</f>
        <v>95000</v>
      </c>
      <c r="KJN10" s="1548"/>
      <c r="KJO10" s="1547">
        <f t="shared" ref="KJO10" si="3838">KJM10</f>
        <v>95000</v>
      </c>
      <c r="KJP10" s="1548"/>
      <c r="KJQ10" s="1547">
        <f t="shared" ref="KJQ10" si="3839">KJO10</f>
        <v>95000</v>
      </c>
      <c r="KJR10" s="1548"/>
      <c r="KJS10" s="1547">
        <f t="shared" ref="KJS10" si="3840">KJQ10</f>
        <v>95000</v>
      </c>
      <c r="KJT10" s="1548"/>
      <c r="KJU10" s="1547">
        <f t="shared" ref="KJU10" si="3841">KJS10</f>
        <v>95000</v>
      </c>
      <c r="KJV10" s="1548"/>
      <c r="KJW10" s="1547">
        <f t="shared" ref="KJW10" si="3842">KJU10</f>
        <v>95000</v>
      </c>
      <c r="KJX10" s="1548"/>
      <c r="KJY10" s="1547">
        <f t="shared" ref="KJY10" si="3843">KJW10</f>
        <v>95000</v>
      </c>
      <c r="KJZ10" s="1548"/>
      <c r="KKA10" s="1547">
        <f t="shared" ref="KKA10" si="3844">KJY10</f>
        <v>95000</v>
      </c>
      <c r="KKB10" s="1548"/>
      <c r="KKC10" s="1547">
        <f t="shared" ref="KKC10" si="3845">KKA10</f>
        <v>95000</v>
      </c>
      <c r="KKD10" s="1548"/>
      <c r="KKE10" s="1547">
        <f t="shared" ref="KKE10" si="3846">KKC10</f>
        <v>95000</v>
      </c>
      <c r="KKF10" s="1548"/>
      <c r="KKG10" s="1547">
        <f t="shared" ref="KKG10" si="3847">KKE10</f>
        <v>95000</v>
      </c>
      <c r="KKH10" s="1548"/>
      <c r="KKI10" s="1547">
        <f t="shared" ref="KKI10" si="3848">KKG10</f>
        <v>95000</v>
      </c>
      <c r="KKJ10" s="1548"/>
      <c r="KKK10" s="1547">
        <f t="shared" ref="KKK10" si="3849">KKI10</f>
        <v>95000</v>
      </c>
      <c r="KKL10" s="1548"/>
      <c r="KKM10" s="1547">
        <f t="shared" ref="KKM10" si="3850">KKK10</f>
        <v>95000</v>
      </c>
      <c r="KKN10" s="1548"/>
      <c r="KKO10" s="1547">
        <f t="shared" ref="KKO10" si="3851">KKM10</f>
        <v>95000</v>
      </c>
      <c r="KKP10" s="1548"/>
      <c r="KKQ10" s="1547">
        <f t="shared" ref="KKQ10" si="3852">KKO10</f>
        <v>95000</v>
      </c>
      <c r="KKR10" s="1548"/>
      <c r="KKS10" s="1547">
        <f t="shared" ref="KKS10" si="3853">KKQ10</f>
        <v>95000</v>
      </c>
      <c r="KKT10" s="1548"/>
      <c r="KKU10" s="1547">
        <f t="shared" ref="KKU10" si="3854">KKS10</f>
        <v>95000</v>
      </c>
      <c r="KKV10" s="1548"/>
      <c r="KKW10" s="1547">
        <f t="shared" ref="KKW10" si="3855">KKU10</f>
        <v>95000</v>
      </c>
      <c r="KKX10" s="1548"/>
      <c r="KKY10" s="1547">
        <f t="shared" ref="KKY10" si="3856">KKW10</f>
        <v>95000</v>
      </c>
      <c r="KKZ10" s="1548"/>
      <c r="KLA10" s="1547">
        <f t="shared" ref="KLA10" si="3857">KKY10</f>
        <v>95000</v>
      </c>
      <c r="KLB10" s="1548"/>
      <c r="KLC10" s="1547">
        <f t="shared" ref="KLC10" si="3858">KLA10</f>
        <v>95000</v>
      </c>
      <c r="KLD10" s="1548"/>
      <c r="KLE10" s="1547">
        <f t="shared" ref="KLE10" si="3859">KLC10</f>
        <v>95000</v>
      </c>
      <c r="KLF10" s="1548"/>
      <c r="KLG10" s="1547">
        <f t="shared" ref="KLG10" si="3860">KLE10</f>
        <v>95000</v>
      </c>
      <c r="KLH10" s="1548"/>
      <c r="KLI10" s="1547">
        <f t="shared" ref="KLI10" si="3861">KLG10</f>
        <v>95000</v>
      </c>
      <c r="KLJ10" s="1548"/>
      <c r="KLK10" s="1547">
        <f t="shared" ref="KLK10" si="3862">KLI10</f>
        <v>95000</v>
      </c>
      <c r="KLL10" s="1548"/>
      <c r="KLM10" s="1547">
        <f t="shared" ref="KLM10" si="3863">KLK10</f>
        <v>95000</v>
      </c>
      <c r="KLN10" s="1548"/>
      <c r="KLO10" s="1547">
        <f t="shared" ref="KLO10" si="3864">KLM10</f>
        <v>95000</v>
      </c>
      <c r="KLP10" s="1548"/>
      <c r="KLQ10" s="1547">
        <f t="shared" ref="KLQ10" si="3865">KLO10</f>
        <v>95000</v>
      </c>
      <c r="KLR10" s="1548"/>
      <c r="KLS10" s="1547">
        <f t="shared" ref="KLS10" si="3866">KLQ10</f>
        <v>95000</v>
      </c>
      <c r="KLT10" s="1548"/>
      <c r="KLU10" s="1547">
        <f t="shared" ref="KLU10" si="3867">KLS10</f>
        <v>95000</v>
      </c>
      <c r="KLV10" s="1548"/>
      <c r="KLW10" s="1547">
        <f t="shared" ref="KLW10" si="3868">KLU10</f>
        <v>95000</v>
      </c>
      <c r="KLX10" s="1548"/>
      <c r="KLY10" s="1547">
        <f t="shared" ref="KLY10" si="3869">KLW10</f>
        <v>95000</v>
      </c>
      <c r="KLZ10" s="1548"/>
      <c r="KMA10" s="1547">
        <f t="shared" ref="KMA10" si="3870">KLY10</f>
        <v>95000</v>
      </c>
      <c r="KMB10" s="1548"/>
      <c r="KMC10" s="1547">
        <f t="shared" ref="KMC10" si="3871">KMA10</f>
        <v>95000</v>
      </c>
      <c r="KMD10" s="1548"/>
      <c r="KME10" s="1547">
        <f t="shared" ref="KME10" si="3872">KMC10</f>
        <v>95000</v>
      </c>
      <c r="KMF10" s="1548"/>
      <c r="KMG10" s="1547">
        <f t="shared" ref="KMG10" si="3873">KME10</f>
        <v>95000</v>
      </c>
      <c r="KMH10" s="1548"/>
      <c r="KMI10" s="1547">
        <f t="shared" ref="KMI10" si="3874">KMG10</f>
        <v>95000</v>
      </c>
      <c r="KMJ10" s="1548"/>
      <c r="KMK10" s="1547">
        <f t="shared" ref="KMK10" si="3875">KMI10</f>
        <v>95000</v>
      </c>
      <c r="KML10" s="1548"/>
      <c r="KMM10" s="1547">
        <f t="shared" ref="KMM10" si="3876">KMK10</f>
        <v>95000</v>
      </c>
      <c r="KMN10" s="1548"/>
      <c r="KMO10" s="1547">
        <f t="shared" ref="KMO10" si="3877">KMM10</f>
        <v>95000</v>
      </c>
      <c r="KMP10" s="1548"/>
      <c r="KMQ10" s="1547">
        <f t="shared" ref="KMQ10" si="3878">KMO10</f>
        <v>95000</v>
      </c>
      <c r="KMR10" s="1548"/>
      <c r="KMS10" s="1547">
        <f t="shared" ref="KMS10" si="3879">KMQ10</f>
        <v>95000</v>
      </c>
      <c r="KMT10" s="1548"/>
      <c r="KMU10" s="1547">
        <f t="shared" ref="KMU10" si="3880">KMS10</f>
        <v>95000</v>
      </c>
      <c r="KMV10" s="1548"/>
      <c r="KMW10" s="1547">
        <f t="shared" ref="KMW10" si="3881">KMU10</f>
        <v>95000</v>
      </c>
      <c r="KMX10" s="1548"/>
      <c r="KMY10" s="1547">
        <f t="shared" ref="KMY10" si="3882">KMW10</f>
        <v>95000</v>
      </c>
      <c r="KMZ10" s="1548"/>
      <c r="KNA10" s="1547">
        <f t="shared" ref="KNA10" si="3883">KMY10</f>
        <v>95000</v>
      </c>
      <c r="KNB10" s="1548"/>
      <c r="KNC10" s="1547">
        <f t="shared" ref="KNC10" si="3884">KNA10</f>
        <v>95000</v>
      </c>
      <c r="KND10" s="1548"/>
      <c r="KNE10" s="1547">
        <f t="shared" ref="KNE10" si="3885">KNC10</f>
        <v>95000</v>
      </c>
      <c r="KNF10" s="1548"/>
      <c r="KNG10" s="1547">
        <f t="shared" ref="KNG10" si="3886">KNE10</f>
        <v>95000</v>
      </c>
      <c r="KNH10" s="1548"/>
      <c r="KNI10" s="1547">
        <f t="shared" ref="KNI10" si="3887">KNG10</f>
        <v>95000</v>
      </c>
      <c r="KNJ10" s="1548"/>
      <c r="KNK10" s="1547">
        <f t="shared" ref="KNK10" si="3888">KNI10</f>
        <v>95000</v>
      </c>
      <c r="KNL10" s="1548"/>
      <c r="KNM10" s="1547">
        <f t="shared" ref="KNM10" si="3889">KNK10</f>
        <v>95000</v>
      </c>
      <c r="KNN10" s="1548"/>
      <c r="KNO10" s="1547">
        <f t="shared" ref="KNO10" si="3890">KNM10</f>
        <v>95000</v>
      </c>
      <c r="KNP10" s="1548"/>
      <c r="KNQ10" s="1547">
        <f t="shared" ref="KNQ10" si="3891">KNO10</f>
        <v>95000</v>
      </c>
      <c r="KNR10" s="1548"/>
      <c r="KNS10" s="1547">
        <f t="shared" ref="KNS10" si="3892">KNQ10</f>
        <v>95000</v>
      </c>
      <c r="KNT10" s="1548"/>
      <c r="KNU10" s="1547">
        <f t="shared" ref="KNU10" si="3893">KNS10</f>
        <v>95000</v>
      </c>
      <c r="KNV10" s="1548"/>
      <c r="KNW10" s="1547">
        <f t="shared" ref="KNW10" si="3894">KNU10</f>
        <v>95000</v>
      </c>
      <c r="KNX10" s="1548"/>
      <c r="KNY10" s="1547">
        <f t="shared" ref="KNY10" si="3895">KNW10</f>
        <v>95000</v>
      </c>
      <c r="KNZ10" s="1548"/>
      <c r="KOA10" s="1547">
        <f t="shared" ref="KOA10" si="3896">KNY10</f>
        <v>95000</v>
      </c>
      <c r="KOB10" s="1548"/>
      <c r="KOC10" s="1547">
        <f t="shared" ref="KOC10" si="3897">KOA10</f>
        <v>95000</v>
      </c>
      <c r="KOD10" s="1548"/>
      <c r="KOE10" s="1547">
        <f t="shared" ref="KOE10" si="3898">KOC10</f>
        <v>95000</v>
      </c>
      <c r="KOF10" s="1548"/>
      <c r="KOG10" s="1547">
        <f t="shared" ref="KOG10" si="3899">KOE10</f>
        <v>95000</v>
      </c>
      <c r="KOH10" s="1548"/>
      <c r="KOI10" s="1547">
        <f t="shared" ref="KOI10" si="3900">KOG10</f>
        <v>95000</v>
      </c>
      <c r="KOJ10" s="1548"/>
      <c r="KOK10" s="1547">
        <f t="shared" ref="KOK10" si="3901">KOI10</f>
        <v>95000</v>
      </c>
      <c r="KOL10" s="1548"/>
      <c r="KOM10" s="1547">
        <f t="shared" ref="KOM10" si="3902">KOK10</f>
        <v>95000</v>
      </c>
      <c r="KON10" s="1548"/>
      <c r="KOO10" s="1547">
        <f t="shared" ref="KOO10" si="3903">KOM10</f>
        <v>95000</v>
      </c>
      <c r="KOP10" s="1548"/>
      <c r="KOQ10" s="1547">
        <f t="shared" ref="KOQ10" si="3904">KOO10</f>
        <v>95000</v>
      </c>
      <c r="KOR10" s="1548"/>
      <c r="KOS10" s="1547">
        <f t="shared" ref="KOS10" si="3905">KOQ10</f>
        <v>95000</v>
      </c>
      <c r="KOT10" s="1548"/>
      <c r="KOU10" s="1547">
        <f t="shared" ref="KOU10" si="3906">KOS10</f>
        <v>95000</v>
      </c>
      <c r="KOV10" s="1548"/>
      <c r="KOW10" s="1547">
        <f t="shared" ref="KOW10" si="3907">KOU10</f>
        <v>95000</v>
      </c>
      <c r="KOX10" s="1548"/>
      <c r="KOY10" s="1547">
        <f t="shared" ref="KOY10" si="3908">KOW10</f>
        <v>95000</v>
      </c>
      <c r="KOZ10" s="1548"/>
      <c r="KPA10" s="1547">
        <f t="shared" ref="KPA10" si="3909">KOY10</f>
        <v>95000</v>
      </c>
      <c r="KPB10" s="1548"/>
      <c r="KPC10" s="1547">
        <f t="shared" ref="KPC10" si="3910">KPA10</f>
        <v>95000</v>
      </c>
      <c r="KPD10" s="1548"/>
      <c r="KPE10" s="1547">
        <f t="shared" ref="KPE10" si="3911">KPC10</f>
        <v>95000</v>
      </c>
      <c r="KPF10" s="1548"/>
      <c r="KPG10" s="1547">
        <f t="shared" ref="KPG10" si="3912">KPE10</f>
        <v>95000</v>
      </c>
      <c r="KPH10" s="1548"/>
      <c r="KPI10" s="1547">
        <f t="shared" ref="KPI10" si="3913">KPG10</f>
        <v>95000</v>
      </c>
      <c r="KPJ10" s="1548"/>
      <c r="KPK10" s="1547">
        <f t="shared" ref="KPK10" si="3914">KPI10</f>
        <v>95000</v>
      </c>
      <c r="KPL10" s="1548"/>
      <c r="KPM10" s="1547">
        <f t="shared" ref="KPM10" si="3915">KPK10</f>
        <v>95000</v>
      </c>
      <c r="KPN10" s="1548"/>
      <c r="KPO10" s="1547">
        <f t="shared" ref="KPO10" si="3916">KPM10</f>
        <v>95000</v>
      </c>
      <c r="KPP10" s="1548"/>
      <c r="KPQ10" s="1547">
        <f t="shared" ref="KPQ10" si="3917">KPO10</f>
        <v>95000</v>
      </c>
      <c r="KPR10" s="1548"/>
      <c r="KPS10" s="1547">
        <f t="shared" ref="KPS10" si="3918">KPQ10</f>
        <v>95000</v>
      </c>
      <c r="KPT10" s="1548"/>
      <c r="KPU10" s="1547">
        <f t="shared" ref="KPU10" si="3919">KPS10</f>
        <v>95000</v>
      </c>
      <c r="KPV10" s="1548"/>
      <c r="KPW10" s="1547">
        <f t="shared" ref="KPW10" si="3920">KPU10</f>
        <v>95000</v>
      </c>
      <c r="KPX10" s="1548"/>
      <c r="KPY10" s="1547">
        <f t="shared" ref="KPY10" si="3921">KPW10</f>
        <v>95000</v>
      </c>
      <c r="KPZ10" s="1548"/>
      <c r="KQA10" s="1547">
        <f t="shared" ref="KQA10" si="3922">KPY10</f>
        <v>95000</v>
      </c>
      <c r="KQB10" s="1548"/>
      <c r="KQC10" s="1547">
        <f t="shared" ref="KQC10" si="3923">KQA10</f>
        <v>95000</v>
      </c>
      <c r="KQD10" s="1548"/>
      <c r="KQE10" s="1547">
        <f t="shared" ref="KQE10" si="3924">KQC10</f>
        <v>95000</v>
      </c>
      <c r="KQF10" s="1548"/>
      <c r="KQG10" s="1547">
        <f t="shared" ref="KQG10" si="3925">KQE10</f>
        <v>95000</v>
      </c>
      <c r="KQH10" s="1548"/>
      <c r="KQI10" s="1547">
        <f t="shared" ref="KQI10" si="3926">KQG10</f>
        <v>95000</v>
      </c>
      <c r="KQJ10" s="1548"/>
      <c r="KQK10" s="1547">
        <f t="shared" ref="KQK10" si="3927">KQI10</f>
        <v>95000</v>
      </c>
      <c r="KQL10" s="1548"/>
      <c r="KQM10" s="1547">
        <f t="shared" ref="KQM10" si="3928">KQK10</f>
        <v>95000</v>
      </c>
      <c r="KQN10" s="1548"/>
      <c r="KQO10" s="1547">
        <f t="shared" ref="KQO10" si="3929">KQM10</f>
        <v>95000</v>
      </c>
      <c r="KQP10" s="1548"/>
      <c r="KQQ10" s="1547">
        <f t="shared" ref="KQQ10" si="3930">KQO10</f>
        <v>95000</v>
      </c>
      <c r="KQR10" s="1548"/>
      <c r="KQS10" s="1547">
        <f t="shared" ref="KQS10" si="3931">KQQ10</f>
        <v>95000</v>
      </c>
      <c r="KQT10" s="1548"/>
      <c r="KQU10" s="1547">
        <f t="shared" ref="KQU10" si="3932">KQS10</f>
        <v>95000</v>
      </c>
      <c r="KQV10" s="1548"/>
      <c r="KQW10" s="1547">
        <f t="shared" ref="KQW10" si="3933">KQU10</f>
        <v>95000</v>
      </c>
      <c r="KQX10" s="1548"/>
      <c r="KQY10" s="1547">
        <f t="shared" ref="KQY10" si="3934">KQW10</f>
        <v>95000</v>
      </c>
      <c r="KQZ10" s="1548"/>
      <c r="KRA10" s="1547">
        <f t="shared" ref="KRA10" si="3935">KQY10</f>
        <v>95000</v>
      </c>
      <c r="KRB10" s="1548"/>
      <c r="KRC10" s="1547">
        <f t="shared" ref="KRC10" si="3936">KRA10</f>
        <v>95000</v>
      </c>
      <c r="KRD10" s="1548"/>
      <c r="KRE10" s="1547">
        <f t="shared" ref="KRE10" si="3937">KRC10</f>
        <v>95000</v>
      </c>
      <c r="KRF10" s="1548"/>
      <c r="KRG10" s="1547">
        <f t="shared" ref="KRG10" si="3938">KRE10</f>
        <v>95000</v>
      </c>
      <c r="KRH10" s="1548"/>
      <c r="KRI10" s="1547">
        <f t="shared" ref="KRI10" si="3939">KRG10</f>
        <v>95000</v>
      </c>
      <c r="KRJ10" s="1548"/>
      <c r="KRK10" s="1547">
        <f t="shared" ref="KRK10" si="3940">KRI10</f>
        <v>95000</v>
      </c>
      <c r="KRL10" s="1548"/>
      <c r="KRM10" s="1547">
        <f t="shared" ref="KRM10" si="3941">KRK10</f>
        <v>95000</v>
      </c>
      <c r="KRN10" s="1548"/>
      <c r="KRO10" s="1547">
        <f t="shared" ref="KRO10" si="3942">KRM10</f>
        <v>95000</v>
      </c>
      <c r="KRP10" s="1548"/>
      <c r="KRQ10" s="1547">
        <f t="shared" ref="KRQ10" si="3943">KRO10</f>
        <v>95000</v>
      </c>
      <c r="KRR10" s="1548"/>
      <c r="KRS10" s="1547">
        <f t="shared" ref="KRS10" si="3944">KRQ10</f>
        <v>95000</v>
      </c>
      <c r="KRT10" s="1548"/>
      <c r="KRU10" s="1547">
        <f t="shared" ref="KRU10" si="3945">KRS10</f>
        <v>95000</v>
      </c>
      <c r="KRV10" s="1548"/>
      <c r="KRW10" s="1547">
        <f t="shared" ref="KRW10" si="3946">KRU10</f>
        <v>95000</v>
      </c>
      <c r="KRX10" s="1548"/>
      <c r="KRY10" s="1547">
        <f t="shared" ref="KRY10" si="3947">KRW10</f>
        <v>95000</v>
      </c>
      <c r="KRZ10" s="1548"/>
      <c r="KSA10" s="1547">
        <f t="shared" ref="KSA10" si="3948">KRY10</f>
        <v>95000</v>
      </c>
      <c r="KSB10" s="1548"/>
      <c r="KSC10" s="1547">
        <f t="shared" ref="KSC10" si="3949">KSA10</f>
        <v>95000</v>
      </c>
      <c r="KSD10" s="1548"/>
      <c r="KSE10" s="1547">
        <f t="shared" ref="KSE10" si="3950">KSC10</f>
        <v>95000</v>
      </c>
      <c r="KSF10" s="1548"/>
      <c r="KSG10" s="1547">
        <f t="shared" ref="KSG10" si="3951">KSE10</f>
        <v>95000</v>
      </c>
      <c r="KSH10" s="1548"/>
      <c r="KSI10" s="1547">
        <f t="shared" ref="KSI10" si="3952">KSG10</f>
        <v>95000</v>
      </c>
      <c r="KSJ10" s="1548"/>
      <c r="KSK10" s="1547">
        <f t="shared" ref="KSK10" si="3953">KSI10</f>
        <v>95000</v>
      </c>
      <c r="KSL10" s="1548"/>
      <c r="KSM10" s="1547">
        <f t="shared" ref="KSM10" si="3954">KSK10</f>
        <v>95000</v>
      </c>
      <c r="KSN10" s="1548"/>
      <c r="KSO10" s="1547">
        <f t="shared" ref="KSO10" si="3955">KSM10</f>
        <v>95000</v>
      </c>
      <c r="KSP10" s="1548"/>
      <c r="KSQ10" s="1547">
        <f t="shared" ref="KSQ10" si="3956">KSO10</f>
        <v>95000</v>
      </c>
      <c r="KSR10" s="1548"/>
      <c r="KSS10" s="1547">
        <f t="shared" ref="KSS10" si="3957">KSQ10</f>
        <v>95000</v>
      </c>
      <c r="KST10" s="1548"/>
      <c r="KSU10" s="1547">
        <f t="shared" ref="KSU10" si="3958">KSS10</f>
        <v>95000</v>
      </c>
      <c r="KSV10" s="1548"/>
      <c r="KSW10" s="1547">
        <f t="shared" ref="KSW10" si="3959">KSU10</f>
        <v>95000</v>
      </c>
      <c r="KSX10" s="1548"/>
      <c r="KSY10" s="1547">
        <f t="shared" ref="KSY10" si="3960">KSW10</f>
        <v>95000</v>
      </c>
      <c r="KSZ10" s="1548"/>
      <c r="KTA10" s="1547">
        <f t="shared" ref="KTA10" si="3961">KSY10</f>
        <v>95000</v>
      </c>
      <c r="KTB10" s="1548"/>
      <c r="KTC10" s="1547">
        <f t="shared" ref="KTC10" si="3962">KTA10</f>
        <v>95000</v>
      </c>
      <c r="KTD10" s="1548"/>
      <c r="KTE10" s="1547">
        <f t="shared" ref="KTE10" si="3963">KTC10</f>
        <v>95000</v>
      </c>
      <c r="KTF10" s="1548"/>
      <c r="KTG10" s="1547">
        <f t="shared" ref="KTG10" si="3964">KTE10</f>
        <v>95000</v>
      </c>
      <c r="KTH10" s="1548"/>
      <c r="KTI10" s="1547">
        <f t="shared" ref="KTI10" si="3965">KTG10</f>
        <v>95000</v>
      </c>
      <c r="KTJ10" s="1548"/>
      <c r="KTK10" s="1547">
        <f t="shared" ref="KTK10" si="3966">KTI10</f>
        <v>95000</v>
      </c>
      <c r="KTL10" s="1548"/>
      <c r="KTM10" s="1547">
        <f t="shared" ref="KTM10" si="3967">KTK10</f>
        <v>95000</v>
      </c>
      <c r="KTN10" s="1548"/>
      <c r="KTO10" s="1547">
        <f t="shared" ref="KTO10" si="3968">KTM10</f>
        <v>95000</v>
      </c>
      <c r="KTP10" s="1548"/>
      <c r="KTQ10" s="1547">
        <f t="shared" ref="KTQ10" si="3969">KTO10</f>
        <v>95000</v>
      </c>
      <c r="KTR10" s="1548"/>
      <c r="KTS10" s="1547">
        <f t="shared" ref="KTS10" si="3970">KTQ10</f>
        <v>95000</v>
      </c>
      <c r="KTT10" s="1548"/>
      <c r="KTU10" s="1547">
        <f t="shared" ref="KTU10" si="3971">KTS10</f>
        <v>95000</v>
      </c>
      <c r="KTV10" s="1548"/>
      <c r="KTW10" s="1547">
        <f t="shared" ref="KTW10" si="3972">KTU10</f>
        <v>95000</v>
      </c>
      <c r="KTX10" s="1548"/>
      <c r="KTY10" s="1547">
        <f t="shared" ref="KTY10" si="3973">KTW10</f>
        <v>95000</v>
      </c>
      <c r="KTZ10" s="1548"/>
      <c r="KUA10" s="1547">
        <f t="shared" ref="KUA10" si="3974">KTY10</f>
        <v>95000</v>
      </c>
      <c r="KUB10" s="1548"/>
      <c r="KUC10" s="1547">
        <f t="shared" ref="KUC10" si="3975">KUA10</f>
        <v>95000</v>
      </c>
      <c r="KUD10" s="1548"/>
      <c r="KUE10" s="1547">
        <f t="shared" ref="KUE10" si="3976">KUC10</f>
        <v>95000</v>
      </c>
      <c r="KUF10" s="1548"/>
      <c r="KUG10" s="1547">
        <f t="shared" ref="KUG10" si="3977">KUE10</f>
        <v>95000</v>
      </c>
      <c r="KUH10" s="1548"/>
      <c r="KUI10" s="1547">
        <f t="shared" ref="KUI10" si="3978">KUG10</f>
        <v>95000</v>
      </c>
      <c r="KUJ10" s="1548"/>
      <c r="KUK10" s="1547">
        <f t="shared" ref="KUK10" si="3979">KUI10</f>
        <v>95000</v>
      </c>
      <c r="KUL10" s="1548"/>
      <c r="KUM10" s="1547">
        <f t="shared" ref="KUM10" si="3980">KUK10</f>
        <v>95000</v>
      </c>
      <c r="KUN10" s="1548"/>
      <c r="KUO10" s="1547">
        <f t="shared" ref="KUO10" si="3981">KUM10</f>
        <v>95000</v>
      </c>
      <c r="KUP10" s="1548"/>
      <c r="KUQ10" s="1547">
        <f t="shared" ref="KUQ10" si="3982">KUO10</f>
        <v>95000</v>
      </c>
      <c r="KUR10" s="1548"/>
      <c r="KUS10" s="1547">
        <f t="shared" ref="KUS10" si="3983">KUQ10</f>
        <v>95000</v>
      </c>
      <c r="KUT10" s="1548"/>
      <c r="KUU10" s="1547">
        <f t="shared" ref="KUU10" si="3984">KUS10</f>
        <v>95000</v>
      </c>
      <c r="KUV10" s="1548"/>
      <c r="KUW10" s="1547">
        <f t="shared" ref="KUW10" si="3985">KUU10</f>
        <v>95000</v>
      </c>
      <c r="KUX10" s="1548"/>
      <c r="KUY10" s="1547">
        <f t="shared" ref="KUY10" si="3986">KUW10</f>
        <v>95000</v>
      </c>
      <c r="KUZ10" s="1548"/>
      <c r="KVA10" s="1547">
        <f t="shared" ref="KVA10" si="3987">KUY10</f>
        <v>95000</v>
      </c>
      <c r="KVB10" s="1548"/>
      <c r="KVC10" s="1547">
        <f t="shared" ref="KVC10" si="3988">KVA10</f>
        <v>95000</v>
      </c>
      <c r="KVD10" s="1548"/>
      <c r="KVE10" s="1547">
        <f t="shared" ref="KVE10" si="3989">KVC10</f>
        <v>95000</v>
      </c>
      <c r="KVF10" s="1548"/>
      <c r="KVG10" s="1547">
        <f t="shared" ref="KVG10" si="3990">KVE10</f>
        <v>95000</v>
      </c>
      <c r="KVH10" s="1548"/>
      <c r="KVI10" s="1547">
        <f t="shared" ref="KVI10" si="3991">KVG10</f>
        <v>95000</v>
      </c>
      <c r="KVJ10" s="1548"/>
      <c r="KVK10" s="1547">
        <f t="shared" ref="KVK10" si="3992">KVI10</f>
        <v>95000</v>
      </c>
      <c r="KVL10" s="1548"/>
      <c r="KVM10" s="1547">
        <f t="shared" ref="KVM10" si="3993">KVK10</f>
        <v>95000</v>
      </c>
      <c r="KVN10" s="1548"/>
      <c r="KVO10" s="1547">
        <f t="shared" ref="KVO10" si="3994">KVM10</f>
        <v>95000</v>
      </c>
      <c r="KVP10" s="1548"/>
      <c r="KVQ10" s="1547">
        <f t="shared" ref="KVQ10" si="3995">KVO10</f>
        <v>95000</v>
      </c>
      <c r="KVR10" s="1548"/>
      <c r="KVS10" s="1547">
        <f t="shared" ref="KVS10" si="3996">KVQ10</f>
        <v>95000</v>
      </c>
      <c r="KVT10" s="1548"/>
      <c r="KVU10" s="1547">
        <f t="shared" ref="KVU10" si="3997">KVS10</f>
        <v>95000</v>
      </c>
      <c r="KVV10" s="1548"/>
      <c r="KVW10" s="1547">
        <f t="shared" ref="KVW10" si="3998">KVU10</f>
        <v>95000</v>
      </c>
      <c r="KVX10" s="1548"/>
      <c r="KVY10" s="1547">
        <f t="shared" ref="KVY10" si="3999">KVW10</f>
        <v>95000</v>
      </c>
      <c r="KVZ10" s="1548"/>
      <c r="KWA10" s="1547">
        <f t="shared" ref="KWA10" si="4000">KVY10</f>
        <v>95000</v>
      </c>
      <c r="KWB10" s="1548"/>
      <c r="KWC10" s="1547">
        <f t="shared" ref="KWC10" si="4001">KWA10</f>
        <v>95000</v>
      </c>
      <c r="KWD10" s="1548"/>
      <c r="KWE10" s="1547">
        <f t="shared" ref="KWE10" si="4002">KWC10</f>
        <v>95000</v>
      </c>
      <c r="KWF10" s="1548"/>
      <c r="KWG10" s="1547">
        <f t="shared" ref="KWG10" si="4003">KWE10</f>
        <v>95000</v>
      </c>
      <c r="KWH10" s="1548"/>
      <c r="KWI10" s="1547">
        <f t="shared" ref="KWI10" si="4004">KWG10</f>
        <v>95000</v>
      </c>
      <c r="KWJ10" s="1548"/>
      <c r="KWK10" s="1547">
        <f t="shared" ref="KWK10" si="4005">KWI10</f>
        <v>95000</v>
      </c>
      <c r="KWL10" s="1548"/>
      <c r="KWM10" s="1547">
        <f t="shared" ref="KWM10" si="4006">KWK10</f>
        <v>95000</v>
      </c>
      <c r="KWN10" s="1548"/>
      <c r="KWO10" s="1547">
        <f t="shared" ref="KWO10" si="4007">KWM10</f>
        <v>95000</v>
      </c>
      <c r="KWP10" s="1548"/>
      <c r="KWQ10" s="1547">
        <f t="shared" ref="KWQ10" si="4008">KWO10</f>
        <v>95000</v>
      </c>
      <c r="KWR10" s="1548"/>
      <c r="KWS10" s="1547">
        <f t="shared" ref="KWS10" si="4009">KWQ10</f>
        <v>95000</v>
      </c>
      <c r="KWT10" s="1548"/>
      <c r="KWU10" s="1547">
        <f t="shared" ref="KWU10" si="4010">KWS10</f>
        <v>95000</v>
      </c>
      <c r="KWV10" s="1548"/>
      <c r="KWW10" s="1547">
        <f t="shared" ref="KWW10" si="4011">KWU10</f>
        <v>95000</v>
      </c>
      <c r="KWX10" s="1548"/>
      <c r="KWY10" s="1547">
        <f t="shared" ref="KWY10" si="4012">KWW10</f>
        <v>95000</v>
      </c>
      <c r="KWZ10" s="1548"/>
      <c r="KXA10" s="1547">
        <f t="shared" ref="KXA10" si="4013">KWY10</f>
        <v>95000</v>
      </c>
      <c r="KXB10" s="1548"/>
      <c r="KXC10" s="1547">
        <f t="shared" ref="KXC10" si="4014">KXA10</f>
        <v>95000</v>
      </c>
      <c r="KXD10" s="1548"/>
      <c r="KXE10" s="1547">
        <f t="shared" ref="KXE10" si="4015">KXC10</f>
        <v>95000</v>
      </c>
      <c r="KXF10" s="1548"/>
      <c r="KXG10" s="1547">
        <f t="shared" ref="KXG10" si="4016">KXE10</f>
        <v>95000</v>
      </c>
      <c r="KXH10" s="1548"/>
      <c r="KXI10" s="1547">
        <f t="shared" ref="KXI10" si="4017">KXG10</f>
        <v>95000</v>
      </c>
      <c r="KXJ10" s="1548"/>
      <c r="KXK10" s="1547">
        <f t="shared" ref="KXK10" si="4018">KXI10</f>
        <v>95000</v>
      </c>
      <c r="KXL10" s="1548"/>
      <c r="KXM10" s="1547">
        <f t="shared" ref="KXM10" si="4019">KXK10</f>
        <v>95000</v>
      </c>
      <c r="KXN10" s="1548"/>
      <c r="KXO10" s="1547">
        <f t="shared" ref="KXO10" si="4020">KXM10</f>
        <v>95000</v>
      </c>
      <c r="KXP10" s="1548"/>
      <c r="KXQ10" s="1547">
        <f t="shared" ref="KXQ10" si="4021">KXO10</f>
        <v>95000</v>
      </c>
      <c r="KXR10" s="1548"/>
      <c r="KXS10" s="1547">
        <f t="shared" ref="KXS10" si="4022">KXQ10</f>
        <v>95000</v>
      </c>
      <c r="KXT10" s="1548"/>
      <c r="KXU10" s="1547">
        <f t="shared" ref="KXU10" si="4023">KXS10</f>
        <v>95000</v>
      </c>
      <c r="KXV10" s="1548"/>
      <c r="KXW10" s="1547">
        <f t="shared" ref="KXW10" si="4024">KXU10</f>
        <v>95000</v>
      </c>
      <c r="KXX10" s="1548"/>
      <c r="KXY10" s="1547">
        <f t="shared" ref="KXY10" si="4025">KXW10</f>
        <v>95000</v>
      </c>
      <c r="KXZ10" s="1548"/>
      <c r="KYA10" s="1547">
        <f t="shared" ref="KYA10" si="4026">KXY10</f>
        <v>95000</v>
      </c>
      <c r="KYB10" s="1548"/>
      <c r="KYC10" s="1547">
        <f t="shared" ref="KYC10" si="4027">KYA10</f>
        <v>95000</v>
      </c>
      <c r="KYD10" s="1548"/>
      <c r="KYE10" s="1547">
        <f t="shared" ref="KYE10" si="4028">KYC10</f>
        <v>95000</v>
      </c>
      <c r="KYF10" s="1548"/>
      <c r="KYG10" s="1547">
        <f t="shared" ref="KYG10" si="4029">KYE10</f>
        <v>95000</v>
      </c>
      <c r="KYH10" s="1548"/>
      <c r="KYI10" s="1547">
        <f t="shared" ref="KYI10" si="4030">KYG10</f>
        <v>95000</v>
      </c>
      <c r="KYJ10" s="1548"/>
      <c r="KYK10" s="1547">
        <f t="shared" ref="KYK10" si="4031">KYI10</f>
        <v>95000</v>
      </c>
      <c r="KYL10" s="1548"/>
      <c r="KYM10" s="1547">
        <f t="shared" ref="KYM10" si="4032">KYK10</f>
        <v>95000</v>
      </c>
      <c r="KYN10" s="1548"/>
      <c r="KYO10" s="1547">
        <f t="shared" ref="KYO10" si="4033">KYM10</f>
        <v>95000</v>
      </c>
      <c r="KYP10" s="1548"/>
      <c r="KYQ10" s="1547">
        <f t="shared" ref="KYQ10" si="4034">KYO10</f>
        <v>95000</v>
      </c>
      <c r="KYR10" s="1548"/>
      <c r="KYS10" s="1547">
        <f t="shared" ref="KYS10" si="4035">KYQ10</f>
        <v>95000</v>
      </c>
      <c r="KYT10" s="1548"/>
      <c r="KYU10" s="1547">
        <f t="shared" ref="KYU10" si="4036">KYS10</f>
        <v>95000</v>
      </c>
      <c r="KYV10" s="1548"/>
      <c r="KYW10" s="1547">
        <f t="shared" ref="KYW10" si="4037">KYU10</f>
        <v>95000</v>
      </c>
      <c r="KYX10" s="1548"/>
      <c r="KYY10" s="1547">
        <f t="shared" ref="KYY10" si="4038">KYW10</f>
        <v>95000</v>
      </c>
      <c r="KYZ10" s="1548"/>
      <c r="KZA10" s="1547">
        <f t="shared" ref="KZA10" si="4039">KYY10</f>
        <v>95000</v>
      </c>
      <c r="KZB10" s="1548"/>
      <c r="KZC10" s="1547">
        <f t="shared" ref="KZC10" si="4040">KZA10</f>
        <v>95000</v>
      </c>
      <c r="KZD10" s="1548"/>
      <c r="KZE10" s="1547">
        <f t="shared" ref="KZE10" si="4041">KZC10</f>
        <v>95000</v>
      </c>
      <c r="KZF10" s="1548"/>
      <c r="KZG10" s="1547">
        <f t="shared" ref="KZG10" si="4042">KZE10</f>
        <v>95000</v>
      </c>
      <c r="KZH10" s="1548"/>
      <c r="KZI10" s="1547">
        <f t="shared" ref="KZI10" si="4043">KZG10</f>
        <v>95000</v>
      </c>
      <c r="KZJ10" s="1548"/>
      <c r="KZK10" s="1547">
        <f t="shared" ref="KZK10" si="4044">KZI10</f>
        <v>95000</v>
      </c>
      <c r="KZL10" s="1548"/>
      <c r="KZM10" s="1547">
        <f t="shared" ref="KZM10" si="4045">KZK10</f>
        <v>95000</v>
      </c>
      <c r="KZN10" s="1548"/>
      <c r="KZO10" s="1547">
        <f t="shared" ref="KZO10" si="4046">KZM10</f>
        <v>95000</v>
      </c>
      <c r="KZP10" s="1548"/>
      <c r="KZQ10" s="1547">
        <f t="shared" ref="KZQ10" si="4047">KZO10</f>
        <v>95000</v>
      </c>
      <c r="KZR10" s="1548"/>
      <c r="KZS10" s="1547">
        <f t="shared" ref="KZS10" si="4048">KZQ10</f>
        <v>95000</v>
      </c>
      <c r="KZT10" s="1548"/>
      <c r="KZU10" s="1547">
        <f t="shared" ref="KZU10" si="4049">KZS10</f>
        <v>95000</v>
      </c>
      <c r="KZV10" s="1548"/>
      <c r="KZW10" s="1547">
        <f t="shared" ref="KZW10" si="4050">KZU10</f>
        <v>95000</v>
      </c>
      <c r="KZX10" s="1548"/>
      <c r="KZY10" s="1547">
        <f t="shared" ref="KZY10" si="4051">KZW10</f>
        <v>95000</v>
      </c>
      <c r="KZZ10" s="1548"/>
      <c r="LAA10" s="1547">
        <f t="shared" ref="LAA10" si="4052">KZY10</f>
        <v>95000</v>
      </c>
      <c r="LAB10" s="1548"/>
      <c r="LAC10" s="1547">
        <f t="shared" ref="LAC10" si="4053">LAA10</f>
        <v>95000</v>
      </c>
      <c r="LAD10" s="1548"/>
      <c r="LAE10" s="1547">
        <f t="shared" ref="LAE10" si="4054">LAC10</f>
        <v>95000</v>
      </c>
      <c r="LAF10" s="1548"/>
      <c r="LAG10" s="1547">
        <f t="shared" ref="LAG10" si="4055">LAE10</f>
        <v>95000</v>
      </c>
      <c r="LAH10" s="1548"/>
      <c r="LAI10" s="1547">
        <f t="shared" ref="LAI10" si="4056">LAG10</f>
        <v>95000</v>
      </c>
      <c r="LAJ10" s="1548"/>
      <c r="LAK10" s="1547">
        <f t="shared" ref="LAK10" si="4057">LAI10</f>
        <v>95000</v>
      </c>
      <c r="LAL10" s="1548"/>
      <c r="LAM10" s="1547">
        <f t="shared" ref="LAM10" si="4058">LAK10</f>
        <v>95000</v>
      </c>
      <c r="LAN10" s="1548"/>
      <c r="LAO10" s="1547">
        <f t="shared" ref="LAO10" si="4059">LAM10</f>
        <v>95000</v>
      </c>
      <c r="LAP10" s="1548"/>
      <c r="LAQ10" s="1547">
        <f t="shared" ref="LAQ10" si="4060">LAO10</f>
        <v>95000</v>
      </c>
      <c r="LAR10" s="1548"/>
      <c r="LAS10" s="1547">
        <f t="shared" ref="LAS10" si="4061">LAQ10</f>
        <v>95000</v>
      </c>
      <c r="LAT10" s="1548"/>
      <c r="LAU10" s="1547">
        <f t="shared" ref="LAU10" si="4062">LAS10</f>
        <v>95000</v>
      </c>
      <c r="LAV10" s="1548"/>
      <c r="LAW10" s="1547">
        <f t="shared" ref="LAW10" si="4063">LAU10</f>
        <v>95000</v>
      </c>
      <c r="LAX10" s="1548"/>
      <c r="LAY10" s="1547">
        <f t="shared" ref="LAY10" si="4064">LAW10</f>
        <v>95000</v>
      </c>
      <c r="LAZ10" s="1548"/>
      <c r="LBA10" s="1547">
        <f t="shared" ref="LBA10" si="4065">LAY10</f>
        <v>95000</v>
      </c>
      <c r="LBB10" s="1548"/>
      <c r="LBC10" s="1547">
        <f t="shared" ref="LBC10" si="4066">LBA10</f>
        <v>95000</v>
      </c>
      <c r="LBD10" s="1548"/>
      <c r="LBE10" s="1547">
        <f t="shared" ref="LBE10" si="4067">LBC10</f>
        <v>95000</v>
      </c>
      <c r="LBF10" s="1548"/>
      <c r="LBG10" s="1547">
        <f t="shared" ref="LBG10" si="4068">LBE10</f>
        <v>95000</v>
      </c>
      <c r="LBH10" s="1548"/>
      <c r="LBI10" s="1547">
        <f t="shared" ref="LBI10" si="4069">LBG10</f>
        <v>95000</v>
      </c>
      <c r="LBJ10" s="1548"/>
      <c r="LBK10" s="1547">
        <f t="shared" ref="LBK10" si="4070">LBI10</f>
        <v>95000</v>
      </c>
      <c r="LBL10" s="1548"/>
      <c r="LBM10" s="1547">
        <f t="shared" ref="LBM10" si="4071">LBK10</f>
        <v>95000</v>
      </c>
      <c r="LBN10" s="1548"/>
      <c r="LBO10" s="1547">
        <f t="shared" ref="LBO10" si="4072">LBM10</f>
        <v>95000</v>
      </c>
      <c r="LBP10" s="1548"/>
      <c r="LBQ10" s="1547">
        <f t="shared" ref="LBQ10" si="4073">LBO10</f>
        <v>95000</v>
      </c>
      <c r="LBR10" s="1548"/>
      <c r="LBS10" s="1547">
        <f t="shared" ref="LBS10" si="4074">LBQ10</f>
        <v>95000</v>
      </c>
      <c r="LBT10" s="1548"/>
      <c r="LBU10" s="1547">
        <f t="shared" ref="LBU10" si="4075">LBS10</f>
        <v>95000</v>
      </c>
      <c r="LBV10" s="1548"/>
      <c r="LBW10" s="1547">
        <f t="shared" ref="LBW10" si="4076">LBU10</f>
        <v>95000</v>
      </c>
      <c r="LBX10" s="1548"/>
      <c r="LBY10" s="1547">
        <f t="shared" ref="LBY10" si="4077">LBW10</f>
        <v>95000</v>
      </c>
      <c r="LBZ10" s="1548"/>
      <c r="LCA10" s="1547">
        <f t="shared" ref="LCA10" si="4078">LBY10</f>
        <v>95000</v>
      </c>
      <c r="LCB10" s="1548"/>
      <c r="LCC10" s="1547">
        <f t="shared" ref="LCC10" si="4079">LCA10</f>
        <v>95000</v>
      </c>
      <c r="LCD10" s="1548"/>
      <c r="LCE10" s="1547">
        <f t="shared" ref="LCE10" si="4080">LCC10</f>
        <v>95000</v>
      </c>
      <c r="LCF10" s="1548"/>
      <c r="LCG10" s="1547">
        <f t="shared" ref="LCG10" si="4081">LCE10</f>
        <v>95000</v>
      </c>
      <c r="LCH10" s="1548"/>
      <c r="LCI10" s="1547">
        <f t="shared" ref="LCI10" si="4082">LCG10</f>
        <v>95000</v>
      </c>
      <c r="LCJ10" s="1548"/>
      <c r="LCK10" s="1547">
        <f t="shared" ref="LCK10" si="4083">LCI10</f>
        <v>95000</v>
      </c>
      <c r="LCL10" s="1548"/>
      <c r="LCM10" s="1547">
        <f t="shared" ref="LCM10" si="4084">LCK10</f>
        <v>95000</v>
      </c>
      <c r="LCN10" s="1548"/>
      <c r="LCO10" s="1547">
        <f t="shared" ref="LCO10" si="4085">LCM10</f>
        <v>95000</v>
      </c>
      <c r="LCP10" s="1548"/>
      <c r="LCQ10" s="1547">
        <f t="shared" ref="LCQ10" si="4086">LCO10</f>
        <v>95000</v>
      </c>
      <c r="LCR10" s="1548"/>
      <c r="LCS10" s="1547">
        <f t="shared" ref="LCS10" si="4087">LCQ10</f>
        <v>95000</v>
      </c>
      <c r="LCT10" s="1548"/>
      <c r="LCU10" s="1547">
        <f t="shared" ref="LCU10" si="4088">LCS10</f>
        <v>95000</v>
      </c>
      <c r="LCV10" s="1548"/>
      <c r="LCW10" s="1547">
        <f t="shared" ref="LCW10" si="4089">LCU10</f>
        <v>95000</v>
      </c>
      <c r="LCX10" s="1548"/>
      <c r="LCY10" s="1547">
        <f t="shared" ref="LCY10" si="4090">LCW10</f>
        <v>95000</v>
      </c>
      <c r="LCZ10" s="1548"/>
      <c r="LDA10" s="1547">
        <f t="shared" ref="LDA10" si="4091">LCY10</f>
        <v>95000</v>
      </c>
      <c r="LDB10" s="1548"/>
      <c r="LDC10" s="1547">
        <f t="shared" ref="LDC10" si="4092">LDA10</f>
        <v>95000</v>
      </c>
      <c r="LDD10" s="1548"/>
      <c r="LDE10" s="1547">
        <f t="shared" ref="LDE10" si="4093">LDC10</f>
        <v>95000</v>
      </c>
      <c r="LDF10" s="1548"/>
      <c r="LDG10" s="1547">
        <f t="shared" ref="LDG10" si="4094">LDE10</f>
        <v>95000</v>
      </c>
      <c r="LDH10" s="1548"/>
      <c r="LDI10" s="1547">
        <f t="shared" ref="LDI10" si="4095">LDG10</f>
        <v>95000</v>
      </c>
      <c r="LDJ10" s="1548"/>
      <c r="LDK10" s="1547">
        <f t="shared" ref="LDK10" si="4096">LDI10</f>
        <v>95000</v>
      </c>
      <c r="LDL10" s="1548"/>
      <c r="LDM10" s="1547">
        <f t="shared" ref="LDM10" si="4097">LDK10</f>
        <v>95000</v>
      </c>
      <c r="LDN10" s="1548"/>
      <c r="LDO10" s="1547">
        <f t="shared" ref="LDO10" si="4098">LDM10</f>
        <v>95000</v>
      </c>
      <c r="LDP10" s="1548"/>
      <c r="LDQ10" s="1547">
        <f t="shared" ref="LDQ10" si="4099">LDO10</f>
        <v>95000</v>
      </c>
      <c r="LDR10" s="1548"/>
      <c r="LDS10" s="1547">
        <f t="shared" ref="LDS10" si="4100">LDQ10</f>
        <v>95000</v>
      </c>
      <c r="LDT10" s="1548"/>
      <c r="LDU10" s="1547">
        <f t="shared" ref="LDU10" si="4101">LDS10</f>
        <v>95000</v>
      </c>
      <c r="LDV10" s="1548"/>
      <c r="LDW10" s="1547">
        <f t="shared" ref="LDW10" si="4102">LDU10</f>
        <v>95000</v>
      </c>
      <c r="LDX10" s="1548"/>
      <c r="LDY10" s="1547">
        <f t="shared" ref="LDY10" si="4103">LDW10</f>
        <v>95000</v>
      </c>
      <c r="LDZ10" s="1548"/>
      <c r="LEA10" s="1547">
        <f t="shared" ref="LEA10" si="4104">LDY10</f>
        <v>95000</v>
      </c>
      <c r="LEB10" s="1548"/>
      <c r="LEC10" s="1547">
        <f t="shared" ref="LEC10" si="4105">LEA10</f>
        <v>95000</v>
      </c>
      <c r="LED10" s="1548"/>
      <c r="LEE10" s="1547">
        <f t="shared" ref="LEE10" si="4106">LEC10</f>
        <v>95000</v>
      </c>
      <c r="LEF10" s="1548"/>
      <c r="LEG10" s="1547">
        <f t="shared" ref="LEG10" si="4107">LEE10</f>
        <v>95000</v>
      </c>
      <c r="LEH10" s="1548"/>
      <c r="LEI10" s="1547">
        <f t="shared" ref="LEI10" si="4108">LEG10</f>
        <v>95000</v>
      </c>
      <c r="LEJ10" s="1548"/>
      <c r="LEK10" s="1547">
        <f t="shared" ref="LEK10" si="4109">LEI10</f>
        <v>95000</v>
      </c>
      <c r="LEL10" s="1548"/>
      <c r="LEM10" s="1547">
        <f t="shared" ref="LEM10" si="4110">LEK10</f>
        <v>95000</v>
      </c>
      <c r="LEN10" s="1548"/>
      <c r="LEO10" s="1547">
        <f t="shared" ref="LEO10" si="4111">LEM10</f>
        <v>95000</v>
      </c>
      <c r="LEP10" s="1548"/>
      <c r="LEQ10" s="1547">
        <f t="shared" ref="LEQ10" si="4112">LEO10</f>
        <v>95000</v>
      </c>
      <c r="LER10" s="1548"/>
      <c r="LES10" s="1547">
        <f t="shared" ref="LES10" si="4113">LEQ10</f>
        <v>95000</v>
      </c>
      <c r="LET10" s="1548"/>
      <c r="LEU10" s="1547">
        <f t="shared" ref="LEU10" si="4114">LES10</f>
        <v>95000</v>
      </c>
      <c r="LEV10" s="1548"/>
      <c r="LEW10" s="1547">
        <f t="shared" ref="LEW10" si="4115">LEU10</f>
        <v>95000</v>
      </c>
      <c r="LEX10" s="1548"/>
      <c r="LEY10" s="1547">
        <f t="shared" ref="LEY10" si="4116">LEW10</f>
        <v>95000</v>
      </c>
      <c r="LEZ10" s="1548"/>
      <c r="LFA10" s="1547">
        <f t="shared" ref="LFA10" si="4117">LEY10</f>
        <v>95000</v>
      </c>
      <c r="LFB10" s="1548"/>
      <c r="LFC10" s="1547">
        <f t="shared" ref="LFC10" si="4118">LFA10</f>
        <v>95000</v>
      </c>
      <c r="LFD10" s="1548"/>
      <c r="LFE10" s="1547">
        <f t="shared" ref="LFE10" si="4119">LFC10</f>
        <v>95000</v>
      </c>
      <c r="LFF10" s="1548"/>
      <c r="LFG10" s="1547">
        <f t="shared" ref="LFG10" si="4120">LFE10</f>
        <v>95000</v>
      </c>
      <c r="LFH10" s="1548"/>
      <c r="LFI10" s="1547">
        <f t="shared" ref="LFI10" si="4121">LFG10</f>
        <v>95000</v>
      </c>
      <c r="LFJ10" s="1548"/>
      <c r="LFK10" s="1547">
        <f t="shared" ref="LFK10" si="4122">LFI10</f>
        <v>95000</v>
      </c>
      <c r="LFL10" s="1548"/>
      <c r="LFM10" s="1547">
        <f t="shared" ref="LFM10" si="4123">LFK10</f>
        <v>95000</v>
      </c>
      <c r="LFN10" s="1548"/>
      <c r="LFO10" s="1547">
        <f t="shared" ref="LFO10" si="4124">LFM10</f>
        <v>95000</v>
      </c>
      <c r="LFP10" s="1548"/>
      <c r="LFQ10" s="1547">
        <f t="shared" ref="LFQ10" si="4125">LFO10</f>
        <v>95000</v>
      </c>
      <c r="LFR10" s="1548"/>
      <c r="LFS10" s="1547">
        <f t="shared" ref="LFS10" si="4126">LFQ10</f>
        <v>95000</v>
      </c>
      <c r="LFT10" s="1548"/>
      <c r="LFU10" s="1547">
        <f t="shared" ref="LFU10" si="4127">LFS10</f>
        <v>95000</v>
      </c>
      <c r="LFV10" s="1548"/>
      <c r="LFW10" s="1547">
        <f t="shared" ref="LFW10" si="4128">LFU10</f>
        <v>95000</v>
      </c>
      <c r="LFX10" s="1548"/>
      <c r="LFY10" s="1547">
        <f t="shared" ref="LFY10" si="4129">LFW10</f>
        <v>95000</v>
      </c>
      <c r="LFZ10" s="1548"/>
      <c r="LGA10" s="1547">
        <f t="shared" ref="LGA10" si="4130">LFY10</f>
        <v>95000</v>
      </c>
      <c r="LGB10" s="1548"/>
      <c r="LGC10" s="1547">
        <f t="shared" ref="LGC10" si="4131">LGA10</f>
        <v>95000</v>
      </c>
      <c r="LGD10" s="1548"/>
      <c r="LGE10" s="1547">
        <f t="shared" ref="LGE10" si="4132">LGC10</f>
        <v>95000</v>
      </c>
      <c r="LGF10" s="1548"/>
      <c r="LGG10" s="1547">
        <f t="shared" ref="LGG10" si="4133">LGE10</f>
        <v>95000</v>
      </c>
      <c r="LGH10" s="1548"/>
      <c r="LGI10" s="1547">
        <f t="shared" ref="LGI10" si="4134">LGG10</f>
        <v>95000</v>
      </c>
      <c r="LGJ10" s="1548"/>
      <c r="LGK10" s="1547">
        <f t="shared" ref="LGK10" si="4135">LGI10</f>
        <v>95000</v>
      </c>
      <c r="LGL10" s="1548"/>
      <c r="LGM10" s="1547">
        <f t="shared" ref="LGM10" si="4136">LGK10</f>
        <v>95000</v>
      </c>
      <c r="LGN10" s="1548"/>
      <c r="LGO10" s="1547">
        <f t="shared" ref="LGO10" si="4137">LGM10</f>
        <v>95000</v>
      </c>
      <c r="LGP10" s="1548"/>
      <c r="LGQ10" s="1547">
        <f t="shared" ref="LGQ10" si="4138">LGO10</f>
        <v>95000</v>
      </c>
      <c r="LGR10" s="1548"/>
      <c r="LGS10" s="1547">
        <f t="shared" ref="LGS10" si="4139">LGQ10</f>
        <v>95000</v>
      </c>
      <c r="LGT10" s="1548"/>
      <c r="LGU10" s="1547">
        <f t="shared" ref="LGU10" si="4140">LGS10</f>
        <v>95000</v>
      </c>
      <c r="LGV10" s="1548"/>
      <c r="LGW10" s="1547">
        <f t="shared" ref="LGW10" si="4141">LGU10</f>
        <v>95000</v>
      </c>
      <c r="LGX10" s="1548"/>
      <c r="LGY10" s="1547">
        <f t="shared" ref="LGY10" si="4142">LGW10</f>
        <v>95000</v>
      </c>
      <c r="LGZ10" s="1548"/>
      <c r="LHA10" s="1547">
        <f t="shared" ref="LHA10" si="4143">LGY10</f>
        <v>95000</v>
      </c>
      <c r="LHB10" s="1548"/>
      <c r="LHC10" s="1547">
        <f t="shared" ref="LHC10" si="4144">LHA10</f>
        <v>95000</v>
      </c>
      <c r="LHD10" s="1548"/>
      <c r="LHE10" s="1547">
        <f t="shared" ref="LHE10" si="4145">LHC10</f>
        <v>95000</v>
      </c>
      <c r="LHF10" s="1548"/>
      <c r="LHG10" s="1547">
        <f t="shared" ref="LHG10" si="4146">LHE10</f>
        <v>95000</v>
      </c>
      <c r="LHH10" s="1548"/>
      <c r="LHI10" s="1547">
        <f t="shared" ref="LHI10" si="4147">LHG10</f>
        <v>95000</v>
      </c>
      <c r="LHJ10" s="1548"/>
      <c r="LHK10" s="1547">
        <f t="shared" ref="LHK10" si="4148">LHI10</f>
        <v>95000</v>
      </c>
      <c r="LHL10" s="1548"/>
      <c r="LHM10" s="1547">
        <f t="shared" ref="LHM10" si="4149">LHK10</f>
        <v>95000</v>
      </c>
      <c r="LHN10" s="1548"/>
      <c r="LHO10" s="1547">
        <f t="shared" ref="LHO10" si="4150">LHM10</f>
        <v>95000</v>
      </c>
      <c r="LHP10" s="1548"/>
      <c r="LHQ10" s="1547">
        <f t="shared" ref="LHQ10" si="4151">LHO10</f>
        <v>95000</v>
      </c>
      <c r="LHR10" s="1548"/>
      <c r="LHS10" s="1547">
        <f t="shared" ref="LHS10" si="4152">LHQ10</f>
        <v>95000</v>
      </c>
      <c r="LHT10" s="1548"/>
      <c r="LHU10" s="1547">
        <f t="shared" ref="LHU10" si="4153">LHS10</f>
        <v>95000</v>
      </c>
      <c r="LHV10" s="1548"/>
      <c r="LHW10" s="1547">
        <f t="shared" ref="LHW10" si="4154">LHU10</f>
        <v>95000</v>
      </c>
      <c r="LHX10" s="1548"/>
      <c r="LHY10" s="1547">
        <f t="shared" ref="LHY10" si="4155">LHW10</f>
        <v>95000</v>
      </c>
      <c r="LHZ10" s="1548"/>
      <c r="LIA10" s="1547">
        <f t="shared" ref="LIA10" si="4156">LHY10</f>
        <v>95000</v>
      </c>
      <c r="LIB10" s="1548"/>
      <c r="LIC10" s="1547">
        <f t="shared" ref="LIC10" si="4157">LIA10</f>
        <v>95000</v>
      </c>
      <c r="LID10" s="1548"/>
      <c r="LIE10" s="1547">
        <f t="shared" ref="LIE10" si="4158">LIC10</f>
        <v>95000</v>
      </c>
      <c r="LIF10" s="1548"/>
      <c r="LIG10" s="1547">
        <f t="shared" ref="LIG10" si="4159">LIE10</f>
        <v>95000</v>
      </c>
      <c r="LIH10" s="1548"/>
      <c r="LII10" s="1547">
        <f t="shared" ref="LII10" si="4160">LIG10</f>
        <v>95000</v>
      </c>
      <c r="LIJ10" s="1548"/>
      <c r="LIK10" s="1547">
        <f t="shared" ref="LIK10" si="4161">LII10</f>
        <v>95000</v>
      </c>
      <c r="LIL10" s="1548"/>
      <c r="LIM10" s="1547">
        <f t="shared" ref="LIM10" si="4162">LIK10</f>
        <v>95000</v>
      </c>
      <c r="LIN10" s="1548"/>
      <c r="LIO10" s="1547">
        <f t="shared" ref="LIO10" si="4163">LIM10</f>
        <v>95000</v>
      </c>
      <c r="LIP10" s="1548"/>
      <c r="LIQ10" s="1547">
        <f t="shared" ref="LIQ10" si="4164">LIO10</f>
        <v>95000</v>
      </c>
      <c r="LIR10" s="1548"/>
      <c r="LIS10" s="1547">
        <f t="shared" ref="LIS10" si="4165">LIQ10</f>
        <v>95000</v>
      </c>
      <c r="LIT10" s="1548"/>
      <c r="LIU10" s="1547">
        <f t="shared" ref="LIU10" si="4166">LIS10</f>
        <v>95000</v>
      </c>
      <c r="LIV10" s="1548"/>
      <c r="LIW10" s="1547">
        <f t="shared" ref="LIW10" si="4167">LIU10</f>
        <v>95000</v>
      </c>
      <c r="LIX10" s="1548"/>
      <c r="LIY10" s="1547">
        <f t="shared" ref="LIY10" si="4168">LIW10</f>
        <v>95000</v>
      </c>
      <c r="LIZ10" s="1548"/>
      <c r="LJA10" s="1547">
        <f t="shared" ref="LJA10" si="4169">LIY10</f>
        <v>95000</v>
      </c>
      <c r="LJB10" s="1548"/>
      <c r="LJC10" s="1547">
        <f t="shared" ref="LJC10" si="4170">LJA10</f>
        <v>95000</v>
      </c>
      <c r="LJD10" s="1548"/>
      <c r="LJE10" s="1547">
        <f t="shared" ref="LJE10" si="4171">LJC10</f>
        <v>95000</v>
      </c>
      <c r="LJF10" s="1548"/>
      <c r="LJG10" s="1547">
        <f t="shared" ref="LJG10" si="4172">LJE10</f>
        <v>95000</v>
      </c>
      <c r="LJH10" s="1548"/>
      <c r="LJI10" s="1547">
        <f t="shared" ref="LJI10" si="4173">LJG10</f>
        <v>95000</v>
      </c>
      <c r="LJJ10" s="1548"/>
      <c r="LJK10" s="1547">
        <f t="shared" ref="LJK10" si="4174">LJI10</f>
        <v>95000</v>
      </c>
      <c r="LJL10" s="1548"/>
      <c r="LJM10" s="1547">
        <f t="shared" ref="LJM10" si="4175">LJK10</f>
        <v>95000</v>
      </c>
      <c r="LJN10" s="1548"/>
      <c r="LJO10" s="1547">
        <f t="shared" ref="LJO10" si="4176">LJM10</f>
        <v>95000</v>
      </c>
      <c r="LJP10" s="1548"/>
      <c r="LJQ10" s="1547">
        <f t="shared" ref="LJQ10" si="4177">LJO10</f>
        <v>95000</v>
      </c>
      <c r="LJR10" s="1548"/>
      <c r="LJS10" s="1547">
        <f t="shared" ref="LJS10" si="4178">LJQ10</f>
        <v>95000</v>
      </c>
      <c r="LJT10" s="1548"/>
      <c r="LJU10" s="1547">
        <f t="shared" ref="LJU10" si="4179">LJS10</f>
        <v>95000</v>
      </c>
      <c r="LJV10" s="1548"/>
      <c r="LJW10" s="1547">
        <f t="shared" ref="LJW10" si="4180">LJU10</f>
        <v>95000</v>
      </c>
      <c r="LJX10" s="1548"/>
      <c r="LJY10" s="1547">
        <f t="shared" ref="LJY10" si="4181">LJW10</f>
        <v>95000</v>
      </c>
      <c r="LJZ10" s="1548"/>
      <c r="LKA10" s="1547">
        <f t="shared" ref="LKA10" si="4182">LJY10</f>
        <v>95000</v>
      </c>
      <c r="LKB10" s="1548"/>
      <c r="LKC10" s="1547">
        <f t="shared" ref="LKC10" si="4183">LKA10</f>
        <v>95000</v>
      </c>
      <c r="LKD10" s="1548"/>
      <c r="LKE10" s="1547">
        <f t="shared" ref="LKE10" si="4184">LKC10</f>
        <v>95000</v>
      </c>
      <c r="LKF10" s="1548"/>
      <c r="LKG10" s="1547">
        <f t="shared" ref="LKG10" si="4185">LKE10</f>
        <v>95000</v>
      </c>
      <c r="LKH10" s="1548"/>
      <c r="LKI10" s="1547">
        <f t="shared" ref="LKI10" si="4186">LKG10</f>
        <v>95000</v>
      </c>
      <c r="LKJ10" s="1548"/>
      <c r="LKK10" s="1547">
        <f t="shared" ref="LKK10" si="4187">LKI10</f>
        <v>95000</v>
      </c>
      <c r="LKL10" s="1548"/>
      <c r="LKM10" s="1547">
        <f t="shared" ref="LKM10" si="4188">LKK10</f>
        <v>95000</v>
      </c>
      <c r="LKN10" s="1548"/>
      <c r="LKO10" s="1547">
        <f t="shared" ref="LKO10" si="4189">LKM10</f>
        <v>95000</v>
      </c>
      <c r="LKP10" s="1548"/>
      <c r="LKQ10" s="1547">
        <f t="shared" ref="LKQ10" si="4190">LKO10</f>
        <v>95000</v>
      </c>
      <c r="LKR10" s="1548"/>
      <c r="LKS10" s="1547">
        <f t="shared" ref="LKS10" si="4191">LKQ10</f>
        <v>95000</v>
      </c>
      <c r="LKT10" s="1548"/>
      <c r="LKU10" s="1547">
        <f t="shared" ref="LKU10" si="4192">LKS10</f>
        <v>95000</v>
      </c>
      <c r="LKV10" s="1548"/>
      <c r="LKW10" s="1547">
        <f t="shared" ref="LKW10" si="4193">LKU10</f>
        <v>95000</v>
      </c>
      <c r="LKX10" s="1548"/>
      <c r="LKY10" s="1547">
        <f t="shared" ref="LKY10" si="4194">LKW10</f>
        <v>95000</v>
      </c>
      <c r="LKZ10" s="1548"/>
      <c r="LLA10" s="1547">
        <f t="shared" ref="LLA10" si="4195">LKY10</f>
        <v>95000</v>
      </c>
      <c r="LLB10" s="1548"/>
      <c r="LLC10" s="1547">
        <f t="shared" ref="LLC10" si="4196">LLA10</f>
        <v>95000</v>
      </c>
      <c r="LLD10" s="1548"/>
      <c r="LLE10" s="1547">
        <f t="shared" ref="LLE10" si="4197">LLC10</f>
        <v>95000</v>
      </c>
      <c r="LLF10" s="1548"/>
      <c r="LLG10" s="1547">
        <f t="shared" ref="LLG10" si="4198">LLE10</f>
        <v>95000</v>
      </c>
      <c r="LLH10" s="1548"/>
      <c r="LLI10" s="1547">
        <f t="shared" ref="LLI10" si="4199">LLG10</f>
        <v>95000</v>
      </c>
      <c r="LLJ10" s="1548"/>
      <c r="LLK10" s="1547">
        <f t="shared" ref="LLK10" si="4200">LLI10</f>
        <v>95000</v>
      </c>
      <c r="LLL10" s="1548"/>
      <c r="LLM10" s="1547">
        <f t="shared" ref="LLM10" si="4201">LLK10</f>
        <v>95000</v>
      </c>
      <c r="LLN10" s="1548"/>
      <c r="LLO10" s="1547">
        <f t="shared" ref="LLO10" si="4202">LLM10</f>
        <v>95000</v>
      </c>
      <c r="LLP10" s="1548"/>
      <c r="LLQ10" s="1547">
        <f t="shared" ref="LLQ10" si="4203">LLO10</f>
        <v>95000</v>
      </c>
      <c r="LLR10" s="1548"/>
      <c r="LLS10" s="1547">
        <f t="shared" ref="LLS10" si="4204">LLQ10</f>
        <v>95000</v>
      </c>
      <c r="LLT10" s="1548"/>
      <c r="LLU10" s="1547">
        <f t="shared" ref="LLU10" si="4205">LLS10</f>
        <v>95000</v>
      </c>
      <c r="LLV10" s="1548"/>
      <c r="LLW10" s="1547">
        <f t="shared" ref="LLW10" si="4206">LLU10</f>
        <v>95000</v>
      </c>
      <c r="LLX10" s="1548"/>
      <c r="LLY10" s="1547">
        <f t="shared" ref="LLY10" si="4207">LLW10</f>
        <v>95000</v>
      </c>
      <c r="LLZ10" s="1548"/>
      <c r="LMA10" s="1547">
        <f t="shared" ref="LMA10" si="4208">LLY10</f>
        <v>95000</v>
      </c>
      <c r="LMB10" s="1548"/>
      <c r="LMC10" s="1547">
        <f t="shared" ref="LMC10" si="4209">LMA10</f>
        <v>95000</v>
      </c>
      <c r="LMD10" s="1548"/>
      <c r="LME10" s="1547">
        <f t="shared" ref="LME10" si="4210">LMC10</f>
        <v>95000</v>
      </c>
      <c r="LMF10" s="1548"/>
      <c r="LMG10" s="1547">
        <f t="shared" ref="LMG10" si="4211">LME10</f>
        <v>95000</v>
      </c>
      <c r="LMH10" s="1548"/>
      <c r="LMI10" s="1547">
        <f t="shared" ref="LMI10" si="4212">LMG10</f>
        <v>95000</v>
      </c>
      <c r="LMJ10" s="1548"/>
      <c r="LMK10" s="1547">
        <f t="shared" ref="LMK10" si="4213">LMI10</f>
        <v>95000</v>
      </c>
      <c r="LML10" s="1548"/>
      <c r="LMM10" s="1547">
        <f t="shared" ref="LMM10" si="4214">LMK10</f>
        <v>95000</v>
      </c>
      <c r="LMN10" s="1548"/>
      <c r="LMO10" s="1547">
        <f t="shared" ref="LMO10" si="4215">LMM10</f>
        <v>95000</v>
      </c>
      <c r="LMP10" s="1548"/>
      <c r="LMQ10" s="1547">
        <f t="shared" ref="LMQ10" si="4216">LMO10</f>
        <v>95000</v>
      </c>
      <c r="LMR10" s="1548"/>
      <c r="LMS10" s="1547">
        <f t="shared" ref="LMS10" si="4217">LMQ10</f>
        <v>95000</v>
      </c>
      <c r="LMT10" s="1548"/>
      <c r="LMU10" s="1547">
        <f t="shared" ref="LMU10" si="4218">LMS10</f>
        <v>95000</v>
      </c>
      <c r="LMV10" s="1548"/>
      <c r="LMW10" s="1547">
        <f t="shared" ref="LMW10" si="4219">LMU10</f>
        <v>95000</v>
      </c>
      <c r="LMX10" s="1548"/>
      <c r="LMY10" s="1547">
        <f t="shared" ref="LMY10" si="4220">LMW10</f>
        <v>95000</v>
      </c>
      <c r="LMZ10" s="1548"/>
      <c r="LNA10" s="1547">
        <f t="shared" ref="LNA10" si="4221">LMY10</f>
        <v>95000</v>
      </c>
      <c r="LNB10" s="1548"/>
      <c r="LNC10" s="1547">
        <f t="shared" ref="LNC10" si="4222">LNA10</f>
        <v>95000</v>
      </c>
      <c r="LND10" s="1548"/>
      <c r="LNE10" s="1547">
        <f t="shared" ref="LNE10" si="4223">LNC10</f>
        <v>95000</v>
      </c>
      <c r="LNF10" s="1548"/>
      <c r="LNG10" s="1547">
        <f t="shared" ref="LNG10" si="4224">LNE10</f>
        <v>95000</v>
      </c>
      <c r="LNH10" s="1548"/>
      <c r="LNI10" s="1547">
        <f t="shared" ref="LNI10" si="4225">LNG10</f>
        <v>95000</v>
      </c>
      <c r="LNJ10" s="1548"/>
      <c r="LNK10" s="1547">
        <f t="shared" ref="LNK10" si="4226">LNI10</f>
        <v>95000</v>
      </c>
      <c r="LNL10" s="1548"/>
      <c r="LNM10" s="1547">
        <f t="shared" ref="LNM10" si="4227">LNK10</f>
        <v>95000</v>
      </c>
      <c r="LNN10" s="1548"/>
      <c r="LNO10" s="1547">
        <f t="shared" ref="LNO10" si="4228">LNM10</f>
        <v>95000</v>
      </c>
      <c r="LNP10" s="1548"/>
      <c r="LNQ10" s="1547">
        <f t="shared" ref="LNQ10" si="4229">LNO10</f>
        <v>95000</v>
      </c>
      <c r="LNR10" s="1548"/>
      <c r="LNS10" s="1547">
        <f t="shared" ref="LNS10" si="4230">LNQ10</f>
        <v>95000</v>
      </c>
      <c r="LNT10" s="1548"/>
      <c r="LNU10" s="1547">
        <f t="shared" ref="LNU10" si="4231">LNS10</f>
        <v>95000</v>
      </c>
      <c r="LNV10" s="1548"/>
      <c r="LNW10" s="1547">
        <f t="shared" ref="LNW10" si="4232">LNU10</f>
        <v>95000</v>
      </c>
      <c r="LNX10" s="1548"/>
      <c r="LNY10" s="1547">
        <f t="shared" ref="LNY10" si="4233">LNW10</f>
        <v>95000</v>
      </c>
      <c r="LNZ10" s="1548"/>
      <c r="LOA10" s="1547">
        <f t="shared" ref="LOA10" si="4234">LNY10</f>
        <v>95000</v>
      </c>
      <c r="LOB10" s="1548"/>
      <c r="LOC10" s="1547">
        <f t="shared" ref="LOC10" si="4235">LOA10</f>
        <v>95000</v>
      </c>
      <c r="LOD10" s="1548"/>
      <c r="LOE10" s="1547">
        <f t="shared" ref="LOE10" si="4236">LOC10</f>
        <v>95000</v>
      </c>
      <c r="LOF10" s="1548"/>
      <c r="LOG10" s="1547">
        <f t="shared" ref="LOG10" si="4237">LOE10</f>
        <v>95000</v>
      </c>
      <c r="LOH10" s="1548"/>
      <c r="LOI10" s="1547">
        <f t="shared" ref="LOI10" si="4238">LOG10</f>
        <v>95000</v>
      </c>
      <c r="LOJ10" s="1548"/>
      <c r="LOK10" s="1547">
        <f t="shared" ref="LOK10" si="4239">LOI10</f>
        <v>95000</v>
      </c>
      <c r="LOL10" s="1548"/>
      <c r="LOM10" s="1547">
        <f t="shared" ref="LOM10" si="4240">LOK10</f>
        <v>95000</v>
      </c>
      <c r="LON10" s="1548"/>
      <c r="LOO10" s="1547">
        <f t="shared" ref="LOO10" si="4241">LOM10</f>
        <v>95000</v>
      </c>
      <c r="LOP10" s="1548"/>
      <c r="LOQ10" s="1547">
        <f t="shared" ref="LOQ10" si="4242">LOO10</f>
        <v>95000</v>
      </c>
      <c r="LOR10" s="1548"/>
      <c r="LOS10" s="1547">
        <f t="shared" ref="LOS10" si="4243">LOQ10</f>
        <v>95000</v>
      </c>
      <c r="LOT10" s="1548"/>
      <c r="LOU10" s="1547">
        <f t="shared" ref="LOU10" si="4244">LOS10</f>
        <v>95000</v>
      </c>
      <c r="LOV10" s="1548"/>
      <c r="LOW10" s="1547">
        <f t="shared" ref="LOW10" si="4245">LOU10</f>
        <v>95000</v>
      </c>
      <c r="LOX10" s="1548"/>
      <c r="LOY10" s="1547">
        <f t="shared" ref="LOY10" si="4246">LOW10</f>
        <v>95000</v>
      </c>
      <c r="LOZ10" s="1548"/>
      <c r="LPA10" s="1547">
        <f t="shared" ref="LPA10" si="4247">LOY10</f>
        <v>95000</v>
      </c>
      <c r="LPB10" s="1548"/>
      <c r="LPC10" s="1547">
        <f t="shared" ref="LPC10" si="4248">LPA10</f>
        <v>95000</v>
      </c>
      <c r="LPD10" s="1548"/>
      <c r="LPE10" s="1547">
        <f t="shared" ref="LPE10" si="4249">LPC10</f>
        <v>95000</v>
      </c>
      <c r="LPF10" s="1548"/>
      <c r="LPG10" s="1547">
        <f t="shared" ref="LPG10" si="4250">LPE10</f>
        <v>95000</v>
      </c>
      <c r="LPH10" s="1548"/>
      <c r="LPI10" s="1547">
        <f t="shared" ref="LPI10" si="4251">LPG10</f>
        <v>95000</v>
      </c>
      <c r="LPJ10" s="1548"/>
      <c r="LPK10" s="1547">
        <f t="shared" ref="LPK10" si="4252">LPI10</f>
        <v>95000</v>
      </c>
      <c r="LPL10" s="1548"/>
      <c r="LPM10" s="1547">
        <f t="shared" ref="LPM10" si="4253">LPK10</f>
        <v>95000</v>
      </c>
      <c r="LPN10" s="1548"/>
      <c r="LPO10" s="1547">
        <f t="shared" ref="LPO10" si="4254">LPM10</f>
        <v>95000</v>
      </c>
      <c r="LPP10" s="1548"/>
      <c r="LPQ10" s="1547">
        <f t="shared" ref="LPQ10" si="4255">LPO10</f>
        <v>95000</v>
      </c>
      <c r="LPR10" s="1548"/>
      <c r="LPS10" s="1547">
        <f t="shared" ref="LPS10" si="4256">LPQ10</f>
        <v>95000</v>
      </c>
      <c r="LPT10" s="1548"/>
      <c r="LPU10" s="1547">
        <f t="shared" ref="LPU10" si="4257">LPS10</f>
        <v>95000</v>
      </c>
      <c r="LPV10" s="1548"/>
      <c r="LPW10" s="1547">
        <f t="shared" ref="LPW10" si="4258">LPU10</f>
        <v>95000</v>
      </c>
      <c r="LPX10" s="1548"/>
      <c r="LPY10" s="1547">
        <f t="shared" ref="LPY10" si="4259">LPW10</f>
        <v>95000</v>
      </c>
      <c r="LPZ10" s="1548"/>
      <c r="LQA10" s="1547">
        <f t="shared" ref="LQA10" si="4260">LPY10</f>
        <v>95000</v>
      </c>
      <c r="LQB10" s="1548"/>
      <c r="LQC10" s="1547">
        <f t="shared" ref="LQC10" si="4261">LQA10</f>
        <v>95000</v>
      </c>
      <c r="LQD10" s="1548"/>
      <c r="LQE10" s="1547">
        <f t="shared" ref="LQE10" si="4262">LQC10</f>
        <v>95000</v>
      </c>
      <c r="LQF10" s="1548"/>
      <c r="LQG10" s="1547">
        <f t="shared" ref="LQG10" si="4263">LQE10</f>
        <v>95000</v>
      </c>
      <c r="LQH10" s="1548"/>
      <c r="LQI10" s="1547">
        <f t="shared" ref="LQI10" si="4264">LQG10</f>
        <v>95000</v>
      </c>
      <c r="LQJ10" s="1548"/>
      <c r="LQK10" s="1547">
        <f t="shared" ref="LQK10" si="4265">LQI10</f>
        <v>95000</v>
      </c>
      <c r="LQL10" s="1548"/>
      <c r="LQM10" s="1547">
        <f t="shared" ref="LQM10" si="4266">LQK10</f>
        <v>95000</v>
      </c>
      <c r="LQN10" s="1548"/>
      <c r="LQO10" s="1547">
        <f t="shared" ref="LQO10" si="4267">LQM10</f>
        <v>95000</v>
      </c>
      <c r="LQP10" s="1548"/>
      <c r="LQQ10" s="1547">
        <f t="shared" ref="LQQ10" si="4268">LQO10</f>
        <v>95000</v>
      </c>
      <c r="LQR10" s="1548"/>
      <c r="LQS10" s="1547">
        <f t="shared" ref="LQS10" si="4269">LQQ10</f>
        <v>95000</v>
      </c>
      <c r="LQT10" s="1548"/>
      <c r="LQU10" s="1547">
        <f t="shared" ref="LQU10" si="4270">LQS10</f>
        <v>95000</v>
      </c>
      <c r="LQV10" s="1548"/>
      <c r="LQW10" s="1547">
        <f t="shared" ref="LQW10" si="4271">LQU10</f>
        <v>95000</v>
      </c>
      <c r="LQX10" s="1548"/>
      <c r="LQY10" s="1547">
        <f t="shared" ref="LQY10" si="4272">LQW10</f>
        <v>95000</v>
      </c>
      <c r="LQZ10" s="1548"/>
      <c r="LRA10" s="1547">
        <f t="shared" ref="LRA10" si="4273">LQY10</f>
        <v>95000</v>
      </c>
      <c r="LRB10" s="1548"/>
      <c r="LRC10" s="1547">
        <f t="shared" ref="LRC10" si="4274">LRA10</f>
        <v>95000</v>
      </c>
      <c r="LRD10" s="1548"/>
      <c r="LRE10" s="1547">
        <f t="shared" ref="LRE10" si="4275">LRC10</f>
        <v>95000</v>
      </c>
      <c r="LRF10" s="1548"/>
      <c r="LRG10" s="1547">
        <f t="shared" ref="LRG10" si="4276">LRE10</f>
        <v>95000</v>
      </c>
      <c r="LRH10" s="1548"/>
      <c r="LRI10" s="1547">
        <f t="shared" ref="LRI10" si="4277">LRG10</f>
        <v>95000</v>
      </c>
      <c r="LRJ10" s="1548"/>
      <c r="LRK10" s="1547">
        <f t="shared" ref="LRK10" si="4278">LRI10</f>
        <v>95000</v>
      </c>
      <c r="LRL10" s="1548"/>
      <c r="LRM10" s="1547">
        <f t="shared" ref="LRM10" si="4279">LRK10</f>
        <v>95000</v>
      </c>
      <c r="LRN10" s="1548"/>
      <c r="LRO10" s="1547">
        <f t="shared" ref="LRO10" si="4280">LRM10</f>
        <v>95000</v>
      </c>
      <c r="LRP10" s="1548"/>
      <c r="LRQ10" s="1547">
        <f t="shared" ref="LRQ10" si="4281">LRO10</f>
        <v>95000</v>
      </c>
      <c r="LRR10" s="1548"/>
      <c r="LRS10" s="1547">
        <f t="shared" ref="LRS10" si="4282">LRQ10</f>
        <v>95000</v>
      </c>
      <c r="LRT10" s="1548"/>
      <c r="LRU10" s="1547">
        <f t="shared" ref="LRU10" si="4283">LRS10</f>
        <v>95000</v>
      </c>
      <c r="LRV10" s="1548"/>
      <c r="LRW10" s="1547">
        <f t="shared" ref="LRW10" si="4284">LRU10</f>
        <v>95000</v>
      </c>
      <c r="LRX10" s="1548"/>
      <c r="LRY10" s="1547">
        <f t="shared" ref="LRY10" si="4285">LRW10</f>
        <v>95000</v>
      </c>
      <c r="LRZ10" s="1548"/>
      <c r="LSA10" s="1547">
        <f t="shared" ref="LSA10" si="4286">LRY10</f>
        <v>95000</v>
      </c>
      <c r="LSB10" s="1548"/>
      <c r="LSC10" s="1547">
        <f t="shared" ref="LSC10" si="4287">LSA10</f>
        <v>95000</v>
      </c>
      <c r="LSD10" s="1548"/>
      <c r="LSE10" s="1547">
        <f t="shared" ref="LSE10" si="4288">LSC10</f>
        <v>95000</v>
      </c>
      <c r="LSF10" s="1548"/>
      <c r="LSG10" s="1547">
        <f t="shared" ref="LSG10" si="4289">LSE10</f>
        <v>95000</v>
      </c>
      <c r="LSH10" s="1548"/>
      <c r="LSI10" s="1547">
        <f t="shared" ref="LSI10" si="4290">LSG10</f>
        <v>95000</v>
      </c>
      <c r="LSJ10" s="1548"/>
      <c r="LSK10" s="1547">
        <f t="shared" ref="LSK10" si="4291">LSI10</f>
        <v>95000</v>
      </c>
      <c r="LSL10" s="1548"/>
      <c r="LSM10" s="1547">
        <f t="shared" ref="LSM10" si="4292">LSK10</f>
        <v>95000</v>
      </c>
      <c r="LSN10" s="1548"/>
      <c r="LSO10" s="1547">
        <f t="shared" ref="LSO10" si="4293">LSM10</f>
        <v>95000</v>
      </c>
      <c r="LSP10" s="1548"/>
      <c r="LSQ10" s="1547">
        <f t="shared" ref="LSQ10" si="4294">LSO10</f>
        <v>95000</v>
      </c>
      <c r="LSR10" s="1548"/>
      <c r="LSS10" s="1547">
        <f t="shared" ref="LSS10" si="4295">LSQ10</f>
        <v>95000</v>
      </c>
      <c r="LST10" s="1548"/>
      <c r="LSU10" s="1547">
        <f t="shared" ref="LSU10" si="4296">LSS10</f>
        <v>95000</v>
      </c>
      <c r="LSV10" s="1548"/>
      <c r="LSW10" s="1547">
        <f t="shared" ref="LSW10" si="4297">LSU10</f>
        <v>95000</v>
      </c>
      <c r="LSX10" s="1548"/>
      <c r="LSY10" s="1547">
        <f t="shared" ref="LSY10" si="4298">LSW10</f>
        <v>95000</v>
      </c>
      <c r="LSZ10" s="1548"/>
      <c r="LTA10" s="1547">
        <f t="shared" ref="LTA10" si="4299">LSY10</f>
        <v>95000</v>
      </c>
      <c r="LTB10" s="1548"/>
      <c r="LTC10" s="1547">
        <f t="shared" ref="LTC10" si="4300">LTA10</f>
        <v>95000</v>
      </c>
      <c r="LTD10" s="1548"/>
      <c r="LTE10" s="1547">
        <f t="shared" ref="LTE10" si="4301">LTC10</f>
        <v>95000</v>
      </c>
      <c r="LTF10" s="1548"/>
      <c r="LTG10" s="1547">
        <f t="shared" ref="LTG10" si="4302">LTE10</f>
        <v>95000</v>
      </c>
      <c r="LTH10" s="1548"/>
      <c r="LTI10" s="1547">
        <f t="shared" ref="LTI10" si="4303">LTG10</f>
        <v>95000</v>
      </c>
      <c r="LTJ10" s="1548"/>
      <c r="LTK10" s="1547">
        <f t="shared" ref="LTK10" si="4304">LTI10</f>
        <v>95000</v>
      </c>
      <c r="LTL10" s="1548"/>
      <c r="LTM10" s="1547">
        <f t="shared" ref="LTM10" si="4305">LTK10</f>
        <v>95000</v>
      </c>
      <c r="LTN10" s="1548"/>
      <c r="LTO10" s="1547">
        <f t="shared" ref="LTO10" si="4306">LTM10</f>
        <v>95000</v>
      </c>
      <c r="LTP10" s="1548"/>
      <c r="LTQ10" s="1547">
        <f t="shared" ref="LTQ10" si="4307">LTO10</f>
        <v>95000</v>
      </c>
      <c r="LTR10" s="1548"/>
      <c r="LTS10" s="1547">
        <f t="shared" ref="LTS10" si="4308">LTQ10</f>
        <v>95000</v>
      </c>
      <c r="LTT10" s="1548"/>
      <c r="LTU10" s="1547">
        <f t="shared" ref="LTU10" si="4309">LTS10</f>
        <v>95000</v>
      </c>
      <c r="LTV10" s="1548"/>
      <c r="LTW10" s="1547">
        <f t="shared" ref="LTW10" si="4310">LTU10</f>
        <v>95000</v>
      </c>
      <c r="LTX10" s="1548"/>
      <c r="LTY10" s="1547">
        <f t="shared" ref="LTY10" si="4311">LTW10</f>
        <v>95000</v>
      </c>
      <c r="LTZ10" s="1548"/>
      <c r="LUA10" s="1547">
        <f t="shared" ref="LUA10" si="4312">LTY10</f>
        <v>95000</v>
      </c>
      <c r="LUB10" s="1548"/>
      <c r="LUC10" s="1547">
        <f t="shared" ref="LUC10" si="4313">LUA10</f>
        <v>95000</v>
      </c>
      <c r="LUD10" s="1548"/>
      <c r="LUE10" s="1547">
        <f t="shared" ref="LUE10" si="4314">LUC10</f>
        <v>95000</v>
      </c>
      <c r="LUF10" s="1548"/>
      <c r="LUG10" s="1547">
        <f t="shared" ref="LUG10" si="4315">LUE10</f>
        <v>95000</v>
      </c>
      <c r="LUH10" s="1548"/>
      <c r="LUI10" s="1547">
        <f t="shared" ref="LUI10" si="4316">LUG10</f>
        <v>95000</v>
      </c>
      <c r="LUJ10" s="1548"/>
      <c r="LUK10" s="1547">
        <f t="shared" ref="LUK10" si="4317">LUI10</f>
        <v>95000</v>
      </c>
      <c r="LUL10" s="1548"/>
      <c r="LUM10" s="1547">
        <f t="shared" ref="LUM10" si="4318">LUK10</f>
        <v>95000</v>
      </c>
      <c r="LUN10" s="1548"/>
      <c r="LUO10" s="1547">
        <f t="shared" ref="LUO10" si="4319">LUM10</f>
        <v>95000</v>
      </c>
      <c r="LUP10" s="1548"/>
      <c r="LUQ10" s="1547">
        <f t="shared" ref="LUQ10" si="4320">LUO10</f>
        <v>95000</v>
      </c>
      <c r="LUR10" s="1548"/>
      <c r="LUS10" s="1547">
        <f t="shared" ref="LUS10" si="4321">LUQ10</f>
        <v>95000</v>
      </c>
      <c r="LUT10" s="1548"/>
      <c r="LUU10" s="1547">
        <f t="shared" ref="LUU10" si="4322">LUS10</f>
        <v>95000</v>
      </c>
      <c r="LUV10" s="1548"/>
      <c r="LUW10" s="1547">
        <f t="shared" ref="LUW10" si="4323">LUU10</f>
        <v>95000</v>
      </c>
      <c r="LUX10" s="1548"/>
      <c r="LUY10" s="1547">
        <f t="shared" ref="LUY10" si="4324">LUW10</f>
        <v>95000</v>
      </c>
      <c r="LUZ10" s="1548"/>
      <c r="LVA10" s="1547">
        <f t="shared" ref="LVA10" si="4325">LUY10</f>
        <v>95000</v>
      </c>
      <c r="LVB10" s="1548"/>
      <c r="LVC10" s="1547">
        <f t="shared" ref="LVC10" si="4326">LVA10</f>
        <v>95000</v>
      </c>
      <c r="LVD10" s="1548"/>
      <c r="LVE10" s="1547">
        <f t="shared" ref="LVE10" si="4327">LVC10</f>
        <v>95000</v>
      </c>
      <c r="LVF10" s="1548"/>
      <c r="LVG10" s="1547">
        <f t="shared" ref="LVG10" si="4328">LVE10</f>
        <v>95000</v>
      </c>
      <c r="LVH10" s="1548"/>
      <c r="LVI10" s="1547">
        <f t="shared" ref="LVI10" si="4329">LVG10</f>
        <v>95000</v>
      </c>
      <c r="LVJ10" s="1548"/>
      <c r="LVK10" s="1547">
        <f t="shared" ref="LVK10" si="4330">LVI10</f>
        <v>95000</v>
      </c>
      <c r="LVL10" s="1548"/>
      <c r="LVM10" s="1547">
        <f t="shared" ref="LVM10" si="4331">LVK10</f>
        <v>95000</v>
      </c>
      <c r="LVN10" s="1548"/>
      <c r="LVO10" s="1547">
        <f t="shared" ref="LVO10" si="4332">LVM10</f>
        <v>95000</v>
      </c>
      <c r="LVP10" s="1548"/>
      <c r="LVQ10" s="1547">
        <f t="shared" ref="LVQ10" si="4333">LVO10</f>
        <v>95000</v>
      </c>
      <c r="LVR10" s="1548"/>
      <c r="LVS10" s="1547">
        <f t="shared" ref="LVS10" si="4334">LVQ10</f>
        <v>95000</v>
      </c>
      <c r="LVT10" s="1548"/>
      <c r="LVU10" s="1547">
        <f t="shared" ref="LVU10" si="4335">LVS10</f>
        <v>95000</v>
      </c>
      <c r="LVV10" s="1548"/>
      <c r="LVW10" s="1547">
        <f t="shared" ref="LVW10" si="4336">LVU10</f>
        <v>95000</v>
      </c>
      <c r="LVX10" s="1548"/>
      <c r="LVY10" s="1547">
        <f t="shared" ref="LVY10" si="4337">LVW10</f>
        <v>95000</v>
      </c>
      <c r="LVZ10" s="1548"/>
      <c r="LWA10" s="1547">
        <f t="shared" ref="LWA10" si="4338">LVY10</f>
        <v>95000</v>
      </c>
      <c r="LWB10" s="1548"/>
      <c r="LWC10" s="1547">
        <f t="shared" ref="LWC10" si="4339">LWA10</f>
        <v>95000</v>
      </c>
      <c r="LWD10" s="1548"/>
      <c r="LWE10" s="1547">
        <f t="shared" ref="LWE10" si="4340">LWC10</f>
        <v>95000</v>
      </c>
      <c r="LWF10" s="1548"/>
      <c r="LWG10" s="1547">
        <f t="shared" ref="LWG10" si="4341">LWE10</f>
        <v>95000</v>
      </c>
      <c r="LWH10" s="1548"/>
      <c r="LWI10" s="1547">
        <f t="shared" ref="LWI10" si="4342">LWG10</f>
        <v>95000</v>
      </c>
      <c r="LWJ10" s="1548"/>
      <c r="LWK10" s="1547">
        <f t="shared" ref="LWK10" si="4343">LWI10</f>
        <v>95000</v>
      </c>
      <c r="LWL10" s="1548"/>
      <c r="LWM10" s="1547">
        <f t="shared" ref="LWM10" si="4344">LWK10</f>
        <v>95000</v>
      </c>
      <c r="LWN10" s="1548"/>
      <c r="LWO10" s="1547">
        <f t="shared" ref="LWO10" si="4345">LWM10</f>
        <v>95000</v>
      </c>
      <c r="LWP10" s="1548"/>
      <c r="LWQ10" s="1547">
        <f t="shared" ref="LWQ10" si="4346">LWO10</f>
        <v>95000</v>
      </c>
      <c r="LWR10" s="1548"/>
      <c r="LWS10" s="1547">
        <f t="shared" ref="LWS10" si="4347">LWQ10</f>
        <v>95000</v>
      </c>
      <c r="LWT10" s="1548"/>
      <c r="LWU10" s="1547">
        <f t="shared" ref="LWU10" si="4348">LWS10</f>
        <v>95000</v>
      </c>
      <c r="LWV10" s="1548"/>
      <c r="LWW10" s="1547">
        <f t="shared" ref="LWW10" si="4349">LWU10</f>
        <v>95000</v>
      </c>
      <c r="LWX10" s="1548"/>
      <c r="LWY10" s="1547">
        <f t="shared" ref="LWY10" si="4350">LWW10</f>
        <v>95000</v>
      </c>
      <c r="LWZ10" s="1548"/>
      <c r="LXA10" s="1547">
        <f t="shared" ref="LXA10" si="4351">LWY10</f>
        <v>95000</v>
      </c>
      <c r="LXB10" s="1548"/>
      <c r="LXC10" s="1547">
        <f t="shared" ref="LXC10" si="4352">LXA10</f>
        <v>95000</v>
      </c>
      <c r="LXD10" s="1548"/>
      <c r="LXE10" s="1547">
        <f t="shared" ref="LXE10" si="4353">LXC10</f>
        <v>95000</v>
      </c>
      <c r="LXF10" s="1548"/>
      <c r="LXG10" s="1547">
        <f t="shared" ref="LXG10" si="4354">LXE10</f>
        <v>95000</v>
      </c>
      <c r="LXH10" s="1548"/>
      <c r="LXI10" s="1547">
        <f t="shared" ref="LXI10" si="4355">LXG10</f>
        <v>95000</v>
      </c>
      <c r="LXJ10" s="1548"/>
      <c r="LXK10" s="1547">
        <f t="shared" ref="LXK10" si="4356">LXI10</f>
        <v>95000</v>
      </c>
      <c r="LXL10" s="1548"/>
      <c r="LXM10" s="1547">
        <f t="shared" ref="LXM10" si="4357">LXK10</f>
        <v>95000</v>
      </c>
      <c r="LXN10" s="1548"/>
      <c r="LXO10" s="1547">
        <f t="shared" ref="LXO10" si="4358">LXM10</f>
        <v>95000</v>
      </c>
      <c r="LXP10" s="1548"/>
      <c r="LXQ10" s="1547">
        <f t="shared" ref="LXQ10" si="4359">LXO10</f>
        <v>95000</v>
      </c>
      <c r="LXR10" s="1548"/>
      <c r="LXS10" s="1547">
        <f t="shared" ref="LXS10" si="4360">LXQ10</f>
        <v>95000</v>
      </c>
      <c r="LXT10" s="1548"/>
      <c r="LXU10" s="1547">
        <f t="shared" ref="LXU10" si="4361">LXS10</f>
        <v>95000</v>
      </c>
      <c r="LXV10" s="1548"/>
      <c r="LXW10" s="1547">
        <f t="shared" ref="LXW10" si="4362">LXU10</f>
        <v>95000</v>
      </c>
      <c r="LXX10" s="1548"/>
      <c r="LXY10" s="1547">
        <f t="shared" ref="LXY10" si="4363">LXW10</f>
        <v>95000</v>
      </c>
      <c r="LXZ10" s="1548"/>
      <c r="LYA10" s="1547">
        <f t="shared" ref="LYA10" si="4364">LXY10</f>
        <v>95000</v>
      </c>
      <c r="LYB10" s="1548"/>
      <c r="LYC10" s="1547">
        <f t="shared" ref="LYC10" si="4365">LYA10</f>
        <v>95000</v>
      </c>
      <c r="LYD10" s="1548"/>
      <c r="LYE10" s="1547">
        <f t="shared" ref="LYE10" si="4366">LYC10</f>
        <v>95000</v>
      </c>
      <c r="LYF10" s="1548"/>
      <c r="LYG10" s="1547">
        <f t="shared" ref="LYG10" si="4367">LYE10</f>
        <v>95000</v>
      </c>
      <c r="LYH10" s="1548"/>
      <c r="LYI10" s="1547">
        <f t="shared" ref="LYI10" si="4368">LYG10</f>
        <v>95000</v>
      </c>
      <c r="LYJ10" s="1548"/>
      <c r="LYK10" s="1547">
        <f t="shared" ref="LYK10" si="4369">LYI10</f>
        <v>95000</v>
      </c>
      <c r="LYL10" s="1548"/>
      <c r="LYM10" s="1547">
        <f t="shared" ref="LYM10" si="4370">LYK10</f>
        <v>95000</v>
      </c>
      <c r="LYN10" s="1548"/>
      <c r="LYO10" s="1547">
        <f t="shared" ref="LYO10" si="4371">LYM10</f>
        <v>95000</v>
      </c>
      <c r="LYP10" s="1548"/>
      <c r="LYQ10" s="1547">
        <f t="shared" ref="LYQ10" si="4372">LYO10</f>
        <v>95000</v>
      </c>
      <c r="LYR10" s="1548"/>
      <c r="LYS10" s="1547">
        <f t="shared" ref="LYS10" si="4373">LYQ10</f>
        <v>95000</v>
      </c>
      <c r="LYT10" s="1548"/>
      <c r="LYU10" s="1547">
        <f t="shared" ref="LYU10" si="4374">LYS10</f>
        <v>95000</v>
      </c>
      <c r="LYV10" s="1548"/>
      <c r="LYW10" s="1547">
        <f t="shared" ref="LYW10" si="4375">LYU10</f>
        <v>95000</v>
      </c>
      <c r="LYX10" s="1548"/>
      <c r="LYY10" s="1547">
        <f t="shared" ref="LYY10" si="4376">LYW10</f>
        <v>95000</v>
      </c>
      <c r="LYZ10" s="1548"/>
      <c r="LZA10" s="1547">
        <f t="shared" ref="LZA10" si="4377">LYY10</f>
        <v>95000</v>
      </c>
      <c r="LZB10" s="1548"/>
      <c r="LZC10" s="1547">
        <f t="shared" ref="LZC10" si="4378">LZA10</f>
        <v>95000</v>
      </c>
      <c r="LZD10" s="1548"/>
      <c r="LZE10" s="1547">
        <f t="shared" ref="LZE10" si="4379">LZC10</f>
        <v>95000</v>
      </c>
      <c r="LZF10" s="1548"/>
      <c r="LZG10" s="1547">
        <f t="shared" ref="LZG10" si="4380">LZE10</f>
        <v>95000</v>
      </c>
      <c r="LZH10" s="1548"/>
      <c r="LZI10" s="1547">
        <f t="shared" ref="LZI10" si="4381">LZG10</f>
        <v>95000</v>
      </c>
      <c r="LZJ10" s="1548"/>
      <c r="LZK10" s="1547">
        <f t="shared" ref="LZK10" si="4382">LZI10</f>
        <v>95000</v>
      </c>
      <c r="LZL10" s="1548"/>
      <c r="LZM10" s="1547">
        <f t="shared" ref="LZM10" si="4383">LZK10</f>
        <v>95000</v>
      </c>
      <c r="LZN10" s="1548"/>
      <c r="LZO10" s="1547">
        <f t="shared" ref="LZO10" si="4384">LZM10</f>
        <v>95000</v>
      </c>
      <c r="LZP10" s="1548"/>
      <c r="LZQ10" s="1547">
        <f t="shared" ref="LZQ10" si="4385">LZO10</f>
        <v>95000</v>
      </c>
      <c r="LZR10" s="1548"/>
      <c r="LZS10" s="1547">
        <f t="shared" ref="LZS10" si="4386">LZQ10</f>
        <v>95000</v>
      </c>
      <c r="LZT10" s="1548"/>
      <c r="LZU10" s="1547">
        <f t="shared" ref="LZU10" si="4387">LZS10</f>
        <v>95000</v>
      </c>
      <c r="LZV10" s="1548"/>
      <c r="LZW10" s="1547">
        <f t="shared" ref="LZW10" si="4388">LZU10</f>
        <v>95000</v>
      </c>
      <c r="LZX10" s="1548"/>
      <c r="LZY10" s="1547">
        <f t="shared" ref="LZY10" si="4389">LZW10</f>
        <v>95000</v>
      </c>
      <c r="LZZ10" s="1548"/>
      <c r="MAA10" s="1547">
        <f t="shared" ref="MAA10" si="4390">LZY10</f>
        <v>95000</v>
      </c>
      <c r="MAB10" s="1548"/>
      <c r="MAC10" s="1547">
        <f t="shared" ref="MAC10" si="4391">MAA10</f>
        <v>95000</v>
      </c>
      <c r="MAD10" s="1548"/>
      <c r="MAE10" s="1547">
        <f t="shared" ref="MAE10" si="4392">MAC10</f>
        <v>95000</v>
      </c>
      <c r="MAF10" s="1548"/>
      <c r="MAG10" s="1547">
        <f t="shared" ref="MAG10" si="4393">MAE10</f>
        <v>95000</v>
      </c>
      <c r="MAH10" s="1548"/>
      <c r="MAI10" s="1547">
        <f t="shared" ref="MAI10" si="4394">MAG10</f>
        <v>95000</v>
      </c>
      <c r="MAJ10" s="1548"/>
      <c r="MAK10" s="1547">
        <f t="shared" ref="MAK10" si="4395">MAI10</f>
        <v>95000</v>
      </c>
      <c r="MAL10" s="1548"/>
      <c r="MAM10" s="1547">
        <f t="shared" ref="MAM10" si="4396">MAK10</f>
        <v>95000</v>
      </c>
      <c r="MAN10" s="1548"/>
      <c r="MAO10" s="1547">
        <f t="shared" ref="MAO10" si="4397">MAM10</f>
        <v>95000</v>
      </c>
      <c r="MAP10" s="1548"/>
      <c r="MAQ10" s="1547">
        <f t="shared" ref="MAQ10" si="4398">MAO10</f>
        <v>95000</v>
      </c>
      <c r="MAR10" s="1548"/>
      <c r="MAS10" s="1547">
        <f t="shared" ref="MAS10" si="4399">MAQ10</f>
        <v>95000</v>
      </c>
      <c r="MAT10" s="1548"/>
      <c r="MAU10" s="1547">
        <f t="shared" ref="MAU10" si="4400">MAS10</f>
        <v>95000</v>
      </c>
      <c r="MAV10" s="1548"/>
      <c r="MAW10" s="1547">
        <f t="shared" ref="MAW10" si="4401">MAU10</f>
        <v>95000</v>
      </c>
      <c r="MAX10" s="1548"/>
      <c r="MAY10" s="1547">
        <f t="shared" ref="MAY10" si="4402">MAW10</f>
        <v>95000</v>
      </c>
      <c r="MAZ10" s="1548"/>
      <c r="MBA10" s="1547">
        <f t="shared" ref="MBA10" si="4403">MAY10</f>
        <v>95000</v>
      </c>
      <c r="MBB10" s="1548"/>
      <c r="MBC10" s="1547">
        <f t="shared" ref="MBC10" si="4404">MBA10</f>
        <v>95000</v>
      </c>
      <c r="MBD10" s="1548"/>
      <c r="MBE10" s="1547">
        <f t="shared" ref="MBE10" si="4405">MBC10</f>
        <v>95000</v>
      </c>
      <c r="MBF10" s="1548"/>
      <c r="MBG10" s="1547">
        <f t="shared" ref="MBG10" si="4406">MBE10</f>
        <v>95000</v>
      </c>
      <c r="MBH10" s="1548"/>
      <c r="MBI10" s="1547">
        <f t="shared" ref="MBI10" si="4407">MBG10</f>
        <v>95000</v>
      </c>
      <c r="MBJ10" s="1548"/>
      <c r="MBK10" s="1547">
        <f t="shared" ref="MBK10" si="4408">MBI10</f>
        <v>95000</v>
      </c>
      <c r="MBL10" s="1548"/>
      <c r="MBM10" s="1547">
        <f t="shared" ref="MBM10" si="4409">MBK10</f>
        <v>95000</v>
      </c>
      <c r="MBN10" s="1548"/>
      <c r="MBO10" s="1547">
        <f t="shared" ref="MBO10" si="4410">MBM10</f>
        <v>95000</v>
      </c>
      <c r="MBP10" s="1548"/>
      <c r="MBQ10" s="1547">
        <f t="shared" ref="MBQ10" si="4411">MBO10</f>
        <v>95000</v>
      </c>
      <c r="MBR10" s="1548"/>
      <c r="MBS10" s="1547">
        <f t="shared" ref="MBS10" si="4412">MBQ10</f>
        <v>95000</v>
      </c>
      <c r="MBT10" s="1548"/>
      <c r="MBU10" s="1547">
        <f t="shared" ref="MBU10" si="4413">MBS10</f>
        <v>95000</v>
      </c>
      <c r="MBV10" s="1548"/>
      <c r="MBW10" s="1547">
        <f t="shared" ref="MBW10" si="4414">MBU10</f>
        <v>95000</v>
      </c>
      <c r="MBX10" s="1548"/>
      <c r="MBY10" s="1547">
        <f t="shared" ref="MBY10" si="4415">MBW10</f>
        <v>95000</v>
      </c>
      <c r="MBZ10" s="1548"/>
      <c r="MCA10" s="1547">
        <f t="shared" ref="MCA10" si="4416">MBY10</f>
        <v>95000</v>
      </c>
      <c r="MCB10" s="1548"/>
      <c r="MCC10" s="1547">
        <f t="shared" ref="MCC10" si="4417">MCA10</f>
        <v>95000</v>
      </c>
      <c r="MCD10" s="1548"/>
      <c r="MCE10" s="1547">
        <f t="shared" ref="MCE10" si="4418">MCC10</f>
        <v>95000</v>
      </c>
      <c r="MCF10" s="1548"/>
      <c r="MCG10" s="1547">
        <f t="shared" ref="MCG10" si="4419">MCE10</f>
        <v>95000</v>
      </c>
      <c r="MCH10" s="1548"/>
      <c r="MCI10" s="1547">
        <f t="shared" ref="MCI10" si="4420">MCG10</f>
        <v>95000</v>
      </c>
      <c r="MCJ10" s="1548"/>
      <c r="MCK10" s="1547">
        <f t="shared" ref="MCK10" si="4421">MCI10</f>
        <v>95000</v>
      </c>
      <c r="MCL10" s="1548"/>
      <c r="MCM10" s="1547">
        <f t="shared" ref="MCM10" si="4422">MCK10</f>
        <v>95000</v>
      </c>
      <c r="MCN10" s="1548"/>
      <c r="MCO10" s="1547">
        <f t="shared" ref="MCO10" si="4423">MCM10</f>
        <v>95000</v>
      </c>
      <c r="MCP10" s="1548"/>
      <c r="MCQ10" s="1547">
        <f t="shared" ref="MCQ10" si="4424">MCO10</f>
        <v>95000</v>
      </c>
      <c r="MCR10" s="1548"/>
      <c r="MCS10" s="1547">
        <f t="shared" ref="MCS10" si="4425">MCQ10</f>
        <v>95000</v>
      </c>
      <c r="MCT10" s="1548"/>
      <c r="MCU10" s="1547">
        <f t="shared" ref="MCU10" si="4426">MCS10</f>
        <v>95000</v>
      </c>
      <c r="MCV10" s="1548"/>
      <c r="MCW10" s="1547">
        <f t="shared" ref="MCW10" si="4427">MCU10</f>
        <v>95000</v>
      </c>
      <c r="MCX10" s="1548"/>
      <c r="MCY10" s="1547">
        <f t="shared" ref="MCY10" si="4428">MCW10</f>
        <v>95000</v>
      </c>
      <c r="MCZ10" s="1548"/>
      <c r="MDA10" s="1547">
        <f t="shared" ref="MDA10" si="4429">MCY10</f>
        <v>95000</v>
      </c>
      <c r="MDB10" s="1548"/>
      <c r="MDC10" s="1547">
        <f t="shared" ref="MDC10" si="4430">MDA10</f>
        <v>95000</v>
      </c>
      <c r="MDD10" s="1548"/>
      <c r="MDE10" s="1547">
        <f t="shared" ref="MDE10" si="4431">MDC10</f>
        <v>95000</v>
      </c>
      <c r="MDF10" s="1548"/>
      <c r="MDG10" s="1547">
        <f t="shared" ref="MDG10" si="4432">MDE10</f>
        <v>95000</v>
      </c>
      <c r="MDH10" s="1548"/>
      <c r="MDI10" s="1547">
        <f t="shared" ref="MDI10" si="4433">MDG10</f>
        <v>95000</v>
      </c>
      <c r="MDJ10" s="1548"/>
      <c r="MDK10" s="1547">
        <f t="shared" ref="MDK10" si="4434">MDI10</f>
        <v>95000</v>
      </c>
      <c r="MDL10" s="1548"/>
      <c r="MDM10" s="1547">
        <f t="shared" ref="MDM10" si="4435">MDK10</f>
        <v>95000</v>
      </c>
      <c r="MDN10" s="1548"/>
      <c r="MDO10" s="1547">
        <f t="shared" ref="MDO10" si="4436">MDM10</f>
        <v>95000</v>
      </c>
      <c r="MDP10" s="1548"/>
      <c r="MDQ10" s="1547">
        <f t="shared" ref="MDQ10" si="4437">MDO10</f>
        <v>95000</v>
      </c>
      <c r="MDR10" s="1548"/>
      <c r="MDS10" s="1547">
        <f t="shared" ref="MDS10" si="4438">MDQ10</f>
        <v>95000</v>
      </c>
      <c r="MDT10" s="1548"/>
      <c r="MDU10" s="1547">
        <f t="shared" ref="MDU10" si="4439">MDS10</f>
        <v>95000</v>
      </c>
      <c r="MDV10" s="1548"/>
      <c r="MDW10" s="1547">
        <f t="shared" ref="MDW10" si="4440">MDU10</f>
        <v>95000</v>
      </c>
      <c r="MDX10" s="1548"/>
      <c r="MDY10" s="1547">
        <f t="shared" ref="MDY10" si="4441">MDW10</f>
        <v>95000</v>
      </c>
      <c r="MDZ10" s="1548"/>
      <c r="MEA10" s="1547">
        <f t="shared" ref="MEA10" si="4442">MDY10</f>
        <v>95000</v>
      </c>
      <c r="MEB10" s="1548"/>
      <c r="MEC10" s="1547">
        <f t="shared" ref="MEC10" si="4443">MEA10</f>
        <v>95000</v>
      </c>
      <c r="MED10" s="1548"/>
      <c r="MEE10" s="1547">
        <f t="shared" ref="MEE10" si="4444">MEC10</f>
        <v>95000</v>
      </c>
      <c r="MEF10" s="1548"/>
      <c r="MEG10" s="1547">
        <f t="shared" ref="MEG10" si="4445">MEE10</f>
        <v>95000</v>
      </c>
      <c r="MEH10" s="1548"/>
      <c r="MEI10" s="1547">
        <f t="shared" ref="MEI10" si="4446">MEG10</f>
        <v>95000</v>
      </c>
      <c r="MEJ10" s="1548"/>
      <c r="MEK10" s="1547">
        <f t="shared" ref="MEK10" si="4447">MEI10</f>
        <v>95000</v>
      </c>
      <c r="MEL10" s="1548"/>
      <c r="MEM10" s="1547">
        <f t="shared" ref="MEM10" si="4448">MEK10</f>
        <v>95000</v>
      </c>
      <c r="MEN10" s="1548"/>
      <c r="MEO10" s="1547">
        <f t="shared" ref="MEO10" si="4449">MEM10</f>
        <v>95000</v>
      </c>
      <c r="MEP10" s="1548"/>
      <c r="MEQ10" s="1547">
        <f t="shared" ref="MEQ10" si="4450">MEO10</f>
        <v>95000</v>
      </c>
      <c r="MER10" s="1548"/>
      <c r="MES10" s="1547">
        <f t="shared" ref="MES10" si="4451">MEQ10</f>
        <v>95000</v>
      </c>
      <c r="MET10" s="1548"/>
      <c r="MEU10" s="1547">
        <f t="shared" ref="MEU10" si="4452">MES10</f>
        <v>95000</v>
      </c>
      <c r="MEV10" s="1548"/>
      <c r="MEW10" s="1547">
        <f t="shared" ref="MEW10" si="4453">MEU10</f>
        <v>95000</v>
      </c>
      <c r="MEX10" s="1548"/>
      <c r="MEY10" s="1547">
        <f t="shared" ref="MEY10" si="4454">MEW10</f>
        <v>95000</v>
      </c>
      <c r="MEZ10" s="1548"/>
      <c r="MFA10" s="1547">
        <f t="shared" ref="MFA10" si="4455">MEY10</f>
        <v>95000</v>
      </c>
      <c r="MFB10" s="1548"/>
      <c r="MFC10" s="1547">
        <f t="shared" ref="MFC10" si="4456">MFA10</f>
        <v>95000</v>
      </c>
      <c r="MFD10" s="1548"/>
      <c r="MFE10" s="1547">
        <f t="shared" ref="MFE10" si="4457">MFC10</f>
        <v>95000</v>
      </c>
      <c r="MFF10" s="1548"/>
      <c r="MFG10" s="1547">
        <f t="shared" ref="MFG10" si="4458">MFE10</f>
        <v>95000</v>
      </c>
      <c r="MFH10" s="1548"/>
      <c r="MFI10" s="1547">
        <f t="shared" ref="MFI10" si="4459">MFG10</f>
        <v>95000</v>
      </c>
      <c r="MFJ10" s="1548"/>
      <c r="MFK10" s="1547">
        <f t="shared" ref="MFK10" si="4460">MFI10</f>
        <v>95000</v>
      </c>
      <c r="MFL10" s="1548"/>
      <c r="MFM10" s="1547">
        <f t="shared" ref="MFM10" si="4461">MFK10</f>
        <v>95000</v>
      </c>
      <c r="MFN10" s="1548"/>
      <c r="MFO10" s="1547">
        <f t="shared" ref="MFO10" si="4462">MFM10</f>
        <v>95000</v>
      </c>
      <c r="MFP10" s="1548"/>
      <c r="MFQ10" s="1547">
        <f t="shared" ref="MFQ10" si="4463">MFO10</f>
        <v>95000</v>
      </c>
      <c r="MFR10" s="1548"/>
      <c r="MFS10" s="1547">
        <f t="shared" ref="MFS10" si="4464">MFQ10</f>
        <v>95000</v>
      </c>
      <c r="MFT10" s="1548"/>
      <c r="MFU10" s="1547">
        <f t="shared" ref="MFU10" si="4465">MFS10</f>
        <v>95000</v>
      </c>
      <c r="MFV10" s="1548"/>
      <c r="MFW10" s="1547">
        <f t="shared" ref="MFW10" si="4466">MFU10</f>
        <v>95000</v>
      </c>
      <c r="MFX10" s="1548"/>
      <c r="MFY10" s="1547">
        <f t="shared" ref="MFY10" si="4467">MFW10</f>
        <v>95000</v>
      </c>
      <c r="MFZ10" s="1548"/>
      <c r="MGA10" s="1547">
        <f t="shared" ref="MGA10" si="4468">MFY10</f>
        <v>95000</v>
      </c>
      <c r="MGB10" s="1548"/>
      <c r="MGC10" s="1547">
        <f t="shared" ref="MGC10" si="4469">MGA10</f>
        <v>95000</v>
      </c>
      <c r="MGD10" s="1548"/>
      <c r="MGE10" s="1547">
        <f t="shared" ref="MGE10" si="4470">MGC10</f>
        <v>95000</v>
      </c>
      <c r="MGF10" s="1548"/>
      <c r="MGG10" s="1547">
        <f t="shared" ref="MGG10" si="4471">MGE10</f>
        <v>95000</v>
      </c>
      <c r="MGH10" s="1548"/>
      <c r="MGI10" s="1547">
        <f t="shared" ref="MGI10" si="4472">MGG10</f>
        <v>95000</v>
      </c>
      <c r="MGJ10" s="1548"/>
      <c r="MGK10" s="1547">
        <f t="shared" ref="MGK10" si="4473">MGI10</f>
        <v>95000</v>
      </c>
      <c r="MGL10" s="1548"/>
      <c r="MGM10" s="1547">
        <f t="shared" ref="MGM10" si="4474">MGK10</f>
        <v>95000</v>
      </c>
      <c r="MGN10" s="1548"/>
      <c r="MGO10" s="1547">
        <f t="shared" ref="MGO10" si="4475">MGM10</f>
        <v>95000</v>
      </c>
      <c r="MGP10" s="1548"/>
      <c r="MGQ10" s="1547">
        <f t="shared" ref="MGQ10" si="4476">MGO10</f>
        <v>95000</v>
      </c>
      <c r="MGR10" s="1548"/>
      <c r="MGS10" s="1547">
        <f t="shared" ref="MGS10" si="4477">MGQ10</f>
        <v>95000</v>
      </c>
      <c r="MGT10" s="1548"/>
      <c r="MGU10" s="1547">
        <f t="shared" ref="MGU10" si="4478">MGS10</f>
        <v>95000</v>
      </c>
      <c r="MGV10" s="1548"/>
      <c r="MGW10" s="1547">
        <f t="shared" ref="MGW10" si="4479">MGU10</f>
        <v>95000</v>
      </c>
      <c r="MGX10" s="1548"/>
      <c r="MGY10" s="1547">
        <f t="shared" ref="MGY10" si="4480">MGW10</f>
        <v>95000</v>
      </c>
      <c r="MGZ10" s="1548"/>
      <c r="MHA10" s="1547">
        <f t="shared" ref="MHA10" si="4481">MGY10</f>
        <v>95000</v>
      </c>
      <c r="MHB10" s="1548"/>
      <c r="MHC10" s="1547">
        <f t="shared" ref="MHC10" si="4482">MHA10</f>
        <v>95000</v>
      </c>
      <c r="MHD10" s="1548"/>
      <c r="MHE10" s="1547">
        <f t="shared" ref="MHE10" si="4483">MHC10</f>
        <v>95000</v>
      </c>
      <c r="MHF10" s="1548"/>
      <c r="MHG10" s="1547">
        <f t="shared" ref="MHG10" si="4484">MHE10</f>
        <v>95000</v>
      </c>
      <c r="MHH10" s="1548"/>
      <c r="MHI10" s="1547">
        <f t="shared" ref="MHI10" si="4485">MHG10</f>
        <v>95000</v>
      </c>
      <c r="MHJ10" s="1548"/>
      <c r="MHK10" s="1547">
        <f t="shared" ref="MHK10" si="4486">MHI10</f>
        <v>95000</v>
      </c>
      <c r="MHL10" s="1548"/>
      <c r="MHM10" s="1547">
        <f t="shared" ref="MHM10" si="4487">MHK10</f>
        <v>95000</v>
      </c>
      <c r="MHN10" s="1548"/>
      <c r="MHO10" s="1547">
        <f t="shared" ref="MHO10" si="4488">MHM10</f>
        <v>95000</v>
      </c>
      <c r="MHP10" s="1548"/>
      <c r="MHQ10" s="1547">
        <f t="shared" ref="MHQ10" si="4489">MHO10</f>
        <v>95000</v>
      </c>
      <c r="MHR10" s="1548"/>
      <c r="MHS10" s="1547">
        <f t="shared" ref="MHS10" si="4490">MHQ10</f>
        <v>95000</v>
      </c>
      <c r="MHT10" s="1548"/>
      <c r="MHU10" s="1547">
        <f t="shared" ref="MHU10" si="4491">MHS10</f>
        <v>95000</v>
      </c>
      <c r="MHV10" s="1548"/>
      <c r="MHW10" s="1547">
        <f t="shared" ref="MHW10" si="4492">MHU10</f>
        <v>95000</v>
      </c>
      <c r="MHX10" s="1548"/>
      <c r="MHY10" s="1547">
        <f t="shared" ref="MHY10" si="4493">MHW10</f>
        <v>95000</v>
      </c>
      <c r="MHZ10" s="1548"/>
      <c r="MIA10" s="1547">
        <f t="shared" ref="MIA10" si="4494">MHY10</f>
        <v>95000</v>
      </c>
      <c r="MIB10" s="1548"/>
      <c r="MIC10" s="1547">
        <f t="shared" ref="MIC10" si="4495">MIA10</f>
        <v>95000</v>
      </c>
      <c r="MID10" s="1548"/>
      <c r="MIE10" s="1547">
        <f t="shared" ref="MIE10" si="4496">MIC10</f>
        <v>95000</v>
      </c>
      <c r="MIF10" s="1548"/>
      <c r="MIG10" s="1547">
        <f t="shared" ref="MIG10" si="4497">MIE10</f>
        <v>95000</v>
      </c>
      <c r="MIH10" s="1548"/>
      <c r="MII10" s="1547">
        <f t="shared" ref="MII10" si="4498">MIG10</f>
        <v>95000</v>
      </c>
      <c r="MIJ10" s="1548"/>
      <c r="MIK10" s="1547">
        <f t="shared" ref="MIK10" si="4499">MII10</f>
        <v>95000</v>
      </c>
      <c r="MIL10" s="1548"/>
      <c r="MIM10" s="1547">
        <f t="shared" ref="MIM10" si="4500">MIK10</f>
        <v>95000</v>
      </c>
      <c r="MIN10" s="1548"/>
      <c r="MIO10" s="1547">
        <f t="shared" ref="MIO10" si="4501">MIM10</f>
        <v>95000</v>
      </c>
      <c r="MIP10" s="1548"/>
      <c r="MIQ10" s="1547">
        <f t="shared" ref="MIQ10" si="4502">MIO10</f>
        <v>95000</v>
      </c>
      <c r="MIR10" s="1548"/>
      <c r="MIS10" s="1547">
        <f t="shared" ref="MIS10" si="4503">MIQ10</f>
        <v>95000</v>
      </c>
      <c r="MIT10" s="1548"/>
      <c r="MIU10" s="1547">
        <f t="shared" ref="MIU10" si="4504">MIS10</f>
        <v>95000</v>
      </c>
      <c r="MIV10" s="1548"/>
      <c r="MIW10" s="1547">
        <f t="shared" ref="MIW10" si="4505">MIU10</f>
        <v>95000</v>
      </c>
      <c r="MIX10" s="1548"/>
      <c r="MIY10" s="1547">
        <f t="shared" ref="MIY10" si="4506">MIW10</f>
        <v>95000</v>
      </c>
      <c r="MIZ10" s="1548"/>
      <c r="MJA10" s="1547">
        <f t="shared" ref="MJA10" si="4507">MIY10</f>
        <v>95000</v>
      </c>
      <c r="MJB10" s="1548"/>
      <c r="MJC10" s="1547">
        <f t="shared" ref="MJC10" si="4508">MJA10</f>
        <v>95000</v>
      </c>
      <c r="MJD10" s="1548"/>
      <c r="MJE10" s="1547">
        <f t="shared" ref="MJE10" si="4509">MJC10</f>
        <v>95000</v>
      </c>
      <c r="MJF10" s="1548"/>
      <c r="MJG10" s="1547">
        <f t="shared" ref="MJG10" si="4510">MJE10</f>
        <v>95000</v>
      </c>
      <c r="MJH10" s="1548"/>
      <c r="MJI10" s="1547">
        <f t="shared" ref="MJI10" si="4511">MJG10</f>
        <v>95000</v>
      </c>
      <c r="MJJ10" s="1548"/>
      <c r="MJK10" s="1547">
        <f t="shared" ref="MJK10" si="4512">MJI10</f>
        <v>95000</v>
      </c>
      <c r="MJL10" s="1548"/>
      <c r="MJM10" s="1547">
        <f t="shared" ref="MJM10" si="4513">MJK10</f>
        <v>95000</v>
      </c>
      <c r="MJN10" s="1548"/>
      <c r="MJO10" s="1547">
        <f t="shared" ref="MJO10" si="4514">MJM10</f>
        <v>95000</v>
      </c>
      <c r="MJP10" s="1548"/>
      <c r="MJQ10" s="1547">
        <f t="shared" ref="MJQ10" si="4515">MJO10</f>
        <v>95000</v>
      </c>
      <c r="MJR10" s="1548"/>
      <c r="MJS10" s="1547">
        <f t="shared" ref="MJS10" si="4516">MJQ10</f>
        <v>95000</v>
      </c>
      <c r="MJT10" s="1548"/>
      <c r="MJU10" s="1547">
        <f t="shared" ref="MJU10" si="4517">MJS10</f>
        <v>95000</v>
      </c>
      <c r="MJV10" s="1548"/>
      <c r="MJW10" s="1547">
        <f t="shared" ref="MJW10" si="4518">MJU10</f>
        <v>95000</v>
      </c>
      <c r="MJX10" s="1548"/>
      <c r="MJY10" s="1547">
        <f t="shared" ref="MJY10" si="4519">MJW10</f>
        <v>95000</v>
      </c>
      <c r="MJZ10" s="1548"/>
      <c r="MKA10" s="1547">
        <f t="shared" ref="MKA10" si="4520">MJY10</f>
        <v>95000</v>
      </c>
      <c r="MKB10" s="1548"/>
      <c r="MKC10" s="1547">
        <f t="shared" ref="MKC10" si="4521">MKA10</f>
        <v>95000</v>
      </c>
      <c r="MKD10" s="1548"/>
      <c r="MKE10" s="1547">
        <f t="shared" ref="MKE10" si="4522">MKC10</f>
        <v>95000</v>
      </c>
      <c r="MKF10" s="1548"/>
      <c r="MKG10" s="1547">
        <f t="shared" ref="MKG10" si="4523">MKE10</f>
        <v>95000</v>
      </c>
      <c r="MKH10" s="1548"/>
      <c r="MKI10" s="1547">
        <f t="shared" ref="MKI10" si="4524">MKG10</f>
        <v>95000</v>
      </c>
      <c r="MKJ10" s="1548"/>
      <c r="MKK10" s="1547">
        <f t="shared" ref="MKK10" si="4525">MKI10</f>
        <v>95000</v>
      </c>
      <c r="MKL10" s="1548"/>
      <c r="MKM10" s="1547">
        <f t="shared" ref="MKM10" si="4526">MKK10</f>
        <v>95000</v>
      </c>
      <c r="MKN10" s="1548"/>
      <c r="MKO10" s="1547">
        <f t="shared" ref="MKO10" si="4527">MKM10</f>
        <v>95000</v>
      </c>
      <c r="MKP10" s="1548"/>
      <c r="MKQ10" s="1547">
        <f t="shared" ref="MKQ10" si="4528">MKO10</f>
        <v>95000</v>
      </c>
      <c r="MKR10" s="1548"/>
      <c r="MKS10" s="1547">
        <f t="shared" ref="MKS10" si="4529">MKQ10</f>
        <v>95000</v>
      </c>
      <c r="MKT10" s="1548"/>
      <c r="MKU10" s="1547">
        <f t="shared" ref="MKU10" si="4530">MKS10</f>
        <v>95000</v>
      </c>
      <c r="MKV10" s="1548"/>
      <c r="MKW10" s="1547">
        <f t="shared" ref="MKW10" si="4531">MKU10</f>
        <v>95000</v>
      </c>
      <c r="MKX10" s="1548"/>
      <c r="MKY10" s="1547">
        <f t="shared" ref="MKY10" si="4532">MKW10</f>
        <v>95000</v>
      </c>
      <c r="MKZ10" s="1548"/>
      <c r="MLA10" s="1547">
        <f t="shared" ref="MLA10" si="4533">MKY10</f>
        <v>95000</v>
      </c>
      <c r="MLB10" s="1548"/>
      <c r="MLC10" s="1547">
        <f t="shared" ref="MLC10" si="4534">MLA10</f>
        <v>95000</v>
      </c>
      <c r="MLD10" s="1548"/>
      <c r="MLE10" s="1547">
        <f t="shared" ref="MLE10" si="4535">MLC10</f>
        <v>95000</v>
      </c>
      <c r="MLF10" s="1548"/>
      <c r="MLG10" s="1547">
        <f t="shared" ref="MLG10" si="4536">MLE10</f>
        <v>95000</v>
      </c>
      <c r="MLH10" s="1548"/>
      <c r="MLI10" s="1547">
        <f t="shared" ref="MLI10" si="4537">MLG10</f>
        <v>95000</v>
      </c>
      <c r="MLJ10" s="1548"/>
      <c r="MLK10" s="1547">
        <f t="shared" ref="MLK10" si="4538">MLI10</f>
        <v>95000</v>
      </c>
      <c r="MLL10" s="1548"/>
      <c r="MLM10" s="1547">
        <f t="shared" ref="MLM10" si="4539">MLK10</f>
        <v>95000</v>
      </c>
      <c r="MLN10" s="1548"/>
      <c r="MLO10" s="1547">
        <f t="shared" ref="MLO10" si="4540">MLM10</f>
        <v>95000</v>
      </c>
      <c r="MLP10" s="1548"/>
      <c r="MLQ10" s="1547">
        <f t="shared" ref="MLQ10" si="4541">MLO10</f>
        <v>95000</v>
      </c>
      <c r="MLR10" s="1548"/>
      <c r="MLS10" s="1547">
        <f t="shared" ref="MLS10" si="4542">MLQ10</f>
        <v>95000</v>
      </c>
      <c r="MLT10" s="1548"/>
      <c r="MLU10" s="1547">
        <f t="shared" ref="MLU10" si="4543">MLS10</f>
        <v>95000</v>
      </c>
      <c r="MLV10" s="1548"/>
      <c r="MLW10" s="1547">
        <f t="shared" ref="MLW10" si="4544">MLU10</f>
        <v>95000</v>
      </c>
      <c r="MLX10" s="1548"/>
      <c r="MLY10" s="1547">
        <f t="shared" ref="MLY10" si="4545">MLW10</f>
        <v>95000</v>
      </c>
      <c r="MLZ10" s="1548"/>
      <c r="MMA10" s="1547">
        <f t="shared" ref="MMA10" si="4546">MLY10</f>
        <v>95000</v>
      </c>
      <c r="MMB10" s="1548"/>
      <c r="MMC10" s="1547">
        <f t="shared" ref="MMC10" si="4547">MMA10</f>
        <v>95000</v>
      </c>
      <c r="MMD10" s="1548"/>
      <c r="MME10" s="1547">
        <f t="shared" ref="MME10" si="4548">MMC10</f>
        <v>95000</v>
      </c>
      <c r="MMF10" s="1548"/>
      <c r="MMG10" s="1547">
        <f t="shared" ref="MMG10" si="4549">MME10</f>
        <v>95000</v>
      </c>
      <c r="MMH10" s="1548"/>
      <c r="MMI10" s="1547">
        <f t="shared" ref="MMI10" si="4550">MMG10</f>
        <v>95000</v>
      </c>
      <c r="MMJ10" s="1548"/>
      <c r="MMK10" s="1547">
        <f t="shared" ref="MMK10" si="4551">MMI10</f>
        <v>95000</v>
      </c>
      <c r="MML10" s="1548"/>
      <c r="MMM10" s="1547">
        <f t="shared" ref="MMM10" si="4552">MMK10</f>
        <v>95000</v>
      </c>
      <c r="MMN10" s="1548"/>
      <c r="MMO10" s="1547">
        <f t="shared" ref="MMO10" si="4553">MMM10</f>
        <v>95000</v>
      </c>
      <c r="MMP10" s="1548"/>
      <c r="MMQ10" s="1547">
        <f t="shared" ref="MMQ10" si="4554">MMO10</f>
        <v>95000</v>
      </c>
      <c r="MMR10" s="1548"/>
      <c r="MMS10" s="1547">
        <f t="shared" ref="MMS10" si="4555">MMQ10</f>
        <v>95000</v>
      </c>
      <c r="MMT10" s="1548"/>
      <c r="MMU10" s="1547">
        <f t="shared" ref="MMU10" si="4556">MMS10</f>
        <v>95000</v>
      </c>
      <c r="MMV10" s="1548"/>
      <c r="MMW10" s="1547">
        <f t="shared" ref="MMW10" si="4557">MMU10</f>
        <v>95000</v>
      </c>
      <c r="MMX10" s="1548"/>
      <c r="MMY10" s="1547">
        <f t="shared" ref="MMY10" si="4558">MMW10</f>
        <v>95000</v>
      </c>
      <c r="MMZ10" s="1548"/>
      <c r="MNA10" s="1547">
        <f t="shared" ref="MNA10" si="4559">MMY10</f>
        <v>95000</v>
      </c>
      <c r="MNB10" s="1548"/>
      <c r="MNC10" s="1547">
        <f t="shared" ref="MNC10" si="4560">MNA10</f>
        <v>95000</v>
      </c>
      <c r="MND10" s="1548"/>
      <c r="MNE10" s="1547">
        <f t="shared" ref="MNE10" si="4561">MNC10</f>
        <v>95000</v>
      </c>
      <c r="MNF10" s="1548"/>
      <c r="MNG10" s="1547">
        <f t="shared" ref="MNG10" si="4562">MNE10</f>
        <v>95000</v>
      </c>
      <c r="MNH10" s="1548"/>
      <c r="MNI10" s="1547">
        <f t="shared" ref="MNI10" si="4563">MNG10</f>
        <v>95000</v>
      </c>
      <c r="MNJ10" s="1548"/>
      <c r="MNK10" s="1547">
        <f t="shared" ref="MNK10" si="4564">MNI10</f>
        <v>95000</v>
      </c>
      <c r="MNL10" s="1548"/>
      <c r="MNM10" s="1547">
        <f t="shared" ref="MNM10" si="4565">MNK10</f>
        <v>95000</v>
      </c>
      <c r="MNN10" s="1548"/>
      <c r="MNO10" s="1547">
        <f t="shared" ref="MNO10" si="4566">MNM10</f>
        <v>95000</v>
      </c>
      <c r="MNP10" s="1548"/>
      <c r="MNQ10" s="1547">
        <f t="shared" ref="MNQ10" si="4567">MNO10</f>
        <v>95000</v>
      </c>
      <c r="MNR10" s="1548"/>
      <c r="MNS10" s="1547">
        <f t="shared" ref="MNS10" si="4568">MNQ10</f>
        <v>95000</v>
      </c>
      <c r="MNT10" s="1548"/>
      <c r="MNU10" s="1547">
        <f t="shared" ref="MNU10" si="4569">MNS10</f>
        <v>95000</v>
      </c>
      <c r="MNV10" s="1548"/>
      <c r="MNW10" s="1547">
        <f t="shared" ref="MNW10" si="4570">MNU10</f>
        <v>95000</v>
      </c>
      <c r="MNX10" s="1548"/>
      <c r="MNY10" s="1547">
        <f t="shared" ref="MNY10" si="4571">MNW10</f>
        <v>95000</v>
      </c>
      <c r="MNZ10" s="1548"/>
      <c r="MOA10" s="1547">
        <f t="shared" ref="MOA10" si="4572">MNY10</f>
        <v>95000</v>
      </c>
      <c r="MOB10" s="1548"/>
      <c r="MOC10" s="1547">
        <f t="shared" ref="MOC10" si="4573">MOA10</f>
        <v>95000</v>
      </c>
      <c r="MOD10" s="1548"/>
      <c r="MOE10" s="1547">
        <f t="shared" ref="MOE10" si="4574">MOC10</f>
        <v>95000</v>
      </c>
      <c r="MOF10" s="1548"/>
      <c r="MOG10" s="1547">
        <f t="shared" ref="MOG10" si="4575">MOE10</f>
        <v>95000</v>
      </c>
      <c r="MOH10" s="1548"/>
      <c r="MOI10" s="1547">
        <f t="shared" ref="MOI10" si="4576">MOG10</f>
        <v>95000</v>
      </c>
      <c r="MOJ10" s="1548"/>
      <c r="MOK10" s="1547">
        <f t="shared" ref="MOK10" si="4577">MOI10</f>
        <v>95000</v>
      </c>
      <c r="MOL10" s="1548"/>
      <c r="MOM10" s="1547">
        <f t="shared" ref="MOM10" si="4578">MOK10</f>
        <v>95000</v>
      </c>
      <c r="MON10" s="1548"/>
      <c r="MOO10" s="1547">
        <f t="shared" ref="MOO10" si="4579">MOM10</f>
        <v>95000</v>
      </c>
      <c r="MOP10" s="1548"/>
      <c r="MOQ10" s="1547">
        <f t="shared" ref="MOQ10" si="4580">MOO10</f>
        <v>95000</v>
      </c>
      <c r="MOR10" s="1548"/>
      <c r="MOS10" s="1547">
        <f t="shared" ref="MOS10" si="4581">MOQ10</f>
        <v>95000</v>
      </c>
      <c r="MOT10" s="1548"/>
      <c r="MOU10" s="1547">
        <f t="shared" ref="MOU10" si="4582">MOS10</f>
        <v>95000</v>
      </c>
      <c r="MOV10" s="1548"/>
      <c r="MOW10" s="1547">
        <f t="shared" ref="MOW10" si="4583">MOU10</f>
        <v>95000</v>
      </c>
      <c r="MOX10" s="1548"/>
      <c r="MOY10" s="1547">
        <f t="shared" ref="MOY10" si="4584">MOW10</f>
        <v>95000</v>
      </c>
      <c r="MOZ10" s="1548"/>
      <c r="MPA10" s="1547">
        <f t="shared" ref="MPA10" si="4585">MOY10</f>
        <v>95000</v>
      </c>
      <c r="MPB10" s="1548"/>
      <c r="MPC10" s="1547">
        <f t="shared" ref="MPC10" si="4586">MPA10</f>
        <v>95000</v>
      </c>
      <c r="MPD10" s="1548"/>
      <c r="MPE10" s="1547">
        <f t="shared" ref="MPE10" si="4587">MPC10</f>
        <v>95000</v>
      </c>
      <c r="MPF10" s="1548"/>
      <c r="MPG10" s="1547">
        <f t="shared" ref="MPG10" si="4588">MPE10</f>
        <v>95000</v>
      </c>
      <c r="MPH10" s="1548"/>
      <c r="MPI10" s="1547">
        <f t="shared" ref="MPI10" si="4589">MPG10</f>
        <v>95000</v>
      </c>
      <c r="MPJ10" s="1548"/>
      <c r="MPK10" s="1547">
        <f t="shared" ref="MPK10" si="4590">MPI10</f>
        <v>95000</v>
      </c>
      <c r="MPL10" s="1548"/>
      <c r="MPM10" s="1547">
        <f t="shared" ref="MPM10" si="4591">MPK10</f>
        <v>95000</v>
      </c>
      <c r="MPN10" s="1548"/>
      <c r="MPO10" s="1547">
        <f t="shared" ref="MPO10" si="4592">MPM10</f>
        <v>95000</v>
      </c>
      <c r="MPP10" s="1548"/>
      <c r="MPQ10" s="1547">
        <f t="shared" ref="MPQ10" si="4593">MPO10</f>
        <v>95000</v>
      </c>
      <c r="MPR10" s="1548"/>
      <c r="MPS10" s="1547">
        <f t="shared" ref="MPS10" si="4594">MPQ10</f>
        <v>95000</v>
      </c>
      <c r="MPT10" s="1548"/>
      <c r="MPU10" s="1547">
        <f t="shared" ref="MPU10" si="4595">MPS10</f>
        <v>95000</v>
      </c>
      <c r="MPV10" s="1548"/>
      <c r="MPW10" s="1547">
        <f t="shared" ref="MPW10" si="4596">MPU10</f>
        <v>95000</v>
      </c>
      <c r="MPX10" s="1548"/>
      <c r="MPY10" s="1547">
        <f t="shared" ref="MPY10" si="4597">MPW10</f>
        <v>95000</v>
      </c>
      <c r="MPZ10" s="1548"/>
      <c r="MQA10" s="1547">
        <f t="shared" ref="MQA10" si="4598">MPY10</f>
        <v>95000</v>
      </c>
      <c r="MQB10" s="1548"/>
      <c r="MQC10" s="1547">
        <f t="shared" ref="MQC10" si="4599">MQA10</f>
        <v>95000</v>
      </c>
      <c r="MQD10" s="1548"/>
      <c r="MQE10" s="1547">
        <f t="shared" ref="MQE10" si="4600">MQC10</f>
        <v>95000</v>
      </c>
      <c r="MQF10" s="1548"/>
      <c r="MQG10" s="1547">
        <f t="shared" ref="MQG10" si="4601">MQE10</f>
        <v>95000</v>
      </c>
      <c r="MQH10" s="1548"/>
      <c r="MQI10" s="1547">
        <f t="shared" ref="MQI10" si="4602">MQG10</f>
        <v>95000</v>
      </c>
      <c r="MQJ10" s="1548"/>
      <c r="MQK10" s="1547">
        <f t="shared" ref="MQK10" si="4603">MQI10</f>
        <v>95000</v>
      </c>
      <c r="MQL10" s="1548"/>
      <c r="MQM10" s="1547">
        <f t="shared" ref="MQM10" si="4604">MQK10</f>
        <v>95000</v>
      </c>
      <c r="MQN10" s="1548"/>
      <c r="MQO10" s="1547">
        <f t="shared" ref="MQO10" si="4605">MQM10</f>
        <v>95000</v>
      </c>
      <c r="MQP10" s="1548"/>
      <c r="MQQ10" s="1547">
        <f t="shared" ref="MQQ10" si="4606">MQO10</f>
        <v>95000</v>
      </c>
      <c r="MQR10" s="1548"/>
      <c r="MQS10" s="1547">
        <f t="shared" ref="MQS10" si="4607">MQQ10</f>
        <v>95000</v>
      </c>
      <c r="MQT10" s="1548"/>
      <c r="MQU10" s="1547">
        <f t="shared" ref="MQU10" si="4608">MQS10</f>
        <v>95000</v>
      </c>
      <c r="MQV10" s="1548"/>
      <c r="MQW10" s="1547">
        <f t="shared" ref="MQW10" si="4609">MQU10</f>
        <v>95000</v>
      </c>
      <c r="MQX10" s="1548"/>
      <c r="MQY10" s="1547">
        <f t="shared" ref="MQY10" si="4610">MQW10</f>
        <v>95000</v>
      </c>
      <c r="MQZ10" s="1548"/>
      <c r="MRA10" s="1547">
        <f t="shared" ref="MRA10" si="4611">MQY10</f>
        <v>95000</v>
      </c>
      <c r="MRB10" s="1548"/>
      <c r="MRC10" s="1547">
        <f t="shared" ref="MRC10" si="4612">MRA10</f>
        <v>95000</v>
      </c>
      <c r="MRD10" s="1548"/>
      <c r="MRE10" s="1547">
        <f t="shared" ref="MRE10" si="4613">MRC10</f>
        <v>95000</v>
      </c>
      <c r="MRF10" s="1548"/>
      <c r="MRG10" s="1547">
        <f t="shared" ref="MRG10" si="4614">MRE10</f>
        <v>95000</v>
      </c>
      <c r="MRH10" s="1548"/>
      <c r="MRI10" s="1547">
        <f t="shared" ref="MRI10" si="4615">MRG10</f>
        <v>95000</v>
      </c>
      <c r="MRJ10" s="1548"/>
      <c r="MRK10" s="1547">
        <f t="shared" ref="MRK10" si="4616">MRI10</f>
        <v>95000</v>
      </c>
      <c r="MRL10" s="1548"/>
      <c r="MRM10" s="1547">
        <f t="shared" ref="MRM10" si="4617">MRK10</f>
        <v>95000</v>
      </c>
      <c r="MRN10" s="1548"/>
      <c r="MRO10" s="1547">
        <f t="shared" ref="MRO10" si="4618">MRM10</f>
        <v>95000</v>
      </c>
      <c r="MRP10" s="1548"/>
      <c r="MRQ10" s="1547">
        <f t="shared" ref="MRQ10" si="4619">MRO10</f>
        <v>95000</v>
      </c>
      <c r="MRR10" s="1548"/>
      <c r="MRS10" s="1547">
        <f t="shared" ref="MRS10" si="4620">MRQ10</f>
        <v>95000</v>
      </c>
      <c r="MRT10" s="1548"/>
      <c r="MRU10" s="1547">
        <f t="shared" ref="MRU10" si="4621">MRS10</f>
        <v>95000</v>
      </c>
      <c r="MRV10" s="1548"/>
      <c r="MRW10" s="1547">
        <f t="shared" ref="MRW10" si="4622">MRU10</f>
        <v>95000</v>
      </c>
      <c r="MRX10" s="1548"/>
      <c r="MRY10" s="1547">
        <f t="shared" ref="MRY10" si="4623">MRW10</f>
        <v>95000</v>
      </c>
      <c r="MRZ10" s="1548"/>
      <c r="MSA10" s="1547">
        <f t="shared" ref="MSA10" si="4624">MRY10</f>
        <v>95000</v>
      </c>
      <c r="MSB10" s="1548"/>
      <c r="MSC10" s="1547">
        <f t="shared" ref="MSC10" si="4625">MSA10</f>
        <v>95000</v>
      </c>
      <c r="MSD10" s="1548"/>
      <c r="MSE10" s="1547">
        <f t="shared" ref="MSE10" si="4626">MSC10</f>
        <v>95000</v>
      </c>
      <c r="MSF10" s="1548"/>
      <c r="MSG10" s="1547">
        <f t="shared" ref="MSG10" si="4627">MSE10</f>
        <v>95000</v>
      </c>
      <c r="MSH10" s="1548"/>
      <c r="MSI10" s="1547">
        <f t="shared" ref="MSI10" si="4628">MSG10</f>
        <v>95000</v>
      </c>
      <c r="MSJ10" s="1548"/>
      <c r="MSK10" s="1547">
        <f t="shared" ref="MSK10" si="4629">MSI10</f>
        <v>95000</v>
      </c>
      <c r="MSL10" s="1548"/>
      <c r="MSM10" s="1547">
        <f t="shared" ref="MSM10" si="4630">MSK10</f>
        <v>95000</v>
      </c>
      <c r="MSN10" s="1548"/>
      <c r="MSO10" s="1547">
        <f t="shared" ref="MSO10" si="4631">MSM10</f>
        <v>95000</v>
      </c>
      <c r="MSP10" s="1548"/>
      <c r="MSQ10" s="1547">
        <f t="shared" ref="MSQ10" si="4632">MSO10</f>
        <v>95000</v>
      </c>
      <c r="MSR10" s="1548"/>
      <c r="MSS10" s="1547">
        <f t="shared" ref="MSS10" si="4633">MSQ10</f>
        <v>95000</v>
      </c>
      <c r="MST10" s="1548"/>
      <c r="MSU10" s="1547">
        <f t="shared" ref="MSU10" si="4634">MSS10</f>
        <v>95000</v>
      </c>
      <c r="MSV10" s="1548"/>
      <c r="MSW10" s="1547">
        <f t="shared" ref="MSW10" si="4635">MSU10</f>
        <v>95000</v>
      </c>
      <c r="MSX10" s="1548"/>
      <c r="MSY10" s="1547">
        <f t="shared" ref="MSY10" si="4636">MSW10</f>
        <v>95000</v>
      </c>
      <c r="MSZ10" s="1548"/>
      <c r="MTA10" s="1547">
        <f t="shared" ref="MTA10" si="4637">MSY10</f>
        <v>95000</v>
      </c>
      <c r="MTB10" s="1548"/>
      <c r="MTC10" s="1547">
        <f t="shared" ref="MTC10" si="4638">MTA10</f>
        <v>95000</v>
      </c>
      <c r="MTD10" s="1548"/>
      <c r="MTE10" s="1547">
        <f t="shared" ref="MTE10" si="4639">MTC10</f>
        <v>95000</v>
      </c>
      <c r="MTF10" s="1548"/>
      <c r="MTG10" s="1547">
        <f t="shared" ref="MTG10" si="4640">MTE10</f>
        <v>95000</v>
      </c>
      <c r="MTH10" s="1548"/>
      <c r="MTI10" s="1547">
        <f t="shared" ref="MTI10" si="4641">MTG10</f>
        <v>95000</v>
      </c>
      <c r="MTJ10" s="1548"/>
      <c r="MTK10" s="1547">
        <f t="shared" ref="MTK10" si="4642">MTI10</f>
        <v>95000</v>
      </c>
      <c r="MTL10" s="1548"/>
      <c r="MTM10" s="1547">
        <f t="shared" ref="MTM10" si="4643">MTK10</f>
        <v>95000</v>
      </c>
      <c r="MTN10" s="1548"/>
      <c r="MTO10" s="1547">
        <f t="shared" ref="MTO10" si="4644">MTM10</f>
        <v>95000</v>
      </c>
      <c r="MTP10" s="1548"/>
      <c r="MTQ10" s="1547">
        <f t="shared" ref="MTQ10" si="4645">MTO10</f>
        <v>95000</v>
      </c>
      <c r="MTR10" s="1548"/>
      <c r="MTS10" s="1547">
        <f t="shared" ref="MTS10" si="4646">MTQ10</f>
        <v>95000</v>
      </c>
      <c r="MTT10" s="1548"/>
      <c r="MTU10" s="1547">
        <f t="shared" ref="MTU10" si="4647">MTS10</f>
        <v>95000</v>
      </c>
      <c r="MTV10" s="1548"/>
      <c r="MTW10" s="1547">
        <f t="shared" ref="MTW10" si="4648">MTU10</f>
        <v>95000</v>
      </c>
      <c r="MTX10" s="1548"/>
      <c r="MTY10" s="1547">
        <f t="shared" ref="MTY10" si="4649">MTW10</f>
        <v>95000</v>
      </c>
      <c r="MTZ10" s="1548"/>
      <c r="MUA10" s="1547">
        <f t="shared" ref="MUA10" si="4650">MTY10</f>
        <v>95000</v>
      </c>
      <c r="MUB10" s="1548"/>
      <c r="MUC10" s="1547">
        <f t="shared" ref="MUC10" si="4651">MUA10</f>
        <v>95000</v>
      </c>
      <c r="MUD10" s="1548"/>
      <c r="MUE10" s="1547">
        <f t="shared" ref="MUE10" si="4652">MUC10</f>
        <v>95000</v>
      </c>
      <c r="MUF10" s="1548"/>
      <c r="MUG10" s="1547">
        <f t="shared" ref="MUG10" si="4653">MUE10</f>
        <v>95000</v>
      </c>
      <c r="MUH10" s="1548"/>
      <c r="MUI10" s="1547">
        <f t="shared" ref="MUI10" si="4654">MUG10</f>
        <v>95000</v>
      </c>
      <c r="MUJ10" s="1548"/>
      <c r="MUK10" s="1547">
        <f t="shared" ref="MUK10" si="4655">MUI10</f>
        <v>95000</v>
      </c>
      <c r="MUL10" s="1548"/>
      <c r="MUM10" s="1547">
        <f t="shared" ref="MUM10" si="4656">MUK10</f>
        <v>95000</v>
      </c>
      <c r="MUN10" s="1548"/>
      <c r="MUO10" s="1547">
        <f t="shared" ref="MUO10" si="4657">MUM10</f>
        <v>95000</v>
      </c>
      <c r="MUP10" s="1548"/>
      <c r="MUQ10" s="1547">
        <f t="shared" ref="MUQ10" si="4658">MUO10</f>
        <v>95000</v>
      </c>
      <c r="MUR10" s="1548"/>
      <c r="MUS10" s="1547">
        <f t="shared" ref="MUS10" si="4659">MUQ10</f>
        <v>95000</v>
      </c>
      <c r="MUT10" s="1548"/>
      <c r="MUU10" s="1547">
        <f t="shared" ref="MUU10" si="4660">MUS10</f>
        <v>95000</v>
      </c>
      <c r="MUV10" s="1548"/>
      <c r="MUW10" s="1547">
        <f t="shared" ref="MUW10" si="4661">MUU10</f>
        <v>95000</v>
      </c>
      <c r="MUX10" s="1548"/>
      <c r="MUY10" s="1547">
        <f t="shared" ref="MUY10" si="4662">MUW10</f>
        <v>95000</v>
      </c>
      <c r="MUZ10" s="1548"/>
      <c r="MVA10" s="1547">
        <f t="shared" ref="MVA10" si="4663">MUY10</f>
        <v>95000</v>
      </c>
      <c r="MVB10" s="1548"/>
      <c r="MVC10" s="1547">
        <f t="shared" ref="MVC10" si="4664">MVA10</f>
        <v>95000</v>
      </c>
      <c r="MVD10" s="1548"/>
      <c r="MVE10" s="1547">
        <f t="shared" ref="MVE10" si="4665">MVC10</f>
        <v>95000</v>
      </c>
      <c r="MVF10" s="1548"/>
      <c r="MVG10" s="1547">
        <f t="shared" ref="MVG10" si="4666">MVE10</f>
        <v>95000</v>
      </c>
      <c r="MVH10" s="1548"/>
      <c r="MVI10" s="1547">
        <f t="shared" ref="MVI10" si="4667">MVG10</f>
        <v>95000</v>
      </c>
      <c r="MVJ10" s="1548"/>
      <c r="MVK10" s="1547">
        <f t="shared" ref="MVK10" si="4668">MVI10</f>
        <v>95000</v>
      </c>
      <c r="MVL10" s="1548"/>
      <c r="MVM10" s="1547">
        <f t="shared" ref="MVM10" si="4669">MVK10</f>
        <v>95000</v>
      </c>
      <c r="MVN10" s="1548"/>
      <c r="MVO10" s="1547">
        <f t="shared" ref="MVO10" si="4670">MVM10</f>
        <v>95000</v>
      </c>
      <c r="MVP10" s="1548"/>
      <c r="MVQ10" s="1547">
        <f t="shared" ref="MVQ10" si="4671">MVO10</f>
        <v>95000</v>
      </c>
      <c r="MVR10" s="1548"/>
      <c r="MVS10" s="1547">
        <f t="shared" ref="MVS10" si="4672">MVQ10</f>
        <v>95000</v>
      </c>
      <c r="MVT10" s="1548"/>
      <c r="MVU10" s="1547">
        <f t="shared" ref="MVU10" si="4673">MVS10</f>
        <v>95000</v>
      </c>
      <c r="MVV10" s="1548"/>
      <c r="MVW10" s="1547">
        <f t="shared" ref="MVW10" si="4674">MVU10</f>
        <v>95000</v>
      </c>
      <c r="MVX10" s="1548"/>
      <c r="MVY10" s="1547">
        <f t="shared" ref="MVY10" si="4675">MVW10</f>
        <v>95000</v>
      </c>
      <c r="MVZ10" s="1548"/>
      <c r="MWA10" s="1547">
        <f t="shared" ref="MWA10" si="4676">MVY10</f>
        <v>95000</v>
      </c>
      <c r="MWB10" s="1548"/>
      <c r="MWC10" s="1547">
        <f t="shared" ref="MWC10" si="4677">MWA10</f>
        <v>95000</v>
      </c>
      <c r="MWD10" s="1548"/>
      <c r="MWE10" s="1547">
        <f t="shared" ref="MWE10" si="4678">MWC10</f>
        <v>95000</v>
      </c>
      <c r="MWF10" s="1548"/>
      <c r="MWG10" s="1547">
        <f t="shared" ref="MWG10" si="4679">MWE10</f>
        <v>95000</v>
      </c>
      <c r="MWH10" s="1548"/>
      <c r="MWI10" s="1547">
        <f t="shared" ref="MWI10" si="4680">MWG10</f>
        <v>95000</v>
      </c>
      <c r="MWJ10" s="1548"/>
      <c r="MWK10" s="1547">
        <f t="shared" ref="MWK10" si="4681">MWI10</f>
        <v>95000</v>
      </c>
      <c r="MWL10" s="1548"/>
      <c r="MWM10" s="1547">
        <f t="shared" ref="MWM10" si="4682">MWK10</f>
        <v>95000</v>
      </c>
      <c r="MWN10" s="1548"/>
      <c r="MWO10" s="1547">
        <f t="shared" ref="MWO10" si="4683">MWM10</f>
        <v>95000</v>
      </c>
      <c r="MWP10" s="1548"/>
      <c r="MWQ10" s="1547">
        <f t="shared" ref="MWQ10" si="4684">MWO10</f>
        <v>95000</v>
      </c>
      <c r="MWR10" s="1548"/>
      <c r="MWS10" s="1547">
        <f t="shared" ref="MWS10" si="4685">MWQ10</f>
        <v>95000</v>
      </c>
      <c r="MWT10" s="1548"/>
      <c r="MWU10" s="1547">
        <f t="shared" ref="MWU10" si="4686">MWS10</f>
        <v>95000</v>
      </c>
      <c r="MWV10" s="1548"/>
      <c r="MWW10" s="1547">
        <f t="shared" ref="MWW10" si="4687">MWU10</f>
        <v>95000</v>
      </c>
      <c r="MWX10" s="1548"/>
      <c r="MWY10" s="1547">
        <f t="shared" ref="MWY10" si="4688">MWW10</f>
        <v>95000</v>
      </c>
      <c r="MWZ10" s="1548"/>
      <c r="MXA10" s="1547">
        <f t="shared" ref="MXA10" si="4689">MWY10</f>
        <v>95000</v>
      </c>
      <c r="MXB10" s="1548"/>
      <c r="MXC10" s="1547">
        <f t="shared" ref="MXC10" si="4690">MXA10</f>
        <v>95000</v>
      </c>
      <c r="MXD10" s="1548"/>
      <c r="MXE10" s="1547">
        <f t="shared" ref="MXE10" si="4691">MXC10</f>
        <v>95000</v>
      </c>
      <c r="MXF10" s="1548"/>
      <c r="MXG10" s="1547">
        <f t="shared" ref="MXG10" si="4692">MXE10</f>
        <v>95000</v>
      </c>
      <c r="MXH10" s="1548"/>
      <c r="MXI10" s="1547">
        <f t="shared" ref="MXI10" si="4693">MXG10</f>
        <v>95000</v>
      </c>
      <c r="MXJ10" s="1548"/>
      <c r="MXK10" s="1547">
        <f t="shared" ref="MXK10" si="4694">MXI10</f>
        <v>95000</v>
      </c>
      <c r="MXL10" s="1548"/>
      <c r="MXM10" s="1547">
        <f t="shared" ref="MXM10" si="4695">MXK10</f>
        <v>95000</v>
      </c>
      <c r="MXN10" s="1548"/>
      <c r="MXO10" s="1547">
        <f t="shared" ref="MXO10" si="4696">MXM10</f>
        <v>95000</v>
      </c>
      <c r="MXP10" s="1548"/>
      <c r="MXQ10" s="1547">
        <f t="shared" ref="MXQ10" si="4697">MXO10</f>
        <v>95000</v>
      </c>
      <c r="MXR10" s="1548"/>
      <c r="MXS10" s="1547">
        <f t="shared" ref="MXS10" si="4698">MXQ10</f>
        <v>95000</v>
      </c>
      <c r="MXT10" s="1548"/>
      <c r="MXU10" s="1547">
        <f t="shared" ref="MXU10" si="4699">MXS10</f>
        <v>95000</v>
      </c>
      <c r="MXV10" s="1548"/>
      <c r="MXW10" s="1547">
        <f t="shared" ref="MXW10" si="4700">MXU10</f>
        <v>95000</v>
      </c>
      <c r="MXX10" s="1548"/>
      <c r="MXY10" s="1547">
        <f t="shared" ref="MXY10" si="4701">MXW10</f>
        <v>95000</v>
      </c>
      <c r="MXZ10" s="1548"/>
      <c r="MYA10" s="1547">
        <f t="shared" ref="MYA10" si="4702">MXY10</f>
        <v>95000</v>
      </c>
      <c r="MYB10" s="1548"/>
      <c r="MYC10" s="1547">
        <f t="shared" ref="MYC10" si="4703">MYA10</f>
        <v>95000</v>
      </c>
      <c r="MYD10" s="1548"/>
      <c r="MYE10" s="1547">
        <f t="shared" ref="MYE10" si="4704">MYC10</f>
        <v>95000</v>
      </c>
      <c r="MYF10" s="1548"/>
      <c r="MYG10" s="1547">
        <f t="shared" ref="MYG10" si="4705">MYE10</f>
        <v>95000</v>
      </c>
      <c r="MYH10" s="1548"/>
      <c r="MYI10" s="1547">
        <f t="shared" ref="MYI10" si="4706">MYG10</f>
        <v>95000</v>
      </c>
      <c r="MYJ10" s="1548"/>
      <c r="MYK10" s="1547">
        <f t="shared" ref="MYK10" si="4707">MYI10</f>
        <v>95000</v>
      </c>
      <c r="MYL10" s="1548"/>
      <c r="MYM10" s="1547">
        <f t="shared" ref="MYM10" si="4708">MYK10</f>
        <v>95000</v>
      </c>
      <c r="MYN10" s="1548"/>
      <c r="MYO10" s="1547">
        <f t="shared" ref="MYO10" si="4709">MYM10</f>
        <v>95000</v>
      </c>
      <c r="MYP10" s="1548"/>
      <c r="MYQ10" s="1547">
        <f t="shared" ref="MYQ10" si="4710">MYO10</f>
        <v>95000</v>
      </c>
      <c r="MYR10" s="1548"/>
      <c r="MYS10" s="1547">
        <f t="shared" ref="MYS10" si="4711">MYQ10</f>
        <v>95000</v>
      </c>
      <c r="MYT10" s="1548"/>
      <c r="MYU10" s="1547">
        <f t="shared" ref="MYU10" si="4712">MYS10</f>
        <v>95000</v>
      </c>
      <c r="MYV10" s="1548"/>
      <c r="MYW10" s="1547">
        <f t="shared" ref="MYW10" si="4713">MYU10</f>
        <v>95000</v>
      </c>
      <c r="MYX10" s="1548"/>
      <c r="MYY10" s="1547">
        <f t="shared" ref="MYY10" si="4714">MYW10</f>
        <v>95000</v>
      </c>
      <c r="MYZ10" s="1548"/>
      <c r="MZA10" s="1547">
        <f t="shared" ref="MZA10" si="4715">MYY10</f>
        <v>95000</v>
      </c>
      <c r="MZB10" s="1548"/>
      <c r="MZC10" s="1547">
        <f t="shared" ref="MZC10" si="4716">MZA10</f>
        <v>95000</v>
      </c>
      <c r="MZD10" s="1548"/>
      <c r="MZE10" s="1547">
        <f t="shared" ref="MZE10" si="4717">MZC10</f>
        <v>95000</v>
      </c>
      <c r="MZF10" s="1548"/>
      <c r="MZG10" s="1547">
        <f t="shared" ref="MZG10" si="4718">MZE10</f>
        <v>95000</v>
      </c>
      <c r="MZH10" s="1548"/>
      <c r="MZI10" s="1547">
        <f t="shared" ref="MZI10" si="4719">MZG10</f>
        <v>95000</v>
      </c>
      <c r="MZJ10" s="1548"/>
      <c r="MZK10" s="1547">
        <f t="shared" ref="MZK10" si="4720">MZI10</f>
        <v>95000</v>
      </c>
      <c r="MZL10" s="1548"/>
      <c r="MZM10" s="1547">
        <f t="shared" ref="MZM10" si="4721">MZK10</f>
        <v>95000</v>
      </c>
      <c r="MZN10" s="1548"/>
      <c r="MZO10" s="1547">
        <f t="shared" ref="MZO10" si="4722">MZM10</f>
        <v>95000</v>
      </c>
      <c r="MZP10" s="1548"/>
      <c r="MZQ10" s="1547">
        <f t="shared" ref="MZQ10" si="4723">MZO10</f>
        <v>95000</v>
      </c>
      <c r="MZR10" s="1548"/>
      <c r="MZS10" s="1547">
        <f t="shared" ref="MZS10" si="4724">MZQ10</f>
        <v>95000</v>
      </c>
      <c r="MZT10" s="1548"/>
      <c r="MZU10" s="1547">
        <f t="shared" ref="MZU10" si="4725">MZS10</f>
        <v>95000</v>
      </c>
      <c r="MZV10" s="1548"/>
      <c r="MZW10" s="1547">
        <f t="shared" ref="MZW10" si="4726">MZU10</f>
        <v>95000</v>
      </c>
      <c r="MZX10" s="1548"/>
      <c r="MZY10" s="1547">
        <f t="shared" ref="MZY10" si="4727">MZW10</f>
        <v>95000</v>
      </c>
      <c r="MZZ10" s="1548"/>
      <c r="NAA10" s="1547">
        <f t="shared" ref="NAA10" si="4728">MZY10</f>
        <v>95000</v>
      </c>
      <c r="NAB10" s="1548"/>
      <c r="NAC10" s="1547">
        <f t="shared" ref="NAC10" si="4729">NAA10</f>
        <v>95000</v>
      </c>
      <c r="NAD10" s="1548"/>
      <c r="NAE10" s="1547">
        <f t="shared" ref="NAE10" si="4730">NAC10</f>
        <v>95000</v>
      </c>
      <c r="NAF10" s="1548"/>
      <c r="NAG10" s="1547">
        <f t="shared" ref="NAG10" si="4731">NAE10</f>
        <v>95000</v>
      </c>
      <c r="NAH10" s="1548"/>
      <c r="NAI10" s="1547">
        <f t="shared" ref="NAI10" si="4732">NAG10</f>
        <v>95000</v>
      </c>
      <c r="NAJ10" s="1548"/>
      <c r="NAK10" s="1547">
        <f t="shared" ref="NAK10" si="4733">NAI10</f>
        <v>95000</v>
      </c>
      <c r="NAL10" s="1548"/>
      <c r="NAM10" s="1547">
        <f t="shared" ref="NAM10" si="4734">NAK10</f>
        <v>95000</v>
      </c>
      <c r="NAN10" s="1548"/>
      <c r="NAO10" s="1547">
        <f t="shared" ref="NAO10" si="4735">NAM10</f>
        <v>95000</v>
      </c>
      <c r="NAP10" s="1548"/>
      <c r="NAQ10" s="1547">
        <f t="shared" ref="NAQ10" si="4736">NAO10</f>
        <v>95000</v>
      </c>
      <c r="NAR10" s="1548"/>
      <c r="NAS10" s="1547">
        <f t="shared" ref="NAS10" si="4737">NAQ10</f>
        <v>95000</v>
      </c>
      <c r="NAT10" s="1548"/>
      <c r="NAU10" s="1547">
        <f t="shared" ref="NAU10" si="4738">NAS10</f>
        <v>95000</v>
      </c>
      <c r="NAV10" s="1548"/>
      <c r="NAW10" s="1547">
        <f t="shared" ref="NAW10" si="4739">NAU10</f>
        <v>95000</v>
      </c>
      <c r="NAX10" s="1548"/>
      <c r="NAY10" s="1547">
        <f t="shared" ref="NAY10" si="4740">NAW10</f>
        <v>95000</v>
      </c>
      <c r="NAZ10" s="1548"/>
      <c r="NBA10" s="1547">
        <f t="shared" ref="NBA10" si="4741">NAY10</f>
        <v>95000</v>
      </c>
      <c r="NBB10" s="1548"/>
      <c r="NBC10" s="1547">
        <f t="shared" ref="NBC10" si="4742">NBA10</f>
        <v>95000</v>
      </c>
      <c r="NBD10" s="1548"/>
      <c r="NBE10" s="1547">
        <f t="shared" ref="NBE10" si="4743">NBC10</f>
        <v>95000</v>
      </c>
      <c r="NBF10" s="1548"/>
      <c r="NBG10" s="1547">
        <f t="shared" ref="NBG10" si="4744">NBE10</f>
        <v>95000</v>
      </c>
      <c r="NBH10" s="1548"/>
      <c r="NBI10" s="1547">
        <f t="shared" ref="NBI10" si="4745">NBG10</f>
        <v>95000</v>
      </c>
      <c r="NBJ10" s="1548"/>
      <c r="NBK10" s="1547">
        <f t="shared" ref="NBK10" si="4746">NBI10</f>
        <v>95000</v>
      </c>
      <c r="NBL10" s="1548"/>
      <c r="NBM10" s="1547">
        <f t="shared" ref="NBM10" si="4747">NBK10</f>
        <v>95000</v>
      </c>
      <c r="NBN10" s="1548"/>
      <c r="NBO10" s="1547">
        <f t="shared" ref="NBO10" si="4748">NBM10</f>
        <v>95000</v>
      </c>
      <c r="NBP10" s="1548"/>
      <c r="NBQ10" s="1547">
        <f t="shared" ref="NBQ10" si="4749">NBO10</f>
        <v>95000</v>
      </c>
      <c r="NBR10" s="1548"/>
      <c r="NBS10" s="1547">
        <f t="shared" ref="NBS10" si="4750">NBQ10</f>
        <v>95000</v>
      </c>
      <c r="NBT10" s="1548"/>
      <c r="NBU10" s="1547">
        <f t="shared" ref="NBU10" si="4751">NBS10</f>
        <v>95000</v>
      </c>
      <c r="NBV10" s="1548"/>
      <c r="NBW10" s="1547">
        <f t="shared" ref="NBW10" si="4752">NBU10</f>
        <v>95000</v>
      </c>
      <c r="NBX10" s="1548"/>
      <c r="NBY10" s="1547">
        <f t="shared" ref="NBY10" si="4753">NBW10</f>
        <v>95000</v>
      </c>
      <c r="NBZ10" s="1548"/>
      <c r="NCA10" s="1547">
        <f t="shared" ref="NCA10" si="4754">NBY10</f>
        <v>95000</v>
      </c>
      <c r="NCB10" s="1548"/>
      <c r="NCC10" s="1547">
        <f t="shared" ref="NCC10" si="4755">NCA10</f>
        <v>95000</v>
      </c>
      <c r="NCD10" s="1548"/>
      <c r="NCE10" s="1547">
        <f t="shared" ref="NCE10" si="4756">NCC10</f>
        <v>95000</v>
      </c>
      <c r="NCF10" s="1548"/>
      <c r="NCG10" s="1547">
        <f t="shared" ref="NCG10" si="4757">NCE10</f>
        <v>95000</v>
      </c>
      <c r="NCH10" s="1548"/>
      <c r="NCI10" s="1547">
        <f t="shared" ref="NCI10" si="4758">NCG10</f>
        <v>95000</v>
      </c>
      <c r="NCJ10" s="1548"/>
      <c r="NCK10" s="1547">
        <f t="shared" ref="NCK10" si="4759">NCI10</f>
        <v>95000</v>
      </c>
      <c r="NCL10" s="1548"/>
      <c r="NCM10" s="1547">
        <f t="shared" ref="NCM10" si="4760">NCK10</f>
        <v>95000</v>
      </c>
      <c r="NCN10" s="1548"/>
      <c r="NCO10" s="1547">
        <f t="shared" ref="NCO10" si="4761">NCM10</f>
        <v>95000</v>
      </c>
      <c r="NCP10" s="1548"/>
      <c r="NCQ10" s="1547">
        <f t="shared" ref="NCQ10" si="4762">NCO10</f>
        <v>95000</v>
      </c>
      <c r="NCR10" s="1548"/>
      <c r="NCS10" s="1547">
        <f t="shared" ref="NCS10" si="4763">NCQ10</f>
        <v>95000</v>
      </c>
      <c r="NCT10" s="1548"/>
      <c r="NCU10" s="1547">
        <f t="shared" ref="NCU10" si="4764">NCS10</f>
        <v>95000</v>
      </c>
      <c r="NCV10" s="1548"/>
      <c r="NCW10" s="1547">
        <f t="shared" ref="NCW10" si="4765">NCU10</f>
        <v>95000</v>
      </c>
      <c r="NCX10" s="1548"/>
      <c r="NCY10" s="1547">
        <f t="shared" ref="NCY10" si="4766">NCW10</f>
        <v>95000</v>
      </c>
      <c r="NCZ10" s="1548"/>
      <c r="NDA10" s="1547">
        <f t="shared" ref="NDA10" si="4767">NCY10</f>
        <v>95000</v>
      </c>
      <c r="NDB10" s="1548"/>
      <c r="NDC10" s="1547">
        <f t="shared" ref="NDC10" si="4768">NDA10</f>
        <v>95000</v>
      </c>
      <c r="NDD10" s="1548"/>
      <c r="NDE10" s="1547">
        <f t="shared" ref="NDE10" si="4769">NDC10</f>
        <v>95000</v>
      </c>
      <c r="NDF10" s="1548"/>
      <c r="NDG10" s="1547">
        <f t="shared" ref="NDG10" si="4770">NDE10</f>
        <v>95000</v>
      </c>
      <c r="NDH10" s="1548"/>
      <c r="NDI10" s="1547">
        <f t="shared" ref="NDI10" si="4771">NDG10</f>
        <v>95000</v>
      </c>
      <c r="NDJ10" s="1548"/>
      <c r="NDK10" s="1547">
        <f t="shared" ref="NDK10" si="4772">NDI10</f>
        <v>95000</v>
      </c>
      <c r="NDL10" s="1548"/>
      <c r="NDM10" s="1547">
        <f t="shared" ref="NDM10" si="4773">NDK10</f>
        <v>95000</v>
      </c>
      <c r="NDN10" s="1548"/>
      <c r="NDO10" s="1547">
        <f t="shared" ref="NDO10" si="4774">NDM10</f>
        <v>95000</v>
      </c>
      <c r="NDP10" s="1548"/>
      <c r="NDQ10" s="1547">
        <f t="shared" ref="NDQ10" si="4775">NDO10</f>
        <v>95000</v>
      </c>
      <c r="NDR10" s="1548"/>
      <c r="NDS10" s="1547">
        <f t="shared" ref="NDS10" si="4776">NDQ10</f>
        <v>95000</v>
      </c>
      <c r="NDT10" s="1548"/>
      <c r="NDU10" s="1547">
        <f t="shared" ref="NDU10" si="4777">NDS10</f>
        <v>95000</v>
      </c>
      <c r="NDV10" s="1548"/>
      <c r="NDW10" s="1547">
        <f t="shared" ref="NDW10" si="4778">NDU10</f>
        <v>95000</v>
      </c>
      <c r="NDX10" s="1548"/>
      <c r="NDY10" s="1547">
        <f t="shared" ref="NDY10" si="4779">NDW10</f>
        <v>95000</v>
      </c>
      <c r="NDZ10" s="1548"/>
      <c r="NEA10" s="1547">
        <f t="shared" ref="NEA10" si="4780">NDY10</f>
        <v>95000</v>
      </c>
      <c r="NEB10" s="1548"/>
      <c r="NEC10" s="1547">
        <f t="shared" ref="NEC10" si="4781">NEA10</f>
        <v>95000</v>
      </c>
      <c r="NED10" s="1548"/>
      <c r="NEE10" s="1547">
        <f t="shared" ref="NEE10" si="4782">NEC10</f>
        <v>95000</v>
      </c>
      <c r="NEF10" s="1548"/>
      <c r="NEG10" s="1547">
        <f t="shared" ref="NEG10" si="4783">NEE10</f>
        <v>95000</v>
      </c>
      <c r="NEH10" s="1548"/>
      <c r="NEI10" s="1547">
        <f t="shared" ref="NEI10" si="4784">NEG10</f>
        <v>95000</v>
      </c>
      <c r="NEJ10" s="1548"/>
      <c r="NEK10" s="1547">
        <f t="shared" ref="NEK10" si="4785">NEI10</f>
        <v>95000</v>
      </c>
      <c r="NEL10" s="1548"/>
      <c r="NEM10" s="1547">
        <f t="shared" ref="NEM10" si="4786">NEK10</f>
        <v>95000</v>
      </c>
      <c r="NEN10" s="1548"/>
      <c r="NEO10" s="1547">
        <f t="shared" ref="NEO10" si="4787">NEM10</f>
        <v>95000</v>
      </c>
      <c r="NEP10" s="1548"/>
      <c r="NEQ10" s="1547">
        <f t="shared" ref="NEQ10" si="4788">NEO10</f>
        <v>95000</v>
      </c>
      <c r="NER10" s="1548"/>
      <c r="NES10" s="1547">
        <f t="shared" ref="NES10" si="4789">NEQ10</f>
        <v>95000</v>
      </c>
      <c r="NET10" s="1548"/>
      <c r="NEU10" s="1547">
        <f t="shared" ref="NEU10" si="4790">NES10</f>
        <v>95000</v>
      </c>
      <c r="NEV10" s="1548"/>
      <c r="NEW10" s="1547">
        <f t="shared" ref="NEW10" si="4791">NEU10</f>
        <v>95000</v>
      </c>
      <c r="NEX10" s="1548"/>
      <c r="NEY10" s="1547">
        <f t="shared" ref="NEY10" si="4792">NEW10</f>
        <v>95000</v>
      </c>
      <c r="NEZ10" s="1548"/>
      <c r="NFA10" s="1547">
        <f t="shared" ref="NFA10" si="4793">NEY10</f>
        <v>95000</v>
      </c>
      <c r="NFB10" s="1548"/>
      <c r="NFC10" s="1547">
        <f t="shared" ref="NFC10" si="4794">NFA10</f>
        <v>95000</v>
      </c>
      <c r="NFD10" s="1548"/>
      <c r="NFE10" s="1547">
        <f t="shared" ref="NFE10" si="4795">NFC10</f>
        <v>95000</v>
      </c>
      <c r="NFF10" s="1548"/>
      <c r="NFG10" s="1547">
        <f t="shared" ref="NFG10" si="4796">NFE10</f>
        <v>95000</v>
      </c>
      <c r="NFH10" s="1548"/>
      <c r="NFI10" s="1547">
        <f t="shared" ref="NFI10" si="4797">NFG10</f>
        <v>95000</v>
      </c>
      <c r="NFJ10" s="1548"/>
      <c r="NFK10" s="1547">
        <f t="shared" ref="NFK10" si="4798">NFI10</f>
        <v>95000</v>
      </c>
      <c r="NFL10" s="1548"/>
      <c r="NFM10" s="1547">
        <f t="shared" ref="NFM10" si="4799">NFK10</f>
        <v>95000</v>
      </c>
      <c r="NFN10" s="1548"/>
      <c r="NFO10" s="1547">
        <f t="shared" ref="NFO10" si="4800">NFM10</f>
        <v>95000</v>
      </c>
      <c r="NFP10" s="1548"/>
      <c r="NFQ10" s="1547">
        <f t="shared" ref="NFQ10" si="4801">NFO10</f>
        <v>95000</v>
      </c>
      <c r="NFR10" s="1548"/>
      <c r="NFS10" s="1547">
        <f t="shared" ref="NFS10" si="4802">NFQ10</f>
        <v>95000</v>
      </c>
      <c r="NFT10" s="1548"/>
      <c r="NFU10" s="1547">
        <f t="shared" ref="NFU10" si="4803">NFS10</f>
        <v>95000</v>
      </c>
      <c r="NFV10" s="1548"/>
      <c r="NFW10" s="1547">
        <f t="shared" ref="NFW10" si="4804">NFU10</f>
        <v>95000</v>
      </c>
      <c r="NFX10" s="1548"/>
      <c r="NFY10" s="1547">
        <f t="shared" ref="NFY10" si="4805">NFW10</f>
        <v>95000</v>
      </c>
      <c r="NFZ10" s="1548"/>
      <c r="NGA10" s="1547">
        <f t="shared" ref="NGA10" si="4806">NFY10</f>
        <v>95000</v>
      </c>
      <c r="NGB10" s="1548"/>
      <c r="NGC10" s="1547">
        <f t="shared" ref="NGC10" si="4807">NGA10</f>
        <v>95000</v>
      </c>
      <c r="NGD10" s="1548"/>
      <c r="NGE10" s="1547">
        <f t="shared" ref="NGE10" si="4808">NGC10</f>
        <v>95000</v>
      </c>
      <c r="NGF10" s="1548"/>
      <c r="NGG10" s="1547">
        <f t="shared" ref="NGG10" si="4809">NGE10</f>
        <v>95000</v>
      </c>
      <c r="NGH10" s="1548"/>
      <c r="NGI10" s="1547">
        <f t="shared" ref="NGI10" si="4810">NGG10</f>
        <v>95000</v>
      </c>
      <c r="NGJ10" s="1548"/>
      <c r="NGK10" s="1547">
        <f t="shared" ref="NGK10" si="4811">NGI10</f>
        <v>95000</v>
      </c>
      <c r="NGL10" s="1548"/>
      <c r="NGM10" s="1547">
        <f t="shared" ref="NGM10" si="4812">NGK10</f>
        <v>95000</v>
      </c>
      <c r="NGN10" s="1548"/>
      <c r="NGO10" s="1547">
        <f t="shared" ref="NGO10" si="4813">NGM10</f>
        <v>95000</v>
      </c>
      <c r="NGP10" s="1548"/>
      <c r="NGQ10" s="1547">
        <f t="shared" ref="NGQ10" si="4814">NGO10</f>
        <v>95000</v>
      </c>
      <c r="NGR10" s="1548"/>
      <c r="NGS10" s="1547">
        <f t="shared" ref="NGS10" si="4815">NGQ10</f>
        <v>95000</v>
      </c>
      <c r="NGT10" s="1548"/>
      <c r="NGU10" s="1547">
        <f t="shared" ref="NGU10" si="4816">NGS10</f>
        <v>95000</v>
      </c>
      <c r="NGV10" s="1548"/>
      <c r="NGW10" s="1547">
        <f t="shared" ref="NGW10" si="4817">NGU10</f>
        <v>95000</v>
      </c>
      <c r="NGX10" s="1548"/>
      <c r="NGY10" s="1547">
        <f t="shared" ref="NGY10" si="4818">NGW10</f>
        <v>95000</v>
      </c>
      <c r="NGZ10" s="1548"/>
      <c r="NHA10" s="1547">
        <f t="shared" ref="NHA10" si="4819">NGY10</f>
        <v>95000</v>
      </c>
      <c r="NHB10" s="1548"/>
      <c r="NHC10" s="1547">
        <f t="shared" ref="NHC10" si="4820">NHA10</f>
        <v>95000</v>
      </c>
      <c r="NHD10" s="1548"/>
      <c r="NHE10" s="1547">
        <f t="shared" ref="NHE10" si="4821">NHC10</f>
        <v>95000</v>
      </c>
      <c r="NHF10" s="1548"/>
      <c r="NHG10" s="1547">
        <f t="shared" ref="NHG10" si="4822">NHE10</f>
        <v>95000</v>
      </c>
      <c r="NHH10" s="1548"/>
      <c r="NHI10" s="1547">
        <f t="shared" ref="NHI10" si="4823">NHG10</f>
        <v>95000</v>
      </c>
      <c r="NHJ10" s="1548"/>
      <c r="NHK10" s="1547">
        <f t="shared" ref="NHK10" si="4824">NHI10</f>
        <v>95000</v>
      </c>
      <c r="NHL10" s="1548"/>
      <c r="NHM10" s="1547">
        <f t="shared" ref="NHM10" si="4825">NHK10</f>
        <v>95000</v>
      </c>
      <c r="NHN10" s="1548"/>
      <c r="NHO10" s="1547">
        <f t="shared" ref="NHO10" si="4826">NHM10</f>
        <v>95000</v>
      </c>
      <c r="NHP10" s="1548"/>
      <c r="NHQ10" s="1547">
        <f t="shared" ref="NHQ10" si="4827">NHO10</f>
        <v>95000</v>
      </c>
      <c r="NHR10" s="1548"/>
      <c r="NHS10" s="1547">
        <f t="shared" ref="NHS10" si="4828">NHQ10</f>
        <v>95000</v>
      </c>
      <c r="NHT10" s="1548"/>
      <c r="NHU10" s="1547">
        <f t="shared" ref="NHU10" si="4829">NHS10</f>
        <v>95000</v>
      </c>
      <c r="NHV10" s="1548"/>
      <c r="NHW10" s="1547">
        <f t="shared" ref="NHW10" si="4830">NHU10</f>
        <v>95000</v>
      </c>
      <c r="NHX10" s="1548"/>
      <c r="NHY10" s="1547">
        <f t="shared" ref="NHY10" si="4831">NHW10</f>
        <v>95000</v>
      </c>
      <c r="NHZ10" s="1548"/>
      <c r="NIA10" s="1547">
        <f t="shared" ref="NIA10" si="4832">NHY10</f>
        <v>95000</v>
      </c>
      <c r="NIB10" s="1548"/>
      <c r="NIC10" s="1547">
        <f t="shared" ref="NIC10" si="4833">NIA10</f>
        <v>95000</v>
      </c>
      <c r="NID10" s="1548"/>
      <c r="NIE10" s="1547">
        <f t="shared" ref="NIE10" si="4834">NIC10</f>
        <v>95000</v>
      </c>
      <c r="NIF10" s="1548"/>
      <c r="NIG10" s="1547">
        <f t="shared" ref="NIG10" si="4835">NIE10</f>
        <v>95000</v>
      </c>
      <c r="NIH10" s="1548"/>
      <c r="NII10" s="1547">
        <f t="shared" ref="NII10" si="4836">NIG10</f>
        <v>95000</v>
      </c>
      <c r="NIJ10" s="1548"/>
      <c r="NIK10" s="1547">
        <f t="shared" ref="NIK10" si="4837">NII10</f>
        <v>95000</v>
      </c>
      <c r="NIL10" s="1548"/>
      <c r="NIM10" s="1547">
        <f t="shared" ref="NIM10" si="4838">NIK10</f>
        <v>95000</v>
      </c>
      <c r="NIN10" s="1548"/>
      <c r="NIO10" s="1547">
        <f t="shared" ref="NIO10" si="4839">NIM10</f>
        <v>95000</v>
      </c>
      <c r="NIP10" s="1548"/>
      <c r="NIQ10" s="1547">
        <f t="shared" ref="NIQ10" si="4840">NIO10</f>
        <v>95000</v>
      </c>
      <c r="NIR10" s="1548"/>
      <c r="NIS10" s="1547">
        <f t="shared" ref="NIS10" si="4841">NIQ10</f>
        <v>95000</v>
      </c>
      <c r="NIT10" s="1548"/>
      <c r="NIU10" s="1547">
        <f t="shared" ref="NIU10" si="4842">NIS10</f>
        <v>95000</v>
      </c>
      <c r="NIV10" s="1548"/>
      <c r="NIW10" s="1547">
        <f t="shared" ref="NIW10" si="4843">NIU10</f>
        <v>95000</v>
      </c>
      <c r="NIX10" s="1548"/>
      <c r="NIY10" s="1547">
        <f t="shared" ref="NIY10" si="4844">NIW10</f>
        <v>95000</v>
      </c>
      <c r="NIZ10" s="1548"/>
      <c r="NJA10" s="1547">
        <f t="shared" ref="NJA10" si="4845">NIY10</f>
        <v>95000</v>
      </c>
      <c r="NJB10" s="1548"/>
      <c r="NJC10" s="1547">
        <f t="shared" ref="NJC10" si="4846">NJA10</f>
        <v>95000</v>
      </c>
      <c r="NJD10" s="1548"/>
      <c r="NJE10" s="1547">
        <f t="shared" ref="NJE10" si="4847">NJC10</f>
        <v>95000</v>
      </c>
      <c r="NJF10" s="1548"/>
      <c r="NJG10" s="1547">
        <f t="shared" ref="NJG10" si="4848">NJE10</f>
        <v>95000</v>
      </c>
      <c r="NJH10" s="1548"/>
      <c r="NJI10" s="1547">
        <f t="shared" ref="NJI10" si="4849">NJG10</f>
        <v>95000</v>
      </c>
      <c r="NJJ10" s="1548"/>
      <c r="NJK10" s="1547">
        <f t="shared" ref="NJK10" si="4850">NJI10</f>
        <v>95000</v>
      </c>
      <c r="NJL10" s="1548"/>
      <c r="NJM10" s="1547">
        <f t="shared" ref="NJM10" si="4851">NJK10</f>
        <v>95000</v>
      </c>
      <c r="NJN10" s="1548"/>
      <c r="NJO10" s="1547">
        <f t="shared" ref="NJO10" si="4852">NJM10</f>
        <v>95000</v>
      </c>
      <c r="NJP10" s="1548"/>
      <c r="NJQ10" s="1547">
        <f t="shared" ref="NJQ10" si="4853">NJO10</f>
        <v>95000</v>
      </c>
      <c r="NJR10" s="1548"/>
      <c r="NJS10" s="1547">
        <f t="shared" ref="NJS10" si="4854">NJQ10</f>
        <v>95000</v>
      </c>
      <c r="NJT10" s="1548"/>
      <c r="NJU10" s="1547">
        <f t="shared" ref="NJU10" si="4855">NJS10</f>
        <v>95000</v>
      </c>
      <c r="NJV10" s="1548"/>
      <c r="NJW10" s="1547">
        <f t="shared" ref="NJW10" si="4856">NJU10</f>
        <v>95000</v>
      </c>
      <c r="NJX10" s="1548"/>
      <c r="NJY10" s="1547">
        <f t="shared" ref="NJY10" si="4857">NJW10</f>
        <v>95000</v>
      </c>
      <c r="NJZ10" s="1548"/>
      <c r="NKA10" s="1547">
        <f t="shared" ref="NKA10" si="4858">NJY10</f>
        <v>95000</v>
      </c>
      <c r="NKB10" s="1548"/>
      <c r="NKC10" s="1547">
        <f t="shared" ref="NKC10" si="4859">NKA10</f>
        <v>95000</v>
      </c>
      <c r="NKD10" s="1548"/>
      <c r="NKE10" s="1547">
        <f t="shared" ref="NKE10" si="4860">NKC10</f>
        <v>95000</v>
      </c>
      <c r="NKF10" s="1548"/>
      <c r="NKG10" s="1547">
        <f t="shared" ref="NKG10" si="4861">NKE10</f>
        <v>95000</v>
      </c>
      <c r="NKH10" s="1548"/>
      <c r="NKI10" s="1547">
        <f t="shared" ref="NKI10" si="4862">NKG10</f>
        <v>95000</v>
      </c>
      <c r="NKJ10" s="1548"/>
      <c r="NKK10" s="1547">
        <f t="shared" ref="NKK10" si="4863">NKI10</f>
        <v>95000</v>
      </c>
      <c r="NKL10" s="1548"/>
      <c r="NKM10" s="1547">
        <f t="shared" ref="NKM10" si="4864">NKK10</f>
        <v>95000</v>
      </c>
      <c r="NKN10" s="1548"/>
      <c r="NKO10" s="1547">
        <f t="shared" ref="NKO10" si="4865">NKM10</f>
        <v>95000</v>
      </c>
      <c r="NKP10" s="1548"/>
      <c r="NKQ10" s="1547">
        <f t="shared" ref="NKQ10" si="4866">NKO10</f>
        <v>95000</v>
      </c>
      <c r="NKR10" s="1548"/>
      <c r="NKS10" s="1547">
        <f t="shared" ref="NKS10" si="4867">NKQ10</f>
        <v>95000</v>
      </c>
      <c r="NKT10" s="1548"/>
      <c r="NKU10" s="1547">
        <f t="shared" ref="NKU10" si="4868">NKS10</f>
        <v>95000</v>
      </c>
      <c r="NKV10" s="1548"/>
      <c r="NKW10" s="1547">
        <f t="shared" ref="NKW10" si="4869">NKU10</f>
        <v>95000</v>
      </c>
      <c r="NKX10" s="1548"/>
      <c r="NKY10" s="1547">
        <f t="shared" ref="NKY10" si="4870">NKW10</f>
        <v>95000</v>
      </c>
      <c r="NKZ10" s="1548"/>
      <c r="NLA10" s="1547">
        <f t="shared" ref="NLA10" si="4871">NKY10</f>
        <v>95000</v>
      </c>
      <c r="NLB10" s="1548"/>
      <c r="NLC10" s="1547">
        <f t="shared" ref="NLC10" si="4872">NLA10</f>
        <v>95000</v>
      </c>
      <c r="NLD10" s="1548"/>
      <c r="NLE10" s="1547">
        <f t="shared" ref="NLE10" si="4873">NLC10</f>
        <v>95000</v>
      </c>
      <c r="NLF10" s="1548"/>
      <c r="NLG10" s="1547">
        <f t="shared" ref="NLG10" si="4874">NLE10</f>
        <v>95000</v>
      </c>
      <c r="NLH10" s="1548"/>
      <c r="NLI10" s="1547">
        <f t="shared" ref="NLI10" si="4875">NLG10</f>
        <v>95000</v>
      </c>
      <c r="NLJ10" s="1548"/>
      <c r="NLK10" s="1547">
        <f t="shared" ref="NLK10" si="4876">NLI10</f>
        <v>95000</v>
      </c>
      <c r="NLL10" s="1548"/>
      <c r="NLM10" s="1547">
        <f t="shared" ref="NLM10" si="4877">NLK10</f>
        <v>95000</v>
      </c>
      <c r="NLN10" s="1548"/>
      <c r="NLO10" s="1547">
        <f t="shared" ref="NLO10" si="4878">NLM10</f>
        <v>95000</v>
      </c>
      <c r="NLP10" s="1548"/>
      <c r="NLQ10" s="1547">
        <f t="shared" ref="NLQ10" si="4879">NLO10</f>
        <v>95000</v>
      </c>
      <c r="NLR10" s="1548"/>
      <c r="NLS10" s="1547">
        <f t="shared" ref="NLS10" si="4880">NLQ10</f>
        <v>95000</v>
      </c>
      <c r="NLT10" s="1548"/>
      <c r="NLU10" s="1547">
        <f t="shared" ref="NLU10" si="4881">NLS10</f>
        <v>95000</v>
      </c>
      <c r="NLV10" s="1548"/>
      <c r="NLW10" s="1547">
        <f t="shared" ref="NLW10" si="4882">NLU10</f>
        <v>95000</v>
      </c>
      <c r="NLX10" s="1548"/>
      <c r="NLY10" s="1547">
        <f t="shared" ref="NLY10" si="4883">NLW10</f>
        <v>95000</v>
      </c>
      <c r="NLZ10" s="1548"/>
      <c r="NMA10" s="1547">
        <f t="shared" ref="NMA10" si="4884">NLY10</f>
        <v>95000</v>
      </c>
      <c r="NMB10" s="1548"/>
      <c r="NMC10" s="1547">
        <f t="shared" ref="NMC10" si="4885">NMA10</f>
        <v>95000</v>
      </c>
      <c r="NMD10" s="1548"/>
      <c r="NME10" s="1547">
        <f t="shared" ref="NME10" si="4886">NMC10</f>
        <v>95000</v>
      </c>
      <c r="NMF10" s="1548"/>
      <c r="NMG10" s="1547">
        <f t="shared" ref="NMG10" si="4887">NME10</f>
        <v>95000</v>
      </c>
      <c r="NMH10" s="1548"/>
      <c r="NMI10" s="1547">
        <f t="shared" ref="NMI10" si="4888">NMG10</f>
        <v>95000</v>
      </c>
      <c r="NMJ10" s="1548"/>
      <c r="NMK10" s="1547">
        <f t="shared" ref="NMK10" si="4889">NMI10</f>
        <v>95000</v>
      </c>
      <c r="NML10" s="1548"/>
      <c r="NMM10" s="1547">
        <f t="shared" ref="NMM10" si="4890">NMK10</f>
        <v>95000</v>
      </c>
      <c r="NMN10" s="1548"/>
      <c r="NMO10" s="1547">
        <f t="shared" ref="NMO10" si="4891">NMM10</f>
        <v>95000</v>
      </c>
      <c r="NMP10" s="1548"/>
      <c r="NMQ10" s="1547">
        <f t="shared" ref="NMQ10" si="4892">NMO10</f>
        <v>95000</v>
      </c>
      <c r="NMR10" s="1548"/>
      <c r="NMS10" s="1547">
        <f t="shared" ref="NMS10" si="4893">NMQ10</f>
        <v>95000</v>
      </c>
      <c r="NMT10" s="1548"/>
      <c r="NMU10" s="1547">
        <f t="shared" ref="NMU10" si="4894">NMS10</f>
        <v>95000</v>
      </c>
      <c r="NMV10" s="1548"/>
      <c r="NMW10" s="1547">
        <f t="shared" ref="NMW10" si="4895">NMU10</f>
        <v>95000</v>
      </c>
      <c r="NMX10" s="1548"/>
      <c r="NMY10" s="1547">
        <f t="shared" ref="NMY10" si="4896">NMW10</f>
        <v>95000</v>
      </c>
      <c r="NMZ10" s="1548"/>
      <c r="NNA10" s="1547">
        <f t="shared" ref="NNA10" si="4897">NMY10</f>
        <v>95000</v>
      </c>
      <c r="NNB10" s="1548"/>
      <c r="NNC10" s="1547">
        <f t="shared" ref="NNC10" si="4898">NNA10</f>
        <v>95000</v>
      </c>
      <c r="NND10" s="1548"/>
      <c r="NNE10" s="1547">
        <f t="shared" ref="NNE10" si="4899">NNC10</f>
        <v>95000</v>
      </c>
      <c r="NNF10" s="1548"/>
      <c r="NNG10" s="1547">
        <f t="shared" ref="NNG10" si="4900">NNE10</f>
        <v>95000</v>
      </c>
      <c r="NNH10" s="1548"/>
      <c r="NNI10" s="1547">
        <f t="shared" ref="NNI10" si="4901">NNG10</f>
        <v>95000</v>
      </c>
      <c r="NNJ10" s="1548"/>
      <c r="NNK10" s="1547">
        <f t="shared" ref="NNK10" si="4902">NNI10</f>
        <v>95000</v>
      </c>
      <c r="NNL10" s="1548"/>
      <c r="NNM10" s="1547">
        <f t="shared" ref="NNM10" si="4903">NNK10</f>
        <v>95000</v>
      </c>
      <c r="NNN10" s="1548"/>
      <c r="NNO10" s="1547">
        <f t="shared" ref="NNO10" si="4904">NNM10</f>
        <v>95000</v>
      </c>
      <c r="NNP10" s="1548"/>
      <c r="NNQ10" s="1547">
        <f t="shared" ref="NNQ10" si="4905">NNO10</f>
        <v>95000</v>
      </c>
      <c r="NNR10" s="1548"/>
      <c r="NNS10" s="1547">
        <f t="shared" ref="NNS10" si="4906">NNQ10</f>
        <v>95000</v>
      </c>
      <c r="NNT10" s="1548"/>
      <c r="NNU10" s="1547">
        <f t="shared" ref="NNU10" si="4907">NNS10</f>
        <v>95000</v>
      </c>
      <c r="NNV10" s="1548"/>
      <c r="NNW10" s="1547">
        <f t="shared" ref="NNW10" si="4908">NNU10</f>
        <v>95000</v>
      </c>
      <c r="NNX10" s="1548"/>
      <c r="NNY10" s="1547">
        <f t="shared" ref="NNY10" si="4909">NNW10</f>
        <v>95000</v>
      </c>
      <c r="NNZ10" s="1548"/>
      <c r="NOA10" s="1547">
        <f t="shared" ref="NOA10" si="4910">NNY10</f>
        <v>95000</v>
      </c>
      <c r="NOB10" s="1548"/>
      <c r="NOC10" s="1547">
        <f t="shared" ref="NOC10" si="4911">NOA10</f>
        <v>95000</v>
      </c>
      <c r="NOD10" s="1548"/>
      <c r="NOE10" s="1547">
        <f t="shared" ref="NOE10" si="4912">NOC10</f>
        <v>95000</v>
      </c>
      <c r="NOF10" s="1548"/>
      <c r="NOG10" s="1547">
        <f t="shared" ref="NOG10" si="4913">NOE10</f>
        <v>95000</v>
      </c>
      <c r="NOH10" s="1548"/>
      <c r="NOI10" s="1547">
        <f t="shared" ref="NOI10" si="4914">NOG10</f>
        <v>95000</v>
      </c>
      <c r="NOJ10" s="1548"/>
      <c r="NOK10" s="1547">
        <f t="shared" ref="NOK10" si="4915">NOI10</f>
        <v>95000</v>
      </c>
      <c r="NOL10" s="1548"/>
      <c r="NOM10" s="1547">
        <f t="shared" ref="NOM10" si="4916">NOK10</f>
        <v>95000</v>
      </c>
      <c r="NON10" s="1548"/>
      <c r="NOO10" s="1547">
        <f t="shared" ref="NOO10" si="4917">NOM10</f>
        <v>95000</v>
      </c>
      <c r="NOP10" s="1548"/>
      <c r="NOQ10" s="1547">
        <f t="shared" ref="NOQ10" si="4918">NOO10</f>
        <v>95000</v>
      </c>
      <c r="NOR10" s="1548"/>
      <c r="NOS10" s="1547">
        <f t="shared" ref="NOS10" si="4919">NOQ10</f>
        <v>95000</v>
      </c>
      <c r="NOT10" s="1548"/>
      <c r="NOU10" s="1547">
        <f t="shared" ref="NOU10" si="4920">NOS10</f>
        <v>95000</v>
      </c>
      <c r="NOV10" s="1548"/>
      <c r="NOW10" s="1547">
        <f t="shared" ref="NOW10" si="4921">NOU10</f>
        <v>95000</v>
      </c>
      <c r="NOX10" s="1548"/>
      <c r="NOY10" s="1547">
        <f t="shared" ref="NOY10" si="4922">NOW10</f>
        <v>95000</v>
      </c>
      <c r="NOZ10" s="1548"/>
      <c r="NPA10" s="1547">
        <f t="shared" ref="NPA10" si="4923">NOY10</f>
        <v>95000</v>
      </c>
      <c r="NPB10" s="1548"/>
      <c r="NPC10" s="1547">
        <f t="shared" ref="NPC10" si="4924">NPA10</f>
        <v>95000</v>
      </c>
      <c r="NPD10" s="1548"/>
      <c r="NPE10" s="1547">
        <f t="shared" ref="NPE10" si="4925">NPC10</f>
        <v>95000</v>
      </c>
      <c r="NPF10" s="1548"/>
      <c r="NPG10" s="1547">
        <f t="shared" ref="NPG10" si="4926">NPE10</f>
        <v>95000</v>
      </c>
      <c r="NPH10" s="1548"/>
      <c r="NPI10" s="1547">
        <f t="shared" ref="NPI10" si="4927">NPG10</f>
        <v>95000</v>
      </c>
      <c r="NPJ10" s="1548"/>
      <c r="NPK10" s="1547">
        <f t="shared" ref="NPK10" si="4928">NPI10</f>
        <v>95000</v>
      </c>
      <c r="NPL10" s="1548"/>
      <c r="NPM10" s="1547">
        <f t="shared" ref="NPM10" si="4929">NPK10</f>
        <v>95000</v>
      </c>
      <c r="NPN10" s="1548"/>
      <c r="NPO10" s="1547">
        <f t="shared" ref="NPO10" si="4930">NPM10</f>
        <v>95000</v>
      </c>
      <c r="NPP10" s="1548"/>
      <c r="NPQ10" s="1547">
        <f t="shared" ref="NPQ10" si="4931">NPO10</f>
        <v>95000</v>
      </c>
      <c r="NPR10" s="1548"/>
      <c r="NPS10" s="1547">
        <f t="shared" ref="NPS10" si="4932">NPQ10</f>
        <v>95000</v>
      </c>
      <c r="NPT10" s="1548"/>
      <c r="NPU10" s="1547">
        <f t="shared" ref="NPU10" si="4933">NPS10</f>
        <v>95000</v>
      </c>
      <c r="NPV10" s="1548"/>
      <c r="NPW10" s="1547">
        <f t="shared" ref="NPW10" si="4934">NPU10</f>
        <v>95000</v>
      </c>
      <c r="NPX10" s="1548"/>
      <c r="NPY10" s="1547">
        <f t="shared" ref="NPY10" si="4935">NPW10</f>
        <v>95000</v>
      </c>
      <c r="NPZ10" s="1548"/>
      <c r="NQA10" s="1547">
        <f t="shared" ref="NQA10" si="4936">NPY10</f>
        <v>95000</v>
      </c>
      <c r="NQB10" s="1548"/>
      <c r="NQC10" s="1547">
        <f t="shared" ref="NQC10" si="4937">NQA10</f>
        <v>95000</v>
      </c>
      <c r="NQD10" s="1548"/>
      <c r="NQE10" s="1547">
        <f t="shared" ref="NQE10" si="4938">NQC10</f>
        <v>95000</v>
      </c>
      <c r="NQF10" s="1548"/>
      <c r="NQG10" s="1547">
        <f t="shared" ref="NQG10" si="4939">NQE10</f>
        <v>95000</v>
      </c>
      <c r="NQH10" s="1548"/>
      <c r="NQI10" s="1547">
        <f t="shared" ref="NQI10" si="4940">NQG10</f>
        <v>95000</v>
      </c>
      <c r="NQJ10" s="1548"/>
      <c r="NQK10" s="1547">
        <f t="shared" ref="NQK10" si="4941">NQI10</f>
        <v>95000</v>
      </c>
      <c r="NQL10" s="1548"/>
      <c r="NQM10" s="1547">
        <f t="shared" ref="NQM10" si="4942">NQK10</f>
        <v>95000</v>
      </c>
      <c r="NQN10" s="1548"/>
      <c r="NQO10" s="1547">
        <f t="shared" ref="NQO10" si="4943">NQM10</f>
        <v>95000</v>
      </c>
      <c r="NQP10" s="1548"/>
      <c r="NQQ10" s="1547">
        <f t="shared" ref="NQQ10" si="4944">NQO10</f>
        <v>95000</v>
      </c>
      <c r="NQR10" s="1548"/>
      <c r="NQS10" s="1547">
        <f t="shared" ref="NQS10" si="4945">NQQ10</f>
        <v>95000</v>
      </c>
      <c r="NQT10" s="1548"/>
      <c r="NQU10" s="1547">
        <f t="shared" ref="NQU10" si="4946">NQS10</f>
        <v>95000</v>
      </c>
      <c r="NQV10" s="1548"/>
      <c r="NQW10" s="1547">
        <f t="shared" ref="NQW10" si="4947">NQU10</f>
        <v>95000</v>
      </c>
      <c r="NQX10" s="1548"/>
      <c r="NQY10" s="1547">
        <f t="shared" ref="NQY10" si="4948">NQW10</f>
        <v>95000</v>
      </c>
      <c r="NQZ10" s="1548"/>
      <c r="NRA10" s="1547">
        <f t="shared" ref="NRA10" si="4949">NQY10</f>
        <v>95000</v>
      </c>
      <c r="NRB10" s="1548"/>
      <c r="NRC10" s="1547">
        <f t="shared" ref="NRC10" si="4950">NRA10</f>
        <v>95000</v>
      </c>
      <c r="NRD10" s="1548"/>
      <c r="NRE10" s="1547">
        <f t="shared" ref="NRE10" si="4951">NRC10</f>
        <v>95000</v>
      </c>
      <c r="NRF10" s="1548"/>
      <c r="NRG10" s="1547">
        <f t="shared" ref="NRG10" si="4952">NRE10</f>
        <v>95000</v>
      </c>
      <c r="NRH10" s="1548"/>
      <c r="NRI10" s="1547">
        <f t="shared" ref="NRI10" si="4953">NRG10</f>
        <v>95000</v>
      </c>
      <c r="NRJ10" s="1548"/>
      <c r="NRK10" s="1547">
        <f t="shared" ref="NRK10" si="4954">NRI10</f>
        <v>95000</v>
      </c>
      <c r="NRL10" s="1548"/>
      <c r="NRM10" s="1547">
        <f t="shared" ref="NRM10" si="4955">NRK10</f>
        <v>95000</v>
      </c>
      <c r="NRN10" s="1548"/>
      <c r="NRO10" s="1547">
        <f t="shared" ref="NRO10" si="4956">NRM10</f>
        <v>95000</v>
      </c>
      <c r="NRP10" s="1548"/>
      <c r="NRQ10" s="1547">
        <f t="shared" ref="NRQ10" si="4957">NRO10</f>
        <v>95000</v>
      </c>
      <c r="NRR10" s="1548"/>
      <c r="NRS10" s="1547">
        <f t="shared" ref="NRS10" si="4958">NRQ10</f>
        <v>95000</v>
      </c>
      <c r="NRT10" s="1548"/>
      <c r="NRU10" s="1547">
        <f t="shared" ref="NRU10" si="4959">NRS10</f>
        <v>95000</v>
      </c>
      <c r="NRV10" s="1548"/>
      <c r="NRW10" s="1547">
        <f t="shared" ref="NRW10" si="4960">NRU10</f>
        <v>95000</v>
      </c>
      <c r="NRX10" s="1548"/>
      <c r="NRY10" s="1547">
        <f t="shared" ref="NRY10" si="4961">NRW10</f>
        <v>95000</v>
      </c>
      <c r="NRZ10" s="1548"/>
      <c r="NSA10" s="1547">
        <f t="shared" ref="NSA10" si="4962">NRY10</f>
        <v>95000</v>
      </c>
      <c r="NSB10" s="1548"/>
      <c r="NSC10" s="1547">
        <f t="shared" ref="NSC10" si="4963">NSA10</f>
        <v>95000</v>
      </c>
      <c r="NSD10" s="1548"/>
      <c r="NSE10" s="1547">
        <f t="shared" ref="NSE10" si="4964">NSC10</f>
        <v>95000</v>
      </c>
      <c r="NSF10" s="1548"/>
      <c r="NSG10" s="1547">
        <f t="shared" ref="NSG10" si="4965">NSE10</f>
        <v>95000</v>
      </c>
      <c r="NSH10" s="1548"/>
      <c r="NSI10" s="1547">
        <f t="shared" ref="NSI10" si="4966">NSG10</f>
        <v>95000</v>
      </c>
      <c r="NSJ10" s="1548"/>
      <c r="NSK10" s="1547">
        <f t="shared" ref="NSK10" si="4967">NSI10</f>
        <v>95000</v>
      </c>
      <c r="NSL10" s="1548"/>
      <c r="NSM10" s="1547">
        <f t="shared" ref="NSM10" si="4968">NSK10</f>
        <v>95000</v>
      </c>
      <c r="NSN10" s="1548"/>
      <c r="NSO10" s="1547">
        <f t="shared" ref="NSO10" si="4969">NSM10</f>
        <v>95000</v>
      </c>
      <c r="NSP10" s="1548"/>
      <c r="NSQ10" s="1547">
        <f t="shared" ref="NSQ10" si="4970">NSO10</f>
        <v>95000</v>
      </c>
      <c r="NSR10" s="1548"/>
      <c r="NSS10" s="1547">
        <f t="shared" ref="NSS10" si="4971">NSQ10</f>
        <v>95000</v>
      </c>
      <c r="NST10" s="1548"/>
      <c r="NSU10" s="1547">
        <f t="shared" ref="NSU10" si="4972">NSS10</f>
        <v>95000</v>
      </c>
      <c r="NSV10" s="1548"/>
      <c r="NSW10" s="1547">
        <f t="shared" ref="NSW10" si="4973">NSU10</f>
        <v>95000</v>
      </c>
      <c r="NSX10" s="1548"/>
      <c r="NSY10" s="1547">
        <f t="shared" ref="NSY10" si="4974">NSW10</f>
        <v>95000</v>
      </c>
      <c r="NSZ10" s="1548"/>
      <c r="NTA10" s="1547">
        <f t="shared" ref="NTA10" si="4975">NSY10</f>
        <v>95000</v>
      </c>
      <c r="NTB10" s="1548"/>
      <c r="NTC10" s="1547">
        <f t="shared" ref="NTC10" si="4976">NTA10</f>
        <v>95000</v>
      </c>
      <c r="NTD10" s="1548"/>
      <c r="NTE10" s="1547">
        <f t="shared" ref="NTE10" si="4977">NTC10</f>
        <v>95000</v>
      </c>
      <c r="NTF10" s="1548"/>
      <c r="NTG10" s="1547">
        <f t="shared" ref="NTG10" si="4978">NTE10</f>
        <v>95000</v>
      </c>
      <c r="NTH10" s="1548"/>
      <c r="NTI10" s="1547">
        <f t="shared" ref="NTI10" si="4979">NTG10</f>
        <v>95000</v>
      </c>
      <c r="NTJ10" s="1548"/>
      <c r="NTK10" s="1547">
        <f t="shared" ref="NTK10" si="4980">NTI10</f>
        <v>95000</v>
      </c>
      <c r="NTL10" s="1548"/>
      <c r="NTM10" s="1547">
        <f t="shared" ref="NTM10" si="4981">NTK10</f>
        <v>95000</v>
      </c>
      <c r="NTN10" s="1548"/>
      <c r="NTO10" s="1547">
        <f t="shared" ref="NTO10" si="4982">NTM10</f>
        <v>95000</v>
      </c>
      <c r="NTP10" s="1548"/>
      <c r="NTQ10" s="1547">
        <f t="shared" ref="NTQ10" si="4983">NTO10</f>
        <v>95000</v>
      </c>
      <c r="NTR10" s="1548"/>
      <c r="NTS10" s="1547">
        <f t="shared" ref="NTS10" si="4984">NTQ10</f>
        <v>95000</v>
      </c>
      <c r="NTT10" s="1548"/>
      <c r="NTU10" s="1547">
        <f t="shared" ref="NTU10" si="4985">NTS10</f>
        <v>95000</v>
      </c>
      <c r="NTV10" s="1548"/>
      <c r="NTW10" s="1547">
        <f t="shared" ref="NTW10" si="4986">NTU10</f>
        <v>95000</v>
      </c>
      <c r="NTX10" s="1548"/>
      <c r="NTY10" s="1547">
        <f t="shared" ref="NTY10" si="4987">NTW10</f>
        <v>95000</v>
      </c>
      <c r="NTZ10" s="1548"/>
      <c r="NUA10" s="1547">
        <f t="shared" ref="NUA10" si="4988">NTY10</f>
        <v>95000</v>
      </c>
      <c r="NUB10" s="1548"/>
      <c r="NUC10" s="1547">
        <f t="shared" ref="NUC10" si="4989">NUA10</f>
        <v>95000</v>
      </c>
      <c r="NUD10" s="1548"/>
      <c r="NUE10" s="1547">
        <f t="shared" ref="NUE10" si="4990">NUC10</f>
        <v>95000</v>
      </c>
      <c r="NUF10" s="1548"/>
      <c r="NUG10" s="1547">
        <f t="shared" ref="NUG10" si="4991">NUE10</f>
        <v>95000</v>
      </c>
      <c r="NUH10" s="1548"/>
      <c r="NUI10" s="1547">
        <f t="shared" ref="NUI10" si="4992">NUG10</f>
        <v>95000</v>
      </c>
      <c r="NUJ10" s="1548"/>
      <c r="NUK10" s="1547">
        <f t="shared" ref="NUK10" si="4993">NUI10</f>
        <v>95000</v>
      </c>
      <c r="NUL10" s="1548"/>
      <c r="NUM10" s="1547">
        <f t="shared" ref="NUM10" si="4994">NUK10</f>
        <v>95000</v>
      </c>
      <c r="NUN10" s="1548"/>
      <c r="NUO10" s="1547">
        <f t="shared" ref="NUO10" si="4995">NUM10</f>
        <v>95000</v>
      </c>
      <c r="NUP10" s="1548"/>
      <c r="NUQ10" s="1547">
        <f t="shared" ref="NUQ10" si="4996">NUO10</f>
        <v>95000</v>
      </c>
      <c r="NUR10" s="1548"/>
      <c r="NUS10" s="1547">
        <f t="shared" ref="NUS10" si="4997">NUQ10</f>
        <v>95000</v>
      </c>
      <c r="NUT10" s="1548"/>
      <c r="NUU10" s="1547">
        <f t="shared" ref="NUU10" si="4998">NUS10</f>
        <v>95000</v>
      </c>
      <c r="NUV10" s="1548"/>
      <c r="NUW10" s="1547">
        <f t="shared" ref="NUW10" si="4999">NUU10</f>
        <v>95000</v>
      </c>
      <c r="NUX10" s="1548"/>
      <c r="NUY10" s="1547">
        <f t="shared" ref="NUY10" si="5000">NUW10</f>
        <v>95000</v>
      </c>
      <c r="NUZ10" s="1548"/>
      <c r="NVA10" s="1547">
        <f t="shared" ref="NVA10" si="5001">NUY10</f>
        <v>95000</v>
      </c>
      <c r="NVB10" s="1548"/>
      <c r="NVC10" s="1547">
        <f t="shared" ref="NVC10" si="5002">NVA10</f>
        <v>95000</v>
      </c>
      <c r="NVD10" s="1548"/>
      <c r="NVE10" s="1547">
        <f t="shared" ref="NVE10" si="5003">NVC10</f>
        <v>95000</v>
      </c>
      <c r="NVF10" s="1548"/>
      <c r="NVG10" s="1547">
        <f t="shared" ref="NVG10" si="5004">NVE10</f>
        <v>95000</v>
      </c>
      <c r="NVH10" s="1548"/>
      <c r="NVI10" s="1547">
        <f t="shared" ref="NVI10" si="5005">NVG10</f>
        <v>95000</v>
      </c>
      <c r="NVJ10" s="1548"/>
      <c r="NVK10" s="1547">
        <f t="shared" ref="NVK10" si="5006">NVI10</f>
        <v>95000</v>
      </c>
      <c r="NVL10" s="1548"/>
      <c r="NVM10" s="1547">
        <f t="shared" ref="NVM10" si="5007">NVK10</f>
        <v>95000</v>
      </c>
      <c r="NVN10" s="1548"/>
      <c r="NVO10" s="1547">
        <f t="shared" ref="NVO10" si="5008">NVM10</f>
        <v>95000</v>
      </c>
      <c r="NVP10" s="1548"/>
      <c r="NVQ10" s="1547">
        <f t="shared" ref="NVQ10" si="5009">NVO10</f>
        <v>95000</v>
      </c>
      <c r="NVR10" s="1548"/>
      <c r="NVS10" s="1547">
        <f t="shared" ref="NVS10" si="5010">NVQ10</f>
        <v>95000</v>
      </c>
      <c r="NVT10" s="1548"/>
      <c r="NVU10" s="1547">
        <f t="shared" ref="NVU10" si="5011">NVS10</f>
        <v>95000</v>
      </c>
      <c r="NVV10" s="1548"/>
      <c r="NVW10" s="1547">
        <f t="shared" ref="NVW10" si="5012">NVU10</f>
        <v>95000</v>
      </c>
      <c r="NVX10" s="1548"/>
      <c r="NVY10" s="1547">
        <f t="shared" ref="NVY10" si="5013">NVW10</f>
        <v>95000</v>
      </c>
      <c r="NVZ10" s="1548"/>
      <c r="NWA10" s="1547">
        <f t="shared" ref="NWA10" si="5014">NVY10</f>
        <v>95000</v>
      </c>
      <c r="NWB10" s="1548"/>
      <c r="NWC10" s="1547">
        <f t="shared" ref="NWC10" si="5015">NWA10</f>
        <v>95000</v>
      </c>
      <c r="NWD10" s="1548"/>
      <c r="NWE10" s="1547">
        <f t="shared" ref="NWE10" si="5016">NWC10</f>
        <v>95000</v>
      </c>
      <c r="NWF10" s="1548"/>
      <c r="NWG10" s="1547">
        <f t="shared" ref="NWG10" si="5017">NWE10</f>
        <v>95000</v>
      </c>
      <c r="NWH10" s="1548"/>
      <c r="NWI10" s="1547">
        <f t="shared" ref="NWI10" si="5018">NWG10</f>
        <v>95000</v>
      </c>
      <c r="NWJ10" s="1548"/>
      <c r="NWK10" s="1547">
        <f t="shared" ref="NWK10" si="5019">NWI10</f>
        <v>95000</v>
      </c>
      <c r="NWL10" s="1548"/>
      <c r="NWM10" s="1547">
        <f t="shared" ref="NWM10" si="5020">NWK10</f>
        <v>95000</v>
      </c>
      <c r="NWN10" s="1548"/>
      <c r="NWO10" s="1547">
        <f t="shared" ref="NWO10" si="5021">NWM10</f>
        <v>95000</v>
      </c>
      <c r="NWP10" s="1548"/>
      <c r="NWQ10" s="1547">
        <f t="shared" ref="NWQ10" si="5022">NWO10</f>
        <v>95000</v>
      </c>
      <c r="NWR10" s="1548"/>
      <c r="NWS10" s="1547">
        <f t="shared" ref="NWS10" si="5023">NWQ10</f>
        <v>95000</v>
      </c>
      <c r="NWT10" s="1548"/>
      <c r="NWU10" s="1547">
        <f t="shared" ref="NWU10" si="5024">NWS10</f>
        <v>95000</v>
      </c>
      <c r="NWV10" s="1548"/>
      <c r="NWW10" s="1547">
        <f t="shared" ref="NWW10" si="5025">NWU10</f>
        <v>95000</v>
      </c>
      <c r="NWX10" s="1548"/>
      <c r="NWY10" s="1547">
        <f t="shared" ref="NWY10" si="5026">NWW10</f>
        <v>95000</v>
      </c>
      <c r="NWZ10" s="1548"/>
      <c r="NXA10" s="1547">
        <f t="shared" ref="NXA10" si="5027">NWY10</f>
        <v>95000</v>
      </c>
      <c r="NXB10" s="1548"/>
      <c r="NXC10" s="1547">
        <f t="shared" ref="NXC10" si="5028">NXA10</f>
        <v>95000</v>
      </c>
      <c r="NXD10" s="1548"/>
      <c r="NXE10" s="1547">
        <f t="shared" ref="NXE10" si="5029">NXC10</f>
        <v>95000</v>
      </c>
      <c r="NXF10" s="1548"/>
      <c r="NXG10" s="1547">
        <f t="shared" ref="NXG10" si="5030">NXE10</f>
        <v>95000</v>
      </c>
      <c r="NXH10" s="1548"/>
      <c r="NXI10" s="1547">
        <f t="shared" ref="NXI10" si="5031">NXG10</f>
        <v>95000</v>
      </c>
      <c r="NXJ10" s="1548"/>
      <c r="NXK10" s="1547">
        <f t="shared" ref="NXK10" si="5032">NXI10</f>
        <v>95000</v>
      </c>
      <c r="NXL10" s="1548"/>
      <c r="NXM10" s="1547">
        <f t="shared" ref="NXM10" si="5033">NXK10</f>
        <v>95000</v>
      </c>
      <c r="NXN10" s="1548"/>
      <c r="NXO10" s="1547">
        <f t="shared" ref="NXO10" si="5034">NXM10</f>
        <v>95000</v>
      </c>
      <c r="NXP10" s="1548"/>
      <c r="NXQ10" s="1547">
        <f t="shared" ref="NXQ10" si="5035">NXO10</f>
        <v>95000</v>
      </c>
      <c r="NXR10" s="1548"/>
      <c r="NXS10" s="1547">
        <f t="shared" ref="NXS10" si="5036">NXQ10</f>
        <v>95000</v>
      </c>
      <c r="NXT10" s="1548"/>
      <c r="NXU10" s="1547">
        <f t="shared" ref="NXU10" si="5037">NXS10</f>
        <v>95000</v>
      </c>
      <c r="NXV10" s="1548"/>
      <c r="NXW10" s="1547">
        <f t="shared" ref="NXW10" si="5038">NXU10</f>
        <v>95000</v>
      </c>
      <c r="NXX10" s="1548"/>
      <c r="NXY10" s="1547">
        <f t="shared" ref="NXY10" si="5039">NXW10</f>
        <v>95000</v>
      </c>
      <c r="NXZ10" s="1548"/>
      <c r="NYA10" s="1547">
        <f t="shared" ref="NYA10" si="5040">NXY10</f>
        <v>95000</v>
      </c>
      <c r="NYB10" s="1548"/>
      <c r="NYC10" s="1547">
        <f t="shared" ref="NYC10" si="5041">NYA10</f>
        <v>95000</v>
      </c>
      <c r="NYD10" s="1548"/>
      <c r="NYE10" s="1547">
        <f t="shared" ref="NYE10" si="5042">NYC10</f>
        <v>95000</v>
      </c>
      <c r="NYF10" s="1548"/>
      <c r="NYG10" s="1547">
        <f t="shared" ref="NYG10" si="5043">NYE10</f>
        <v>95000</v>
      </c>
      <c r="NYH10" s="1548"/>
      <c r="NYI10" s="1547">
        <f t="shared" ref="NYI10" si="5044">NYG10</f>
        <v>95000</v>
      </c>
      <c r="NYJ10" s="1548"/>
      <c r="NYK10" s="1547">
        <f t="shared" ref="NYK10" si="5045">NYI10</f>
        <v>95000</v>
      </c>
      <c r="NYL10" s="1548"/>
      <c r="NYM10" s="1547">
        <f t="shared" ref="NYM10" si="5046">NYK10</f>
        <v>95000</v>
      </c>
      <c r="NYN10" s="1548"/>
      <c r="NYO10" s="1547">
        <f t="shared" ref="NYO10" si="5047">NYM10</f>
        <v>95000</v>
      </c>
      <c r="NYP10" s="1548"/>
      <c r="NYQ10" s="1547">
        <f t="shared" ref="NYQ10" si="5048">NYO10</f>
        <v>95000</v>
      </c>
      <c r="NYR10" s="1548"/>
      <c r="NYS10" s="1547">
        <f t="shared" ref="NYS10" si="5049">NYQ10</f>
        <v>95000</v>
      </c>
      <c r="NYT10" s="1548"/>
      <c r="NYU10" s="1547">
        <f t="shared" ref="NYU10" si="5050">NYS10</f>
        <v>95000</v>
      </c>
      <c r="NYV10" s="1548"/>
      <c r="NYW10" s="1547">
        <f t="shared" ref="NYW10" si="5051">NYU10</f>
        <v>95000</v>
      </c>
      <c r="NYX10" s="1548"/>
      <c r="NYY10" s="1547">
        <f t="shared" ref="NYY10" si="5052">NYW10</f>
        <v>95000</v>
      </c>
      <c r="NYZ10" s="1548"/>
      <c r="NZA10" s="1547">
        <f t="shared" ref="NZA10" si="5053">NYY10</f>
        <v>95000</v>
      </c>
      <c r="NZB10" s="1548"/>
      <c r="NZC10" s="1547">
        <f t="shared" ref="NZC10" si="5054">NZA10</f>
        <v>95000</v>
      </c>
      <c r="NZD10" s="1548"/>
      <c r="NZE10" s="1547">
        <f t="shared" ref="NZE10" si="5055">NZC10</f>
        <v>95000</v>
      </c>
      <c r="NZF10" s="1548"/>
      <c r="NZG10" s="1547">
        <f t="shared" ref="NZG10" si="5056">NZE10</f>
        <v>95000</v>
      </c>
      <c r="NZH10" s="1548"/>
      <c r="NZI10" s="1547">
        <f t="shared" ref="NZI10" si="5057">NZG10</f>
        <v>95000</v>
      </c>
      <c r="NZJ10" s="1548"/>
      <c r="NZK10" s="1547">
        <f t="shared" ref="NZK10" si="5058">NZI10</f>
        <v>95000</v>
      </c>
      <c r="NZL10" s="1548"/>
      <c r="NZM10" s="1547">
        <f t="shared" ref="NZM10" si="5059">NZK10</f>
        <v>95000</v>
      </c>
      <c r="NZN10" s="1548"/>
      <c r="NZO10" s="1547">
        <f t="shared" ref="NZO10" si="5060">NZM10</f>
        <v>95000</v>
      </c>
      <c r="NZP10" s="1548"/>
      <c r="NZQ10" s="1547">
        <f t="shared" ref="NZQ10" si="5061">NZO10</f>
        <v>95000</v>
      </c>
      <c r="NZR10" s="1548"/>
      <c r="NZS10" s="1547">
        <f t="shared" ref="NZS10" si="5062">NZQ10</f>
        <v>95000</v>
      </c>
      <c r="NZT10" s="1548"/>
      <c r="NZU10" s="1547">
        <f t="shared" ref="NZU10" si="5063">NZS10</f>
        <v>95000</v>
      </c>
      <c r="NZV10" s="1548"/>
      <c r="NZW10" s="1547">
        <f t="shared" ref="NZW10" si="5064">NZU10</f>
        <v>95000</v>
      </c>
      <c r="NZX10" s="1548"/>
      <c r="NZY10" s="1547">
        <f t="shared" ref="NZY10" si="5065">NZW10</f>
        <v>95000</v>
      </c>
      <c r="NZZ10" s="1548"/>
      <c r="OAA10" s="1547">
        <f t="shared" ref="OAA10" si="5066">NZY10</f>
        <v>95000</v>
      </c>
      <c r="OAB10" s="1548"/>
      <c r="OAC10" s="1547">
        <f t="shared" ref="OAC10" si="5067">OAA10</f>
        <v>95000</v>
      </c>
      <c r="OAD10" s="1548"/>
      <c r="OAE10" s="1547">
        <f t="shared" ref="OAE10" si="5068">OAC10</f>
        <v>95000</v>
      </c>
      <c r="OAF10" s="1548"/>
      <c r="OAG10" s="1547">
        <f t="shared" ref="OAG10" si="5069">OAE10</f>
        <v>95000</v>
      </c>
      <c r="OAH10" s="1548"/>
      <c r="OAI10" s="1547">
        <f t="shared" ref="OAI10" si="5070">OAG10</f>
        <v>95000</v>
      </c>
      <c r="OAJ10" s="1548"/>
      <c r="OAK10" s="1547">
        <f t="shared" ref="OAK10" si="5071">OAI10</f>
        <v>95000</v>
      </c>
      <c r="OAL10" s="1548"/>
      <c r="OAM10" s="1547">
        <f t="shared" ref="OAM10" si="5072">OAK10</f>
        <v>95000</v>
      </c>
      <c r="OAN10" s="1548"/>
      <c r="OAO10" s="1547">
        <f t="shared" ref="OAO10" si="5073">OAM10</f>
        <v>95000</v>
      </c>
      <c r="OAP10" s="1548"/>
      <c r="OAQ10" s="1547">
        <f t="shared" ref="OAQ10" si="5074">OAO10</f>
        <v>95000</v>
      </c>
      <c r="OAR10" s="1548"/>
      <c r="OAS10" s="1547">
        <f t="shared" ref="OAS10" si="5075">OAQ10</f>
        <v>95000</v>
      </c>
      <c r="OAT10" s="1548"/>
      <c r="OAU10" s="1547">
        <f t="shared" ref="OAU10" si="5076">OAS10</f>
        <v>95000</v>
      </c>
      <c r="OAV10" s="1548"/>
      <c r="OAW10" s="1547">
        <f t="shared" ref="OAW10" si="5077">OAU10</f>
        <v>95000</v>
      </c>
      <c r="OAX10" s="1548"/>
      <c r="OAY10" s="1547">
        <f t="shared" ref="OAY10" si="5078">OAW10</f>
        <v>95000</v>
      </c>
      <c r="OAZ10" s="1548"/>
      <c r="OBA10" s="1547">
        <f t="shared" ref="OBA10" si="5079">OAY10</f>
        <v>95000</v>
      </c>
      <c r="OBB10" s="1548"/>
      <c r="OBC10" s="1547">
        <f t="shared" ref="OBC10" si="5080">OBA10</f>
        <v>95000</v>
      </c>
      <c r="OBD10" s="1548"/>
      <c r="OBE10" s="1547">
        <f t="shared" ref="OBE10" si="5081">OBC10</f>
        <v>95000</v>
      </c>
      <c r="OBF10" s="1548"/>
      <c r="OBG10" s="1547">
        <f t="shared" ref="OBG10" si="5082">OBE10</f>
        <v>95000</v>
      </c>
      <c r="OBH10" s="1548"/>
      <c r="OBI10" s="1547">
        <f t="shared" ref="OBI10" si="5083">OBG10</f>
        <v>95000</v>
      </c>
      <c r="OBJ10" s="1548"/>
      <c r="OBK10" s="1547">
        <f t="shared" ref="OBK10" si="5084">OBI10</f>
        <v>95000</v>
      </c>
      <c r="OBL10" s="1548"/>
      <c r="OBM10" s="1547">
        <f t="shared" ref="OBM10" si="5085">OBK10</f>
        <v>95000</v>
      </c>
      <c r="OBN10" s="1548"/>
      <c r="OBO10" s="1547">
        <f t="shared" ref="OBO10" si="5086">OBM10</f>
        <v>95000</v>
      </c>
      <c r="OBP10" s="1548"/>
      <c r="OBQ10" s="1547">
        <f t="shared" ref="OBQ10" si="5087">OBO10</f>
        <v>95000</v>
      </c>
      <c r="OBR10" s="1548"/>
      <c r="OBS10" s="1547">
        <f t="shared" ref="OBS10" si="5088">OBQ10</f>
        <v>95000</v>
      </c>
      <c r="OBT10" s="1548"/>
      <c r="OBU10" s="1547">
        <f t="shared" ref="OBU10" si="5089">OBS10</f>
        <v>95000</v>
      </c>
      <c r="OBV10" s="1548"/>
      <c r="OBW10" s="1547">
        <f t="shared" ref="OBW10" si="5090">OBU10</f>
        <v>95000</v>
      </c>
      <c r="OBX10" s="1548"/>
      <c r="OBY10" s="1547">
        <f t="shared" ref="OBY10" si="5091">OBW10</f>
        <v>95000</v>
      </c>
      <c r="OBZ10" s="1548"/>
      <c r="OCA10" s="1547">
        <f t="shared" ref="OCA10" si="5092">OBY10</f>
        <v>95000</v>
      </c>
      <c r="OCB10" s="1548"/>
      <c r="OCC10" s="1547">
        <f t="shared" ref="OCC10" si="5093">OCA10</f>
        <v>95000</v>
      </c>
      <c r="OCD10" s="1548"/>
      <c r="OCE10" s="1547">
        <f t="shared" ref="OCE10" si="5094">OCC10</f>
        <v>95000</v>
      </c>
      <c r="OCF10" s="1548"/>
      <c r="OCG10" s="1547">
        <f t="shared" ref="OCG10" si="5095">OCE10</f>
        <v>95000</v>
      </c>
      <c r="OCH10" s="1548"/>
      <c r="OCI10" s="1547">
        <f t="shared" ref="OCI10" si="5096">OCG10</f>
        <v>95000</v>
      </c>
      <c r="OCJ10" s="1548"/>
      <c r="OCK10" s="1547">
        <f t="shared" ref="OCK10" si="5097">OCI10</f>
        <v>95000</v>
      </c>
      <c r="OCL10" s="1548"/>
      <c r="OCM10" s="1547">
        <f t="shared" ref="OCM10" si="5098">OCK10</f>
        <v>95000</v>
      </c>
      <c r="OCN10" s="1548"/>
      <c r="OCO10" s="1547">
        <f t="shared" ref="OCO10" si="5099">OCM10</f>
        <v>95000</v>
      </c>
      <c r="OCP10" s="1548"/>
      <c r="OCQ10" s="1547">
        <f t="shared" ref="OCQ10" si="5100">OCO10</f>
        <v>95000</v>
      </c>
      <c r="OCR10" s="1548"/>
      <c r="OCS10" s="1547">
        <f t="shared" ref="OCS10" si="5101">OCQ10</f>
        <v>95000</v>
      </c>
      <c r="OCT10" s="1548"/>
      <c r="OCU10" s="1547">
        <f t="shared" ref="OCU10" si="5102">OCS10</f>
        <v>95000</v>
      </c>
      <c r="OCV10" s="1548"/>
      <c r="OCW10" s="1547">
        <f t="shared" ref="OCW10" si="5103">OCU10</f>
        <v>95000</v>
      </c>
      <c r="OCX10" s="1548"/>
      <c r="OCY10" s="1547">
        <f t="shared" ref="OCY10" si="5104">OCW10</f>
        <v>95000</v>
      </c>
      <c r="OCZ10" s="1548"/>
      <c r="ODA10" s="1547">
        <f t="shared" ref="ODA10" si="5105">OCY10</f>
        <v>95000</v>
      </c>
      <c r="ODB10" s="1548"/>
      <c r="ODC10" s="1547">
        <f t="shared" ref="ODC10" si="5106">ODA10</f>
        <v>95000</v>
      </c>
      <c r="ODD10" s="1548"/>
      <c r="ODE10" s="1547">
        <f t="shared" ref="ODE10" si="5107">ODC10</f>
        <v>95000</v>
      </c>
      <c r="ODF10" s="1548"/>
      <c r="ODG10" s="1547">
        <f t="shared" ref="ODG10" si="5108">ODE10</f>
        <v>95000</v>
      </c>
      <c r="ODH10" s="1548"/>
      <c r="ODI10" s="1547">
        <f t="shared" ref="ODI10" si="5109">ODG10</f>
        <v>95000</v>
      </c>
      <c r="ODJ10" s="1548"/>
      <c r="ODK10" s="1547">
        <f t="shared" ref="ODK10" si="5110">ODI10</f>
        <v>95000</v>
      </c>
      <c r="ODL10" s="1548"/>
      <c r="ODM10" s="1547">
        <f t="shared" ref="ODM10" si="5111">ODK10</f>
        <v>95000</v>
      </c>
      <c r="ODN10" s="1548"/>
      <c r="ODO10" s="1547">
        <f t="shared" ref="ODO10" si="5112">ODM10</f>
        <v>95000</v>
      </c>
      <c r="ODP10" s="1548"/>
      <c r="ODQ10" s="1547">
        <f t="shared" ref="ODQ10" si="5113">ODO10</f>
        <v>95000</v>
      </c>
      <c r="ODR10" s="1548"/>
      <c r="ODS10" s="1547">
        <f t="shared" ref="ODS10" si="5114">ODQ10</f>
        <v>95000</v>
      </c>
      <c r="ODT10" s="1548"/>
      <c r="ODU10" s="1547">
        <f t="shared" ref="ODU10" si="5115">ODS10</f>
        <v>95000</v>
      </c>
      <c r="ODV10" s="1548"/>
      <c r="ODW10" s="1547">
        <f t="shared" ref="ODW10" si="5116">ODU10</f>
        <v>95000</v>
      </c>
      <c r="ODX10" s="1548"/>
      <c r="ODY10" s="1547">
        <f t="shared" ref="ODY10" si="5117">ODW10</f>
        <v>95000</v>
      </c>
      <c r="ODZ10" s="1548"/>
      <c r="OEA10" s="1547">
        <f t="shared" ref="OEA10" si="5118">ODY10</f>
        <v>95000</v>
      </c>
      <c r="OEB10" s="1548"/>
      <c r="OEC10" s="1547">
        <f t="shared" ref="OEC10" si="5119">OEA10</f>
        <v>95000</v>
      </c>
      <c r="OED10" s="1548"/>
      <c r="OEE10" s="1547">
        <f t="shared" ref="OEE10" si="5120">OEC10</f>
        <v>95000</v>
      </c>
      <c r="OEF10" s="1548"/>
      <c r="OEG10" s="1547">
        <f t="shared" ref="OEG10" si="5121">OEE10</f>
        <v>95000</v>
      </c>
      <c r="OEH10" s="1548"/>
      <c r="OEI10" s="1547">
        <f t="shared" ref="OEI10" si="5122">OEG10</f>
        <v>95000</v>
      </c>
      <c r="OEJ10" s="1548"/>
      <c r="OEK10" s="1547">
        <f t="shared" ref="OEK10" si="5123">OEI10</f>
        <v>95000</v>
      </c>
      <c r="OEL10" s="1548"/>
      <c r="OEM10" s="1547">
        <f t="shared" ref="OEM10" si="5124">OEK10</f>
        <v>95000</v>
      </c>
      <c r="OEN10" s="1548"/>
      <c r="OEO10" s="1547">
        <f t="shared" ref="OEO10" si="5125">OEM10</f>
        <v>95000</v>
      </c>
      <c r="OEP10" s="1548"/>
      <c r="OEQ10" s="1547">
        <f t="shared" ref="OEQ10" si="5126">OEO10</f>
        <v>95000</v>
      </c>
      <c r="OER10" s="1548"/>
      <c r="OES10" s="1547">
        <f t="shared" ref="OES10" si="5127">OEQ10</f>
        <v>95000</v>
      </c>
      <c r="OET10" s="1548"/>
      <c r="OEU10" s="1547">
        <f t="shared" ref="OEU10" si="5128">OES10</f>
        <v>95000</v>
      </c>
      <c r="OEV10" s="1548"/>
      <c r="OEW10" s="1547">
        <f t="shared" ref="OEW10" si="5129">OEU10</f>
        <v>95000</v>
      </c>
      <c r="OEX10" s="1548"/>
      <c r="OEY10" s="1547">
        <f t="shared" ref="OEY10" si="5130">OEW10</f>
        <v>95000</v>
      </c>
      <c r="OEZ10" s="1548"/>
      <c r="OFA10" s="1547">
        <f t="shared" ref="OFA10" si="5131">OEY10</f>
        <v>95000</v>
      </c>
      <c r="OFB10" s="1548"/>
      <c r="OFC10" s="1547">
        <f t="shared" ref="OFC10" si="5132">OFA10</f>
        <v>95000</v>
      </c>
      <c r="OFD10" s="1548"/>
      <c r="OFE10" s="1547">
        <f t="shared" ref="OFE10" si="5133">OFC10</f>
        <v>95000</v>
      </c>
      <c r="OFF10" s="1548"/>
      <c r="OFG10" s="1547">
        <f t="shared" ref="OFG10" si="5134">OFE10</f>
        <v>95000</v>
      </c>
      <c r="OFH10" s="1548"/>
      <c r="OFI10" s="1547">
        <f t="shared" ref="OFI10" si="5135">OFG10</f>
        <v>95000</v>
      </c>
      <c r="OFJ10" s="1548"/>
      <c r="OFK10" s="1547">
        <f t="shared" ref="OFK10" si="5136">OFI10</f>
        <v>95000</v>
      </c>
      <c r="OFL10" s="1548"/>
      <c r="OFM10" s="1547">
        <f t="shared" ref="OFM10" si="5137">OFK10</f>
        <v>95000</v>
      </c>
      <c r="OFN10" s="1548"/>
      <c r="OFO10" s="1547">
        <f t="shared" ref="OFO10" si="5138">OFM10</f>
        <v>95000</v>
      </c>
      <c r="OFP10" s="1548"/>
      <c r="OFQ10" s="1547">
        <f t="shared" ref="OFQ10" si="5139">OFO10</f>
        <v>95000</v>
      </c>
      <c r="OFR10" s="1548"/>
      <c r="OFS10" s="1547">
        <f t="shared" ref="OFS10" si="5140">OFQ10</f>
        <v>95000</v>
      </c>
      <c r="OFT10" s="1548"/>
      <c r="OFU10" s="1547">
        <f t="shared" ref="OFU10" si="5141">OFS10</f>
        <v>95000</v>
      </c>
      <c r="OFV10" s="1548"/>
      <c r="OFW10" s="1547">
        <f t="shared" ref="OFW10" si="5142">OFU10</f>
        <v>95000</v>
      </c>
      <c r="OFX10" s="1548"/>
      <c r="OFY10" s="1547">
        <f t="shared" ref="OFY10" si="5143">OFW10</f>
        <v>95000</v>
      </c>
      <c r="OFZ10" s="1548"/>
      <c r="OGA10" s="1547">
        <f t="shared" ref="OGA10" si="5144">OFY10</f>
        <v>95000</v>
      </c>
      <c r="OGB10" s="1548"/>
      <c r="OGC10" s="1547">
        <f t="shared" ref="OGC10" si="5145">OGA10</f>
        <v>95000</v>
      </c>
      <c r="OGD10" s="1548"/>
      <c r="OGE10" s="1547">
        <f t="shared" ref="OGE10" si="5146">OGC10</f>
        <v>95000</v>
      </c>
      <c r="OGF10" s="1548"/>
      <c r="OGG10" s="1547">
        <f t="shared" ref="OGG10" si="5147">OGE10</f>
        <v>95000</v>
      </c>
      <c r="OGH10" s="1548"/>
      <c r="OGI10" s="1547">
        <f t="shared" ref="OGI10" si="5148">OGG10</f>
        <v>95000</v>
      </c>
      <c r="OGJ10" s="1548"/>
      <c r="OGK10" s="1547">
        <f t="shared" ref="OGK10" si="5149">OGI10</f>
        <v>95000</v>
      </c>
      <c r="OGL10" s="1548"/>
      <c r="OGM10" s="1547">
        <f t="shared" ref="OGM10" si="5150">OGK10</f>
        <v>95000</v>
      </c>
      <c r="OGN10" s="1548"/>
      <c r="OGO10" s="1547">
        <f t="shared" ref="OGO10" si="5151">OGM10</f>
        <v>95000</v>
      </c>
      <c r="OGP10" s="1548"/>
      <c r="OGQ10" s="1547">
        <f t="shared" ref="OGQ10" si="5152">OGO10</f>
        <v>95000</v>
      </c>
      <c r="OGR10" s="1548"/>
      <c r="OGS10" s="1547">
        <f t="shared" ref="OGS10" si="5153">OGQ10</f>
        <v>95000</v>
      </c>
      <c r="OGT10" s="1548"/>
      <c r="OGU10" s="1547">
        <f t="shared" ref="OGU10" si="5154">OGS10</f>
        <v>95000</v>
      </c>
      <c r="OGV10" s="1548"/>
      <c r="OGW10" s="1547">
        <f t="shared" ref="OGW10" si="5155">OGU10</f>
        <v>95000</v>
      </c>
      <c r="OGX10" s="1548"/>
      <c r="OGY10" s="1547">
        <f t="shared" ref="OGY10" si="5156">OGW10</f>
        <v>95000</v>
      </c>
      <c r="OGZ10" s="1548"/>
      <c r="OHA10" s="1547">
        <f t="shared" ref="OHA10" si="5157">OGY10</f>
        <v>95000</v>
      </c>
      <c r="OHB10" s="1548"/>
      <c r="OHC10" s="1547">
        <f t="shared" ref="OHC10" si="5158">OHA10</f>
        <v>95000</v>
      </c>
      <c r="OHD10" s="1548"/>
      <c r="OHE10" s="1547">
        <f t="shared" ref="OHE10" si="5159">OHC10</f>
        <v>95000</v>
      </c>
      <c r="OHF10" s="1548"/>
      <c r="OHG10" s="1547">
        <f t="shared" ref="OHG10" si="5160">OHE10</f>
        <v>95000</v>
      </c>
      <c r="OHH10" s="1548"/>
      <c r="OHI10" s="1547">
        <f t="shared" ref="OHI10" si="5161">OHG10</f>
        <v>95000</v>
      </c>
      <c r="OHJ10" s="1548"/>
      <c r="OHK10" s="1547">
        <f t="shared" ref="OHK10" si="5162">OHI10</f>
        <v>95000</v>
      </c>
      <c r="OHL10" s="1548"/>
      <c r="OHM10" s="1547">
        <f t="shared" ref="OHM10" si="5163">OHK10</f>
        <v>95000</v>
      </c>
      <c r="OHN10" s="1548"/>
      <c r="OHO10" s="1547">
        <f t="shared" ref="OHO10" si="5164">OHM10</f>
        <v>95000</v>
      </c>
      <c r="OHP10" s="1548"/>
      <c r="OHQ10" s="1547">
        <f t="shared" ref="OHQ10" si="5165">OHO10</f>
        <v>95000</v>
      </c>
      <c r="OHR10" s="1548"/>
      <c r="OHS10" s="1547">
        <f t="shared" ref="OHS10" si="5166">OHQ10</f>
        <v>95000</v>
      </c>
      <c r="OHT10" s="1548"/>
      <c r="OHU10" s="1547">
        <f t="shared" ref="OHU10" si="5167">OHS10</f>
        <v>95000</v>
      </c>
      <c r="OHV10" s="1548"/>
      <c r="OHW10" s="1547">
        <f t="shared" ref="OHW10" si="5168">OHU10</f>
        <v>95000</v>
      </c>
      <c r="OHX10" s="1548"/>
      <c r="OHY10" s="1547">
        <f t="shared" ref="OHY10" si="5169">OHW10</f>
        <v>95000</v>
      </c>
      <c r="OHZ10" s="1548"/>
      <c r="OIA10" s="1547">
        <f t="shared" ref="OIA10" si="5170">OHY10</f>
        <v>95000</v>
      </c>
      <c r="OIB10" s="1548"/>
      <c r="OIC10" s="1547">
        <f t="shared" ref="OIC10" si="5171">OIA10</f>
        <v>95000</v>
      </c>
      <c r="OID10" s="1548"/>
      <c r="OIE10" s="1547">
        <f t="shared" ref="OIE10" si="5172">OIC10</f>
        <v>95000</v>
      </c>
      <c r="OIF10" s="1548"/>
      <c r="OIG10" s="1547">
        <f t="shared" ref="OIG10" si="5173">OIE10</f>
        <v>95000</v>
      </c>
      <c r="OIH10" s="1548"/>
      <c r="OII10" s="1547">
        <f t="shared" ref="OII10" si="5174">OIG10</f>
        <v>95000</v>
      </c>
      <c r="OIJ10" s="1548"/>
      <c r="OIK10" s="1547">
        <f t="shared" ref="OIK10" si="5175">OII10</f>
        <v>95000</v>
      </c>
      <c r="OIL10" s="1548"/>
      <c r="OIM10" s="1547">
        <f t="shared" ref="OIM10" si="5176">OIK10</f>
        <v>95000</v>
      </c>
      <c r="OIN10" s="1548"/>
      <c r="OIO10" s="1547">
        <f t="shared" ref="OIO10" si="5177">OIM10</f>
        <v>95000</v>
      </c>
      <c r="OIP10" s="1548"/>
      <c r="OIQ10" s="1547">
        <f t="shared" ref="OIQ10" si="5178">OIO10</f>
        <v>95000</v>
      </c>
      <c r="OIR10" s="1548"/>
      <c r="OIS10" s="1547">
        <f t="shared" ref="OIS10" si="5179">OIQ10</f>
        <v>95000</v>
      </c>
      <c r="OIT10" s="1548"/>
      <c r="OIU10" s="1547">
        <f t="shared" ref="OIU10" si="5180">OIS10</f>
        <v>95000</v>
      </c>
      <c r="OIV10" s="1548"/>
      <c r="OIW10" s="1547">
        <f t="shared" ref="OIW10" si="5181">OIU10</f>
        <v>95000</v>
      </c>
      <c r="OIX10" s="1548"/>
      <c r="OIY10" s="1547">
        <f t="shared" ref="OIY10" si="5182">OIW10</f>
        <v>95000</v>
      </c>
      <c r="OIZ10" s="1548"/>
      <c r="OJA10" s="1547">
        <f t="shared" ref="OJA10" si="5183">OIY10</f>
        <v>95000</v>
      </c>
      <c r="OJB10" s="1548"/>
      <c r="OJC10" s="1547">
        <f t="shared" ref="OJC10" si="5184">OJA10</f>
        <v>95000</v>
      </c>
      <c r="OJD10" s="1548"/>
      <c r="OJE10" s="1547">
        <f t="shared" ref="OJE10" si="5185">OJC10</f>
        <v>95000</v>
      </c>
      <c r="OJF10" s="1548"/>
      <c r="OJG10" s="1547">
        <f t="shared" ref="OJG10" si="5186">OJE10</f>
        <v>95000</v>
      </c>
      <c r="OJH10" s="1548"/>
      <c r="OJI10" s="1547">
        <f t="shared" ref="OJI10" si="5187">OJG10</f>
        <v>95000</v>
      </c>
      <c r="OJJ10" s="1548"/>
      <c r="OJK10" s="1547">
        <f t="shared" ref="OJK10" si="5188">OJI10</f>
        <v>95000</v>
      </c>
      <c r="OJL10" s="1548"/>
      <c r="OJM10" s="1547">
        <f t="shared" ref="OJM10" si="5189">OJK10</f>
        <v>95000</v>
      </c>
      <c r="OJN10" s="1548"/>
      <c r="OJO10" s="1547">
        <f t="shared" ref="OJO10" si="5190">OJM10</f>
        <v>95000</v>
      </c>
      <c r="OJP10" s="1548"/>
      <c r="OJQ10" s="1547">
        <f t="shared" ref="OJQ10" si="5191">OJO10</f>
        <v>95000</v>
      </c>
      <c r="OJR10" s="1548"/>
      <c r="OJS10" s="1547">
        <f t="shared" ref="OJS10" si="5192">OJQ10</f>
        <v>95000</v>
      </c>
      <c r="OJT10" s="1548"/>
      <c r="OJU10" s="1547">
        <f t="shared" ref="OJU10" si="5193">OJS10</f>
        <v>95000</v>
      </c>
      <c r="OJV10" s="1548"/>
      <c r="OJW10" s="1547">
        <f t="shared" ref="OJW10" si="5194">OJU10</f>
        <v>95000</v>
      </c>
      <c r="OJX10" s="1548"/>
      <c r="OJY10" s="1547">
        <f t="shared" ref="OJY10" si="5195">OJW10</f>
        <v>95000</v>
      </c>
      <c r="OJZ10" s="1548"/>
      <c r="OKA10" s="1547">
        <f t="shared" ref="OKA10" si="5196">OJY10</f>
        <v>95000</v>
      </c>
      <c r="OKB10" s="1548"/>
      <c r="OKC10" s="1547">
        <f t="shared" ref="OKC10" si="5197">OKA10</f>
        <v>95000</v>
      </c>
      <c r="OKD10" s="1548"/>
      <c r="OKE10" s="1547">
        <f t="shared" ref="OKE10" si="5198">OKC10</f>
        <v>95000</v>
      </c>
      <c r="OKF10" s="1548"/>
      <c r="OKG10" s="1547">
        <f t="shared" ref="OKG10" si="5199">OKE10</f>
        <v>95000</v>
      </c>
      <c r="OKH10" s="1548"/>
      <c r="OKI10" s="1547">
        <f t="shared" ref="OKI10" si="5200">OKG10</f>
        <v>95000</v>
      </c>
      <c r="OKJ10" s="1548"/>
      <c r="OKK10" s="1547">
        <f t="shared" ref="OKK10" si="5201">OKI10</f>
        <v>95000</v>
      </c>
      <c r="OKL10" s="1548"/>
      <c r="OKM10" s="1547">
        <f t="shared" ref="OKM10" si="5202">OKK10</f>
        <v>95000</v>
      </c>
      <c r="OKN10" s="1548"/>
      <c r="OKO10" s="1547">
        <f t="shared" ref="OKO10" si="5203">OKM10</f>
        <v>95000</v>
      </c>
      <c r="OKP10" s="1548"/>
      <c r="OKQ10" s="1547">
        <f t="shared" ref="OKQ10" si="5204">OKO10</f>
        <v>95000</v>
      </c>
      <c r="OKR10" s="1548"/>
      <c r="OKS10" s="1547">
        <f t="shared" ref="OKS10" si="5205">OKQ10</f>
        <v>95000</v>
      </c>
      <c r="OKT10" s="1548"/>
      <c r="OKU10" s="1547">
        <f t="shared" ref="OKU10" si="5206">OKS10</f>
        <v>95000</v>
      </c>
      <c r="OKV10" s="1548"/>
      <c r="OKW10" s="1547">
        <f t="shared" ref="OKW10" si="5207">OKU10</f>
        <v>95000</v>
      </c>
      <c r="OKX10" s="1548"/>
      <c r="OKY10" s="1547">
        <f t="shared" ref="OKY10" si="5208">OKW10</f>
        <v>95000</v>
      </c>
      <c r="OKZ10" s="1548"/>
      <c r="OLA10" s="1547">
        <f t="shared" ref="OLA10" si="5209">OKY10</f>
        <v>95000</v>
      </c>
      <c r="OLB10" s="1548"/>
      <c r="OLC10" s="1547">
        <f t="shared" ref="OLC10" si="5210">OLA10</f>
        <v>95000</v>
      </c>
      <c r="OLD10" s="1548"/>
      <c r="OLE10" s="1547">
        <f t="shared" ref="OLE10" si="5211">OLC10</f>
        <v>95000</v>
      </c>
      <c r="OLF10" s="1548"/>
      <c r="OLG10" s="1547">
        <f t="shared" ref="OLG10" si="5212">OLE10</f>
        <v>95000</v>
      </c>
      <c r="OLH10" s="1548"/>
      <c r="OLI10" s="1547">
        <f t="shared" ref="OLI10" si="5213">OLG10</f>
        <v>95000</v>
      </c>
      <c r="OLJ10" s="1548"/>
      <c r="OLK10" s="1547">
        <f t="shared" ref="OLK10" si="5214">OLI10</f>
        <v>95000</v>
      </c>
      <c r="OLL10" s="1548"/>
      <c r="OLM10" s="1547">
        <f t="shared" ref="OLM10" si="5215">OLK10</f>
        <v>95000</v>
      </c>
      <c r="OLN10" s="1548"/>
      <c r="OLO10" s="1547">
        <f t="shared" ref="OLO10" si="5216">OLM10</f>
        <v>95000</v>
      </c>
      <c r="OLP10" s="1548"/>
      <c r="OLQ10" s="1547">
        <f t="shared" ref="OLQ10" si="5217">OLO10</f>
        <v>95000</v>
      </c>
      <c r="OLR10" s="1548"/>
      <c r="OLS10" s="1547">
        <f t="shared" ref="OLS10" si="5218">OLQ10</f>
        <v>95000</v>
      </c>
      <c r="OLT10" s="1548"/>
      <c r="OLU10" s="1547">
        <f t="shared" ref="OLU10" si="5219">OLS10</f>
        <v>95000</v>
      </c>
      <c r="OLV10" s="1548"/>
      <c r="OLW10" s="1547">
        <f t="shared" ref="OLW10" si="5220">OLU10</f>
        <v>95000</v>
      </c>
      <c r="OLX10" s="1548"/>
      <c r="OLY10" s="1547">
        <f t="shared" ref="OLY10" si="5221">OLW10</f>
        <v>95000</v>
      </c>
      <c r="OLZ10" s="1548"/>
      <c r="OMA10" s="1547">
        <f t="shared" ref="OMA10" si="5222">OLY10</f>
        <v>95000</v>
      </c>
      <c r="OMB10" s="1548"/>
      <c r="OMC10" s="1547">
        <f t="shared" ref="OMC10" si="5223">OMA10</f>
        <v>95000</v>
      </c>
      <c r="OMD10" s="1548"/>
      <c r="OME10" s="1547">
        <f t="shared" ref="OME10" si="5224">OMC10</f>
        <v>95000</v>
      </c>
      <c r="OMF10" s="1548"/>
      <c r="OMG10" s="1547">
        <f t="shared" ref="OMG10" si="5225">OME10</f>
        <v>95000</v>
      </c>
      <c r="OMH10" s="1548"/>
      <c r="OMI10" s="1547">
        <f t="shared" ref="OMI10" si="5226">OMG10</f>
        <v>95000</v>
      </c>
      <c r="OMJ10" s="1548"/>
      <c r="OMK10" s="1547">
        <f t="shared" ref="OMK10" si="5227">OMI10</f>
        <v>95000</v>
      </c>
      <c r="OML10" s="1548"/>
      <c r="OMM10" s="1547">
        <f t="shared" ref="OMM10" si="5228">OMK10</f>
        <v>95000</v>
      </c>
      <c r="OMN10" s="1548"/>
      <c r="OMO10" s="1547">
        <f t="shared" ref="OMO10" si="5229">OMM10</f>
        <v>95000</v>
      </c>
      <c r="OMP10" s="1548"/>
      <c r="OMQ10" s="1547">
        <f t="shared" ref="OMQ10" si="5230">OMO10</f>
        <v>95000</v>
      </c>
      <c r="OMR10" s="1548"/>
      <c r="OMS10" s="1547">
        <f t="shared" ref="OMS10" si="5231">OMQ10</f>
        <v>95000</v>
      </c>
      <c r="OMT10" s="1548"/>
      <c r="OMU10" s="1547">
        <f t="shared" ref="OMU10" si="5232">OMS10</f>
        <v>95000</v>
      </c>
      <c r="OMV10" s="1548"/>
      <c r="OMW10" s="1547">
        <f t="shared" ref="OMW10" si="5233">OMU10</f>
        <v>95000</v>
      </c>
      <c r="OMX10" s="1548"/>
      <c r="OMY10" s="1547">
        <f t="shared" ref="OMY10" si="5234">OMW10</f>
        <v>95000</v>
      </c>
      <c r="OMZ10" s="1548"/>
      <c r="ONA10" s="1547">
        <f t="shared" ref="ONA10" si="5235">OMY10</f>
        <v>95000</v>
      </c>
      <c r="ONB10" s="1548"/>
      <c r="ONC10" s="1547">
        <f t="shared" ref="ONC10" si="5236">ONA10</f>
        <v>95000</v>
      </c>
      <c r="OND10" s="1548"/>
      <c r="ONE10" s="1547">
        <f t="shared" ref="ONE10" si="5237">ONC10</f>
        <v>95000</v>
      </c>
      <c r="ONF10" s="1548"/>
      <c r="ONG10" s="1547">
        <f t="shared" ref="ONG10" si="5238">ONE10</f>
        <v>95000</v>
      </c>
      <c r="ONH10" s="1548"/>
      <c r="ONI10" s="1547">
        <f t="shared" ref="ONI10" si="5239">ONG10</f>
        <v>95000</v>
      </c>
      <c r="ONJ10" s="1548"/>
      <c r="ONK10" s="1547">
        <f t="shared" ref="ONK10" si="5240">ONI10</f>
        <v>95000</v>
      </c>
      <c r="ONL10" s="1548"/>
      <c r="ONM10" s="1547">
        <f t="shared" ref="ONM10" si="5241">ONK10</f>
        <v>95000</v>
      </c>
      <c r="ONN10" s="1548"/>
      <c r="ONO10" s="1547">
        <f t="shared" ref="ONO10" si="5242">ONM10</f>
        <v>95000</v>
      </c>
      <c r="ONP10" s="1548"/>
      <c r="ONQ10" s="1547">
        <f t="shared" ref="ONQ10" si="5243">ONO10</f>
        <v>95000</v>
      </c>
      <c r="ONR10" s="1548"/>
      <c r="ONS10" s="1547">
        <f t="shared" ref="ONS10" si="5244">ONQ10</f>
        <v>95000</v>
      </c>
      <c r="ONT10" s="1548"/>
      <c r="ONU10" s="1547">
        <f t="shared" ref="ONU10" si="5245">ONS10</f>
        <v>95000</v>
      </c>
      <c r="ONV10" s="1548"/>
      <c r="ONW10" s="1547">
        <f t="shared" ref="ONW10" si="5246">ONU10</f>
        <v>95000</v>
      </c>
      <c r="ONX10" s="1548"/>
      <c r="ONY10" s="1547">
        <f t="shared" ref="ONY10" si="5247">ONW10</f>
        <v>95000</v>
      </c>
      <c r="ONZ10" s="1548"/>
      <c r="OOA10" s="1547">
        <f t="shared" ref="OOA10" si="5248">ONY10</f>
        <v>95000</v>
      </c>
      <c r="OOB10" s="1548"/>
      <c r="OOC10" s="1547">
        <f t="shared" ref="OOC10" si="5249">OOA10</f>
        <v>95000</v>
      </c>
      <c r="OOD10" s="1548"/>
      <c r="OOE10" s="1547">
        <f t="shared" ref="OOE10" si="5250">OOC10</f>
        <v>95000</v>
      </c>
      <c r="OOF10" s="1548"/>
      <c r="OOG10" s="1547">
        <f t="shared" ref="OOG10" si="5251">OOE10</f>
        <v>95000</v>
      </c>
      <c r="OOH10" s="1548"/>
      <c r="OOI10" s="1547">
        <f t="shared" ref="OOI10" si="5252">OOG10</f>
        <v>95000</v>
      </c>
      <c r="OOJ10" s="1548"/>
      <c r="OOK10" s="1547">
        <f t="shared" ref="OOK10" si="5253">OOI10</f>
        <v>95000</v>
      </c>
      <c r="OOL10" s="1548"/>
      <c r="OOM10" s="1547">
        <f t="shared" ref="OOM10" si="5254">OOK10</f>
        <v>95000</v>
      </c>
      <c r="OON10" s="1548"/>
      <c r="OOO10" s="1547">
        <f t="shared" ref="OOO10" si="5255">OOM10</f>
        <v>95000</v>
      </c>
      <c r="OOP10" s="1548"/>
      <c r="OOQ10" s="1547">
        <f t="shared" ref="OOQ10" si="5256">OOO10</f>
        <v>95000</v>
      </c>
      <c r="OOR10" s="1548"/>
      <c r="OOS10" s="1547">
        <f t="shared" ref="OOS10" si="5257">OOQ10</f>
        <v>95000</v>
      </c>
      <c r="OOT10" s="1548"/>
      <c r="OOU10" s="1547">
        <f t="shared" ref="OOU10" si="5258">OOS10</f>
        <v>95000</v>
      </c>
      <c r="OOV10" s="1548"/>
      <c r="OOW10" s="1547">
        <f t="shared" ref="OOW10" si="5259">OOU10</f>
        <v>95000</v>
      </c>
      <c r="OOX10" s="1548"/>
      <c r="OOY10" s="1547">
        <f t="shared" ref="OOY10" si="5260">OOW10</f>
        <v>95000</v>
      </c>
      <c r="OOZ10" s="1548"/>
      <c r="OPA10" s="1547">
        <f t="shared" ref="OPA10" si="5261">OOY10</f>
        <v>95000</v>
      </c>
      <c r="OPB10" s="1548"/>
      <c r="OPC10" s="1547">
        <f t="shared" ref="OPC10" si="5262">OPA10</f>
        <v>95000</v>
      </c>
      <c r="OPD10" s="1548"/>
      <c r="OPE10" s="1547">
        <f t="shared" ref="OPE10" si="5263">OPC10</f>
        <v>95000</v>
      </c>
      <c r="OPF10" s="1548"/>
      <c r="OPG10" s="1547">
        <f t="shared" ref="OPG10" si="5264">OPE10</f>
        <v>95000</v>
      </c>
      <c r="OPH10" s="1548"/>
      <c r="OPI10" s="1547">
        <f t="shared" ref="OPI10" si="5265">OPG10</f>
        <v>95000</v>
      </c>
      <c r="OPJ10" s="1548"/>
      <c r="OPK10" s="1547">
        <f t="shared" ref="OPK10" si="5266">OPI10</f>
        <v>95000</v>
      </c>
      <c r="OPL10" s="1548"/>
      <c r="OPM10" s="1547">
        <f t="shared" ref="OPM10" si="5267">OPK10</f>
        <v>95000</v>
      </c>
      <c r="OPN10" s="1548"/>
      <c r="OPO10" s="1547">
        <f t="shared" ref="OPO10" si="5268">OPM10</f>
        <v>95000</v>
      </c>
      <c r="OPP10" s="1548"/>
      <c r="OPQ10" s="1547">
        <f t="shared" ref="OPQ10" si="5269">OPO10</f>
        <v>95000</v>
      </c>
      <c r="OPR10" s="1548"/>
      <c r="OPS10" s="1547">
        <f t="shared" ref="OPS10" si="5270">OPQ10</f>
        <v>95000</v>
      </c>
      <c r="OPT10" s="1548"/>
      <c r="OPU10" s="1547">
        <f t="shared" ref="OPU10" si="5271">OPS10</f>
        <v>95000</v>
      </c>
      <c r="OPV10" s="1548"/>
      <c r="OPW10" s="1547">
        <f t="shared" ref="OPW10" si="5272">OPU10</f>
        <v>95000</v>
      </c>
      <c r="OPX10" s="1548"/>
      <c r="OPY10" s="1547">
        <f t="shared" ref="OPY10" si="5273">OPW10</f>
        <v>95000</v>
      </c>
      <c r="OPZ10" s="1548"/>
      <c r="OQA10" s="1547">
        <f t="shared" ref="OQA10" si="5274">OPY10</f>
        <v>95000</v>
      </c>
      <c r="OQB10" s="1548"/>
      <c r="OQC10" s="1547">
        <f t="shared" ref="OQC10" si="5275">OQA10</f>
        <v>95000</v>
      </c>
      <c r="OQD10" s="1548"/>
      <c r="OQE10" s="1547">
        <f t="shared" ref="OQE10" si="5276">OQC10</f>
        <v>95000</v>
      </c>
      <c r="OQF10" s="1548"/>
      <c r="OQG10" s="1547">
        <f t="shared" ref="OQG10" si="5277">OQE10</f>
        <v>95000</v>
      </c>
      <c r="OQH10" s="1548"/>
      <c r="OQI10" s="1547">
        <f t="shared" ref="OQI10" si="5278">OQG10</f>
        <v>95000</v>
      </c>
      <c r="OQJ10" s="1548"/>
      <c r="OQK10" s="1547">
        <f t="shared" ref="OQK10" si="5279">OQI10</f>
        <v>95000</v>
      </c>
      <c r="OQL10" s="1548"/>
      <c r="OQM10" s="1547">
        <f t="shared" ref="OQM10" si="5280">OQK10</f>
        <v>95000</v>
      </c>
      <c r="OQN10" s="1548"/>
      <c r="OQO10" s="1547">
        <f t="shared" ref="OQO10" si="5281">OQM10</f>
        <v>95000</v>
      </c>
      <c r="OQP10" s="1548"/>
      <c r="OQQ10" s="1547">
        <f t="shared" ref="OQQ10" si="5282">OQO10</f>
        <v>95000</v>
      </c>
      <c r="OQR10" s="1548"/>
      <c r="OQS10" s="1547">
        <f t="shared" ref="OQS10" si="5283">OQQ10</f>
        <v>95000</v>
      </c>
      <c r="OQT10" s="1548"/>
      <c r="OQU10" s="1547">
        <f t="shared" ref="OQU10" si="5284">OQS10</f>
        <v>95000</v>
      </c>
      <c r="OQV10" s="1548"/>
      <c r="OQW10" s="1547">
        <f t="shared" ref="OQW10" si="5285">OQU10</f>
        <v>95000</v>
      </c>
      <c r="OQX10" s="1548"/>
      <c r="OQY10" s="1547">
        <f t="shared" ref="OQY10" si="5286">OQW10</f>
        <v>95000</v>
      </c>
      <c r="OQZ10" s="1548"/>
      <c r="ORA10" s="1547">
        <f t="shared" ref="ORA10" si="5287">OQY10</f>
        <v>95000</v>
      </c>
      <c r="ORB10" s="1548"/>
      <c r="ORC10" s="1547">
        <f t="shared" ref="ORC10" si="5288">ORA10</f>
        <v>95000</v>
      </c>
      <c r="ORD10" s="1548"/>
      <c r="ORE10" s="1547">
        <f t="shared" ref="ORE10" si="5289">ORC10</f>
        <v>95000</v>
      </c>
      <c r="ORF10" s="1548"/>
      <c r="ORG10" s="1547">
        <f t="shared" ref="ORG10" si="5290">ORE10</f>
        <v>95000</v>
      </c>
      <c r="ORH10" s="1548"/>
      <c r="ORI10" s="1547">
        <f t="shared" ref="ORI10" si="5291">ORG10</f>
        <v>95000</v>
      </c>
      <c r="ORJ10" s="1548"/>
      <c r="ORK10" s="1547">
        <f t="shared" ref="ORK10" si="5292">ORI10</f>
        <v>95000</v>
      </c>
      <c r="ORL10" s="1548"/>
      <c r="ORM10" s="1547">
        <f t="shared" ref="ORM10" si="5293">ORK10</f>
        <v>95000</v>
      </c>
      <c r="ORN10" s="1548"/>
      <c r="ORO10" s="1547">
        <f t="shared" ref="ORO10" si="5294">ORM10</f>
        <v>95000</v>
      </c>
      <c r="ORP10" s="1548"/>
      <c r="ORQ10" s="1547">
        <f t="shared" ref="ORQ10" si="5295">ORO10</f>
        <v>95000</v>
      </c>
      <c r="ORR10" s="1548"/>
      <c r="ORS10" s="1547">
        <f t="shared" ref="ORS10" si="5296">ORQ10</f>
        <v>95000</v>
      </c>
      <c r="ORT10" s="1548"/>
      <c r="ORU10" s="1547">
        <f t="shared" ref="ORU10" si="5297">ORS10</f>
        <v>95000</v>
      </c>
      <c r="ORV10" s="1548"/>
      <c r="ORW10" s="1547">
        <f t="shared" ref="ORW10" si="5298">ORU10</f>
        <v>95000</v>
      </c>
      <c r="ORX10" s="1548"/>
      <c r="ORY10" s="1547">
        <f t="shared" ref="ORY10" si="5299">ORW10</f>
        <v>95000</v>
      </c>
      <c r="ORZ10" s="1548"/>
      <c r="OSA10" s="1547">
        <f t="shared" ref="OSA10" si="5300">ORY10</f>
        <v>95000</v>
      </c>
      <c r="OSB10" s="1548"/>
      <c r="OSC10" s="1547">
        <f t="shared" ref="OSC10" si="5301">OSA10</f>
        <v>95000</v>
      </c>
      <c r="OSD10" s="1548"/>
      <c r="OSE10" s="1547">
        <f t="shared" ref="OSE10" si="5302">OSC10</f>
        <v>95000</v>
      </c>
      <c r="OSF10" s="1548"/>
      <c r="OSG10" s="1547">
        <f t="shared" ref="OSG10" si="5303">OSE10</f>
        <v>95000</v>
      </c>
      <c r="OSH10" s="1548"/>
      <c r="OSI10" s="1547">
        <f t="shared" ref="OSI10" si="5304">OSG10</f>
        <v>95000</v>
      </c>
      <c r="OSJ10" s="1548"/>
      <c r="OSK10" s="1547">
        <f t="shared" ref="OSK10" si="5305">OSI10</f>
        <v>95000</v>
      </c>
      <c r="OSL10" s="1548"/>
      <c r="OSM10" s="1547">
        <f t="shared" ref="OSM10" si="5306">OSK10</f>
        <v>95000</v>
      </c>
      <c r="OSN10" s="1548"/>
      <c r="OSO10" s="1547">
        <f t="shared" ref="OSO10" si="5307">OSM10</f>
        <v>95000</v>
      </c>
      <c r="OSP10" s="1548"/>
      <c r="OSQ10" s="1547">
        <f t="shared" ref="OSQ10" si="5308">OSO10</f>
        <v>95000</v>
      </c>
      <c r="OSR10" s="1548"/>
      <c r="OSS10" s="1547">
        <f t="shared" ref="OSS10" si="5309">OSQ10</f>
        <v>95000</v>
      </c>
      <c r="OST10" s="1548"/>
      <c r="OSU10" s="1547">
        <f t="shared" ref="OSU10" si="5310">OSS10</f>
        <v>95000</v>
      </c>
      <c r="OSV10" s="1548"/>
      <c r="OSW10" s="1547">
        <f t="shared" ref="OSW10" si="5311">OSU10</f>
        <v>95000</v>
      </c>
      <c r="OSX10" s="1548"/>
      <c r="OSY10" s="1547">
        <f t="shared" ref="OSY10" si="5312">OSW10</f>
        <v>95000</v>
      </c>
      <c r="OSZ10" s="1548"/>
      <c r="OTA10" s="1547">
        <f t="shared" ref="OTA10" si="5313">OSY10</f>
        <v>95000</v>
      </c>
      <c r="OTB10" s="1548"/>
      <c r="OTC10" s="1547">
        <f t="shared" ref="OTC10" si="5314">OTA10</f>
        <v>95000</v>
      </c>
      <c r="OTD10" s="1548"/>
      <c r="OTE10" s="1547">
        <f t="shared" ref="OTE10" si="5315">OTC10</f>
        <v>95000</v>
      </c>
      <c r="OTF10" s="1548"/>
      <c r="OTG10" s="1547">
        <f t="shared" ref="OTG10" si="5316">OTE10</f>
        <v>95000</v>
      </c>
      <c r="OTH10" s="1548"/>
      <c r="OTI10" s="1547">
        <f t="shared" ref="OTI10" si="5317">OTG10</f>
        <v>95000</v>
      </c>
      <c r="OTJ10" s="1548"/>
      <c r="OTK10" s="1547">
        <f t="shared" ref="OTK10" si="5318">OTI10</f>
        <v>95000</v>
      </c>
      <c r="OTL10" s="1548"/>
      <c r="OTM10" s="1547">
        <f t="shared" ref="OTM10" si="5319">OTK10</f>
        <v>95000</v>
      </c>
      <c r="OTN10" s="1548"/>
      <c r="OTO10" s="1547">
        <f t="shared" ref="OTO10" si="5320">OTM10</f>
        <v>95000</v>
      </c>
      <c r="OTP10" s="1548"/>
      <c r="OTQ10" s="1547">
        <f t="shared" ref="OTQ10" si="5321">OTO10</f>
        <v>95000</v>
      </c>
      <c r="OTR10" s="1548"/>
      <c r="OTS10" s="1547">
        <f t="shared" ref="OTS10" si="5322">OTQ10</f>
        <v>95000</v>
      </c>
      <c r="OTT10" s="1548"/>
      <c r="OTU10" s="1547">
        <f t="shared" ref="OTU10" si="5323">OTS10</f>
        <v>95000</v>
      </c>
      <c r="OTV10" s="1548"/>
      <c r="OTW10" s="1547">
        <f t="shared" ref="OTW10" si="5324">OTU10</f>
        <v>95000</v>
      </c>
      <c r="OTX10" s="1548"/>
      <c r="OTY10" s="1547">
        <f t="shared" ref="OTY10" si="5325">OTW10</f>
        <v>95000</v>
      </c>
      <c r="OTZ10" s="1548"/>
      <c r="OUA10" s="1547">
        <f t="shared" ref="OUA10" si="5326">OTY10</f>
        <v>95000</v>
      </c>
      <c r="OUB10" s="1548"/>
      <c r="OUC10" s="1547">
        <f t="shared" ref="OUC10" si="5327">OUA10</f>
        <v>95000</v>
      </c>
      <c r="OUD10" s="1548"/>
      <c r="OUE10" s="1547">
        <f t="shared" ref="OUE10" si="5328">OUC10</f>
        <v>95000</v>
      </c>
      <c r="OUF10" s="1548"/>
      <c r="OUG10" s="1547">
        <f t="shared" ref="OUG10" si="5329">OUE10</f>
        <v>95000</v>
      </c>
      <c r="OUH10" s="1548"/>
      <c r="OUI10" s="1547">
        <f t="shared" ref="OUI10" si="5330">OUG10</f>
        <v>95000</v>
      </c>
      <c r="OUJ10" s="1548"/>
      <c r="OUK10" s="1547">
        <f t="shared" ref="OUK10" si="5331">OUI10</f>
        <v>95000</v>
      </c>
      <c r="OUL10" s="1548"/>
      <c r="OUM10" s="1547">
        <f t="shared" ref="OUM10" si="5332">OUK10</f>
        <v>95000</v>
      </c>
      <c r="OUN10" s="1548"/>
      <c r="OUO10" s="1547">
        <f t="shared" ref="OUO10" si="5333">OUM10</f>
        <v>95000</v>
      </c>
      <c r="OUP10" s="1548"/>
      <c r="OUQ10" s="1547">
        <f t="shared" ref="OUQ10" si="5334">OUO10</f>
        <v>95000</v>
      </c>
      <c r="OUR10" s="1548"/>
      <c r="OUS10" s="1547">
        <f t="shared" ref="OUS10" si="5335">OUQ10</f>
        <v>95000</v>
      </c>
      <c r="OUT10" s="1548"/>
      <c r="OUU10" s="1547">
        <f t="shared" ref="OUU10" si="5336">OUS10</f>
        <v>95000</v>
      </c>
      <c r="OUV10" s="1548"/>
      <c r="OUW10" s="1547">
        <f t="shared" ref="OUW10" si="5337">OUU10</f>
        <v>95000</v>
      </c>
      <c r="OUX10" s="1548"/>
      <c r="OUY10" s="1547">
        <f t="shared" ref="OUY10" si="5338">OUW10</f>
        <v>95000</v>
      </c>
      <c r="OUZ10" s="1548"/>
      <c r="OVA10" s="1547">
        <f t="shared" ref="OVA10" si="5339">OUY10</f>
        <v>95000</v>
      </c>
      <c r="OVB10" s="1548"/>
      <c r="OVC10" s="1547">
        <f t="shared" ref="OVC10" si="5340">OVA10</f>
        <v>95000</v>
      </c>
      <c r="OVD10" s="1548"/>
      <c r="OVE10" s="1547">
        <f t="shared" ref="OVE10" si="5341">OVC10</f>
        <v>95000</v>
      </c>
      <c r="OVF10" s="1548"/>
      <c r="OVG10" s="1547">
        <f t="shared" ref="OVG10" si="5342">OVE10</f>
        <v>95000</v>
      </c>
      <c r="OVH10" s="1548"/>
      <c r="OVI10" s="1547">
        <f t="shared" ref="OVI10" si="5343">OVG10</f>
        <v>95000</v>
      </c>
      <c r="OVJ10" s="1548"/>
      <c r="OVK10" s="1547">
        <f t="shared" ref="OVK10" si="5344">OVI10</f>
        <v>95000</v>
      </c>
      <c r="OVL10" s="1548"/>
      <c r="OVM10" s="1547">
        <f t="shared" ref="OVM10" si="5345">OVK10</f>
        <v>95000</v>
      </c>
      <c r="OVN10" s="1548"/>
      <c r="OVO10" s="1547">
        <f t="shared" ref="OVO10" si="5346">OVM10</f>
        <v>95000</v>
      </c>
      <c r="OVP10" s="1548"/>
      <c r="OVQ10" s="1547">
        <f t="shared" ref="OVQ10" si="5347">OVO10</f>
        <v>95000</v>
      </c>
      <c r="OVR10" s="1548"/>
      <c r="OVS10" s="1547">
        <f t="shared" ref="OVS10" si="5348">OVQ10</f>
        <v>95000</v>
      </c>
      <c r="OVT10" s="1548"/>
      <c r="OVU10" s="1547">
        <f t="shared" ref="OVU10" si="5349">OVS10</f>
        <v>95000</v>
      </c>
      <c r="OVV10" s="1548"/>
      <c r="OVW10" s="1547">
        <f t="shared" ref="OVW10" si="5350">OVU10</f>
        <v>95000</v>
      </c>
      <c r="OVX10" s="1548"/>
      <c r="OVY10" s="1547">
        <f t="shared" ref="OVY10" si="5351">OVW10</f>
        <v>95000</v>
      </c>
      <c r="OVZ10" s="1548"/>
      <c r="OWA10" s="1547">
        <f t="shared" ref="OWA10" si="5352">OVY10</f>
        <v>95000</v>
      </c>
      <c r="OWB10" s="1548"/>
      <c r="OWC10" s="1547">
        <f t="shared" ref="OWC10" si="5353">OWA10</f>
        <v>95000</v>
      </c>
      <c r="OWD10" s="1548"/>
      <c r="OWE10" s="1547">
        <f t="shared" ref="OWE10" si="5354">OWC10</f>
        <v>95000</v>
      </c>
      <c r="OWF10" s="1548"/>
      <c r="OWG10" s="1547">
        <f t="shared" ref="OWG10" si="5355">OWE10</f>
        <v>95000</v>
      </c>
      <c r="OWH10" s="1548"/>
      <c r="OWI10" s="1547">
        <f t="shared" ref="OWI10" si="5356">OWG10</f>
        <v>95000</v>
      </c>
      <c r="OWJ10" s="1548"/>
      <c r="OWK10" s="1547">
        <f t="shared" ref="OWK10" si="5357">OWI10</f>
        <v>95000</v>
      </c>
      <c r="OWL10" s="1548"/>
      <c r="OWM10" s="1547">
        <f t="shared" ref="OWM10" si="5358">OWK10</f>
        <v>95000</v>
      </c>
      <c r="OWN10" s="1548"/>
      <c r="OWO10" s="1547">
        <f t="shared" ref="OWO10" si="5359">OWM10</f>
        <v>95000</v>
      </c>
      <c r="OWP10" s="1548"/>
      <c r="OWQ10" s="1547">
        <f t="shared" ref="OWQ10" si="5360">OWO10</f>
        <v>95000</v>
      </c>
      <c r="OWR10" s="1548"/>
      <c r="OWS10" s="1547">
        <f t="shared" ref="OWS10" si="5361">OWQ10</f>
        <v>95000</v>
      </c>
      <c r="OWT10" s="1548"/>
      <c r="OWU10" s="1547">
        <f t="shared" ref="OWU10" si="5362">OWS10</f>
        <v>95000</v>
      </c>
      <c r="OWV10" s="1548"/>
      <c r="OWW10" s="1547">
        <f t="shared" ref="OWW10" si="5363">OWU10</f>
        <v>95000</v>
      </c>
      <c r="OWX10" s="1548"/>
      <c r="OWY10" s="1547">
        <f t="shared" ref="OWY10" si="5364">OWW10</f>
        <v>95000</v>
      </c>
      <c r="OWZ10" s="1548"/>
      <c r="OXA10" s="1547">
        <f t="shared" ref="OXA10" si="5365">OWY10</f>
        <v>95000</v>
      </c>
      <c r="OXB10" s="1548"/>
      <c r="OXC10" s="1547">
        <f t="shared" ref="OXC10" si="5366">OXA10</f>
        <v>95000</v>
      </c>
      <c r="OXD10" s="1548"/>
      <c r="OXE10" s="1547">
        <f t="shared" ref="OXE10" si="5367">OXC10</f>
        <v>95000</v>
      </c>
      <c r="OXF10" s="1548"/>
      <c r="OXG10" s="1547">
        <f t="shared" ref="OXG10" si="5368">OXE10</f>
        <v>95000</v>
      </c>
      <c r="OXH10" s="1548"/>
      <c r="OXI10" s="1547">
        <f t="shared" ref="OXI10" si="5369">OXG10</f>
        <v>95000</v>
      </c>
      <c r="OXJ10" s="1548"/>
      <c r="OXK10" s="1547">
        <f t="shared" ref="OXK10" si="5370">OXI10</f>
        <v>95000</v>
      </c>
      <c r="OXL10" s="1548"/>
      <c r="OXM10" s="1547">
        <f t="shared" ref="OXM10" si="5371">OXK10</f>
        <v>95000</v>
      </c>
      <c r="OXN10" s="1548"/>
      <c r="OXO10" s="1547">
        <f t="shared" ref="OXO10" si="5372">OXM10</f>
        <v>95000</v>
      </c>
      <c r="OXP10" s="1548"/>
      <c r="OXQ10" s="1547">
        <f t="shared" ref="OXQ10" si="5373">OXO10</f>
        <v>95000</v>
      </c>
      <c r="OXR10" s="1548"/>
      <c r="OXS10" s="1547">
        <f t="shared" ref="OXS10" si="5374">OXQ10</f>
        <v>95000</v>
      </c>
      <c r="OXT10" s="1548"/>
      <c r="OXU10" s="1547">
        <f t="shared" ref="OXU10" si="5375">OXS10</f>
        <v>95000</v>
      </c>
      <c r="OXV10" s="1548"/>
      <c r="OXW10" s="1547">
        <f t="shared" ref="OXW10" si="5376">OXU10</f>
        <v>95000</v>
      </c>
      <c r="OXX10" s="1548"/>
      <c r="OXY10" s="1547">
        <f t="shared" ref="OXY10" si="5377">OXW10</f>
        <v>95000</v>
      </c>
      <c r="OXZ10" s="1548"/>
      <c r="OYA10" s="1547">
        <f t="shared" ref="OYA10" si="5378">OXY10</f>
        <v>95000</v>
      </c>
      <c r="OYB10" s="1548"/>
      <c r="OYC10" s="1547">
        <f t="shared" ref="OYC10" si="5379">OYA10</f>
        <v>95000</v>
      </c>
      <c r="OYD10" s="1548"/>
      <c r="OYE10" s="1547">
        <f t="shared" ref="OYE10" si="5380">OYC10</f>
        <v>95000</v>
      </c>
      <c r="OYF10" s="1548"/>
      <c r="OYG10" s="1547">
        <f t="shared" ref="OYG10" si="5381">OYE10</f>
        <v>95000</v>
      </c>
      <c r="OYH10" s="1548"/>
      <c r="OYI10" s="1547">
        <f t="shared" ref="OYI10" si="5382">OYG10</f>
        <v>95000</v>
      </c>
      <c r="OYJ10" s="1548"/>
      <c r="OYK10" s="1547">
        <f t="shared" ref="OYK10" si="5383">OYI10</f>
        <v>95000</v>
      </c>
      <c r="OYL10" s="1548"/>
      <c r="OYM10" s="1547">
        <f t="shared" ref="OYM10" si="5384">OYK10</f>
        <v>95000</v>
      </c>
      <c r="OYN10" s="1548"/>
      <c r="OYO10" s="1547">
        <f t="shared" ref="OYO10" si="5385">OYM10</f>
        <v>95000</v>
      </c>
      <c r="OYP10" s="1548"/>
      <c r="OYQ10" s="1547">
        <f t="shared" ref="OYQ10" si="5386">OYO10</f>
        <v>95000</v>
      </c>
      <c r="OYR10" s="1548"/>
      <c r="OYS10" s="1547">
        <f t="shared" ref="OYS10" si="5387">OYQ10</f>
        <v>95000</v>
      </c>
      <c r="OYT10" s="1548"/>
      <c r="OYU10" s="1547">
        <f t="shared" ref="OYU10" si="5388">OYS10</f>
        <v>95000</v>
      </c>
      <c r="OYV10" s="1548"/>
      <c r="OYW10" s="1547">
        <f t="shared" ref="OYW10" si="5389">OYU10</f>
        <v>95000</v>
      </c>
      <c r="OYX10" s="1548"/>
      <c r="OYY10" s="1547">
        <f t="shared" ref="OYY10" si="5390">OYW10</f>
        <v>95000</v>
      </c>
      <c r="OYZ10" s="1548"/>
      <c r="OZA10" s="1547">
        <f t="shared" ref="OZA10" si="5391">OYY10</f>
        <v>95000</v>
      </c>
      <c r="OZB10" s="1548"/>
      <c r="OZC10" s="1547">
        <f t="shared" ref="OZC10" si="5392">OZA10</f>
        <v>95000</v>
      </c>
      <c r="OZD10" s="1548"/>
      <c r="OZE10" s="1547">
        <f t="shared" ref="OZE10" si="5393">OZC10</f>
        <v>95000</v>
      </c>
      <c r="OZF10" s="1548"/>
      <c r="OZG10" s="1547">
        <f t="shared" ref="OZG10" si="5394">OZE10</f>
        <v>95000</v>
      </c>
      <c r="OZH10" s="1548"/>
      <c r="OZI10" s="1547">
        <f t="shared" ref="OZI10" si="5395">OZG10</f>
        <v>95000</v>
      </c>
      <c r="OZJ10" s="1548"/>
      <c r="OZK10" s="1547">
        <f t="shared" ref="OZK10" si="5396">OZI10</f>
        <v>95000</v>
      </c>
      <c r="OZL10" s="1548"/>
      <c r="OZM10" s="1547">
        <f t="shared" ref="OZM10" si="5397">OZK10</f>
        <v>95000</v>
      </c>
      <c r="OZN10" s="1548"/>
      <c r="OZO10" s="1547">
        <f t="shared" ref="OZO10" si="5398">OZM10</f>
        <v>95000</v>
      </c>
      <c r="OZP10" s="1548"/>
      <c r="OZQ10" s="1547">
        <f t="shared" ref="OZQ10" si="5399">OZO10</f>
        <v>95000</v>
      </c>
      <c r="OZR10" s="1548"/>
      <c r="OZS10" s="1547">
        <f t="shared" ref="OZS10" si="5400">OZQ10</f>
        <v>95000</v>
      </c>
      <c r="OZT10" s="1548"/>
      <c r="OZU10" s="1547">
        <f t="shared" ref="OZU10" si="5401">OZS10</f>
        <v>95000</v>
      </c>
      <c r="OZV10" s="1548"/>
      <c r="OZW10" s="1547">
        <f t="shared" ref="OZW10" si="5402">OZU10</f>
        <v>95000</v>
      </c>
      <c r="OZX10" s="1548"/>
      <c r="OZY10" s="1547">
        <f t="shared" ref="OZY10" si="5403">OZW10</f>
        <v>95000</v>
      </c>
      <c r="OZZ10" s="1548"/>
      <c r="PAA10" s="1547">
        <f t="shared" ref="PAA10" si="5404">OZY10</f>
        <v>95000</v>
      </c>
      <c r="PAB10" s="1548"/>
      <c r="PAC10" s="1547">
        <f t="shared" ref="PAC10" si="5405">PAA10</f>
        <v>95000</v>
      </c>
      <c r="PAD10" s="1548"/>
      <c r="PAE10" s="1547">
        <f t="shared" ref="PAE10" si="5406">PAC10</f>
        <v>95000</v>
      </c>
      <c r="PAF10" s="1548"/>
      <c r="PAG10" s="1547">
        <f t="shared" ref="PAG10" si="5407">PAE10</f>
        <v>95000</v>
      </c>
      <c r="PAH10" s="1548"/>
      <c r="PAI10" s="1547">
        <f t="shared" ref="PAI10" si="5408">PAG10</f>
        <v>95000</v>
      </c>
      <c r="PAJ10" s="1548"/>
      <c r="PAK10" s="1547">
        <f t="shared" ref="PAK10" si="5409">PAI10</f>
        <v>95000</v>
      </c>
      <c r="PAL10" s="1548"/>
      <c r="PAM10" s="1547">
        <f t="shared" ref="PAM10" si="5410">PAK10</f>
        <v>95000</v>
      </c>
      <c r="PAN10" s="1548"/>
      <c r="PAO10" s="1547">
        <f t="shared" ref="PAO10" si="5411">PAM10</f>
        <v>95000</v>
      </c>
      <c r="PAP10" s="1548"/>
      <c r="PAQ10" s="1547">
        <f t="shared" ref="PAQ10" si="5412">PAO10</f>
        <v>95000</v>
      </c>
      <c r="PAR10" s="1548"/>
      <c r="PAS10" s="1547">
        <f t="shared" ref="PAS10" si="5413">PAQ10</f>
        <v>95000</v>
      </c>
      <c r="PAT10" s="1548"/>
      <c r="PAU10" s="1547">
        <f t="shared" ref="PAU10" si="5414">PAS10</f>
        <v>95000</v>
      </c>
      <c r="PAV10" s="1548"/>
      <c r="PAW10" s="1547">
        <f t="shared" ref="PAW10" si="5415">PAU10</f>
        <v>95000</v>
      </c>
      <c r="PAX10" s="1548"/>
      <c r="PAY10" s="1547">
        <f t="shared" ref="PAY10" si="5416">PAW10</f>
        <v>95000</v>
      </c>
      <c r="PAZ10" s="1548"/>
      <c r="PBA10" s="1547">
        <f t="shared" ref="PBA10" si="5417">PAY10</f>
        <v>95000</v>
      </c>
      <c r="PBB10" s="1548"/>
      <c r="PBC10" s="1547">
        <f t="shared" ref="PBC10" si="5418">PBA10</f>
        <v>95000</v>
      </c>
      <c r="PBD10" s="1548"/>
      <c r="PBE10" s="1547">
        <f t="shared" ref="PBE10" si="5419">PBC10</f>
        <v>95000</v>
      </c>
      <c r="PBF10" s="1548"/>
      <c r="PBG10" s="1547">
        <f t="shared" ref="PBG10" si="5420">PBE10</f>
        <v>95000</v>
      </c>
      <c r="PBH10" s="1548"/>
      <c r="PBI10" s="1547">
        <f t="shared" ref="PBI10" si="5421">PBG10</f>
        <v>95000</v>
      </c>
      <c r="PBJ10" s="1548"/>
      <c r="PBK10" s="1547">
        <f t="shared" ref="PBK10" si="5422">PBI10</f>
        <v>95000</v>
      </c>
      <c r="PBL10" s="1548"/>
      <c r="PBM10" s="1547">
        <f t="shared" ref="PBM10" si="5423">PBK10</f>
        <v>95000</v>
      </c>
      <c r="PBN10" s="1548"/>
      <c r="PBO10" s="1547">
        <f t="shared" ref="PBO10" si="5424">PBM10</f>
        <v>95000</v>
      </c>
      <c r="PBP10" s="1548"/>
      <c r="PBQ10" s="1547">
        <f t="shared" ref="PBQ10" si="5425">PBO10</f>
        <v>95000</v>
      </c>
      <c r="PBR10" s="1548"/>
      <c r="PBS10" s="1547">
        <f t="shared" ref="PBS10" si="5426">PBQ10</f>
        <v>95000</v>
      </c>
      <c r="PBT10" s="1548"/>
      <c r="PBU10" s="1547">
        <f t="shared" ref="PBU10" si="5427">PBS10</f>
        <v>95000</v>
      </c>
      <c r="PBV10" s="1548"/>
      <c r="PBW10" s="1547">
        <f t="shared" ref="PBW10" si="5428">PBU10</f>
        <v>95000</v>
      </c>
      <c r="PBX10" s="1548"/>
      <c r="PBY10" s="1547">
        <f t="shared" ref="PBY10" si="5429">PBW10</f>
        <v>95000</v>
      </c>
      <c r="PBZ10" s="1548"/>
      <c r="PCA10" s="1547">
        <f t="shared" ref="PCA10" si="5430">PBY10</f>
        <v>95000</v>
      </c>
      <c r="PCB10" s="1548"/>
      <c r="PCC10" s="1547">
        <f t="shared" ref="PCC10" si="5431">PCA10</f>
        <v>95000</v>
      </c>
      <c r="PCD10" s="1548"/>
      <c r="PCE10" s="1547">
        <f t="shared" ref="PCE10" si="5432">PCC10</f>
        <v>95000</v>
      </c>
      <c r="PCF10" s="1548"/>
      <c r="PCG10" s="1547">
        <f t="shared" ref="PCG10" si="5433">PCE10</f>
        <v>95000</v>
      </c>
      <c r="PCH10" s="1548"/>
      <c r="PCI10" s="1547">
        <f t="shared" ref="PCI10" si="5434">PCG10</f>
        <v>95000</v>
      </c>
      <c r="PCJ10" s="1548"/>
      <c r="PCK10" s="1547">
        <f t="shared" ref="PCK10" si="5435">PCI10</f>
        <v>95000</v>
      </c>
      <c r="PCL10" s="1548"/>
      <c r="PCM10" s="1547">
        <f t="shared" ref="PCM10" si="5436">PCK10</f>
        <v>95000</v>
      </c>
      <c r="PCN10" s="1548"/>
      <c r="PCO10" s="1547">
        <f t="shared" ref="PCO10" si="5437">PCM10</f>
        <v>95000</v>
      </c>
      <c r="PCP10" s="1548"/>
      <c r="PCQ10" s="1547">
        <f t="shared" ref="PCQ10" si="5438">PCO10</f>
        <v>95000</v>
      </c>
      <c r="PCR10" s="1548"/>
      <c r="PCS10" s="1547">
        <f t="shared" ref="PCS10" si="5439">PCQ10</f>
        <v>95000</v>
      </c>
      <c r="PCT10" s="1548"/>
      <c r="PCU10" s="1547">
        <f t="shared" ref="PCU10" si="5440">PCS10</f>
        <v>95000</v>
      </c>
      <c r="PCV10" s="1548"/>
      <c r="PCW10" s="1547">
        <f t="shared" ref="PCW10" si="5441">PCU10</f>
        <v>95000</v>
      </c>
      <c r="PCX10" s="1548"/>
      <c r="PCY10" s="1547">
        <f t="shared" ref="PCY10" si="5442">PCW10</f>
        <v>95000</v>
      </c>
      <c r="PCZ10" s="1548"/>
      <c r="PDA10" s="1547">
        <f t="shared" ref="PDA10" si="5443">PCY10</f>
        <v>95000</v>
      </c>
      <c r="PDB10" s="1548"/>
      <c r="PDC10" s="1547">
        <f t="shared" ref="PDC10" si="5444">PDA10</f>
        <v>95000</v>
      </c>
      <c r="PDD10" s="1548"/>
      <c r="PDE10" s="1547">
        <f t="shared" ref="PDE10" si="5445">PDC10</f>
        <v>95000</v>
      </c>
      <c r="PDF10" s="1548"/>
      <c r="PDG10" s="1547">
        <f t="shared" ref="PDG10" si="5446">PDE10</f>
        <v>95000</v>
      </c>
      <c r="PDH10" s="1548"/>
      <c r="PDI10" s="1547">
        <f t="shared" ref="PDI10" si="5447">PDG10</f>
        <v>95000</v>
      </c>
      <c r="PDJ10" s="1548"/>
      <c r="PDK10" s="1547">
        <f t="shared" ref="PDK10" si="5448">PDI10</f>
        <v>95000</v>
      </c>
      <c r="PDL10" s="1548"/>
      <c r="PDM10" s="1547">
        <f t="shared" ref="PDM10" si="5449">PDK10</f>
        <v>95000</v>
      </c>
      <c r="PDN10" s="1548"/>
      <c r="PDO10" s="1547">
        <f t="shared" ref="PDO10" si="5450">PDM10</f>
        <v>95000</v>
      </c>
      <c r="PDP10" s="1548"/>
      <c r="PDQ10" s="1547">
        <f t="shared" ref="PDQ10" si="5451">PDO10</f>
        <v>95000</v>
      </c>
      <c r="PDR10" s="1548"/>
      <c r="PDS10" s="1547">
        <f t="shared" ref="PDS10" si="5452">PDQ10</f>
        <v>95000</v>
      </c>
      <c r="PDT10" s="1548"/>
      <c r="PDU10" s="1547">
        <f t="shared" ref="PDU10" si="5453">PDS10</f>
        <v>95000</v>
      </c>
      <c r="PDV10" s="1548"/>
      <c r="PDW10" s="1547">
        <f t="shared" ref="PDW10" si="5454">PDU10</f>
        <v>95000</v>
      </c>
      <c r="PDX10" s="1548"/>
      <c r="PDY10" s="1547">
        <f t="shared" ref="PDY10" si="5455">PDW10</f>
        <v>95000</v>
      </c>
      <c r="PDZ10" s="1548"/>
      <c r="PEA10" s="1547">
        <f t="shared" ref="PEA10" si="5456">PDY10</f>
        <v>95000</v>
      </c>
      <c r="PEB10" s="1548"/>
      <c r="PEC10" s="1547">
        <f t="shared" ref="PEC10" si="5457">PEA10</f>
        <v>95000</v>
      </c>
      <c r="PED10" s="1548"/>
      <c r="PEE10" s="1547">
        <f t="shared" ref="PEE10" si="5458">PEC10</f>
        <v>95000</v>
      </c>
      <c r="PEF10" s="1548"/>
      <c r="PEG10" s="1547">
        <f t="shared" ref="PEG10" si="5459">PEE10</f>
        <v>95000</v>
      </c>
      <c r="PEH10" s="1548"/>
      <c r="PEI10" s="1547">
        <f t="shared" ref="PEI10" si="5460">PEG10</f>
        <v>95000</v>
      </c>
      <c r="PEJ10" s="1548"/>
      <c r="PEK10" s="1547">
        <f t="shared" ref="PEK10" si="5461">PEI10</f>
        <v>95000</v>
      </c>
      <c r="PEL10" s="1548"/>
      <c r="PEM10" s="1547">
        <f t="shared" ref="PEM10" si="5462">PEK10</f>
        <v>95000</v>
      </c>
      <c r="PEN10" s="1548"/>
      <c r="PEO10" s="1547">
        <f t="shared" ref="PEO10" si="5463">PEM10</f>
        <v>95000</v>
      </c>
      <c r="PEP10" s="1548"/>
      <c r="PEQ10" s="1547">
        <f t="shared" ref="PEQ10" si="5464">PEO10</f>
        <v>95000</v>
      </c>
      <c r="PER10" s="1548"/>
      <c r="PES10" s="1547">
        <f t="shared" ref="PES10" si="5465">PEQ10</f>
        <v>95000</v>
      </c>
      <c r="PET10" s="1548"/>
      <c r="PEU10" s="1547">
        <f t="shared" ref="PEU10" si="5466">PES10</f>
        <v>95000</v>
      </c>
      <c r="PEV10" s="1548"/>
      <c r="PEW10" s="1547">
        <f t="shared" ref="PEW10" si="5467">PEU10</f>
        <v>95000</v>
      </c>
      <c r="PEX10" s="1548"/>
      <c r="PEY10" s="1547">
        <f t="shared" ref="PEY10" si="5468">PEW10</f>
        <v>95000</v>
      </c>
      <c r="PEZ10" s="1548"/>
      <c r="PFA10" s="1547">
        <f t="shared" ref="PFA10" si="5469">PEY10</f>
        <v>95000</v>
      </c>
      <c r="PFB10" s="1548"/>
      <c r="PFC10" s="1547">
        <f t="shared" ref="PFC10" si="5470">PFA10</f>
        <v>95000</v>
      </c>
      <c r="PFD10" s="1548"/>
      <c r="PFE10" s="1547">
        <f t="shared" ref="PFE10" si="5471">PFC10</f>
        <v>95000</v>
      </c>
      <c r="PFF10" s="1548"/>
      <c r="PFG10" s="1547">
        <f t="shared" ref="PFG10" si="5472">PFE10</f>
        <v>95000</v>
      </c>
      <c r="PFH10" s="1548"/>
      <c r="PFI10" s="1547">
        <f t="shared" ref="PFI10" si="5473">PFG10</f>
        <v>95000</v>
      </c>
      <c r="PFJ10" s="1548"/>
      <c r="PFK10" s="1547">
        <f t="shared" ref="PFK10" si="5474">PFI10</f>
        <v>95000</v>
      </c>
      <c r="PFL10" s="1548"/>
      <c r="PFM10" s="1547">
        <f t="shared" ref="PFM10" si="5475">PFK10</f>
        <v>95000</v>
      </c>
      <c r="PFN10" s="1548"/>
      <c r="PFO10" s="1547">
        <f t="shared" ref="PFO10" si="5476">PFM10</f>
        <v>95000</v>
      </c>
      <c r="PFP10" s="1548"/>
      <c r="PFQ10" s="1547">
        <f t="shared" ref="PFQ10" si="5477">PFO10</f>
        <v>95000</v>
      </c>
      <c r="PFR10" s="1548"/>
      <c r="PFS10" s="1547">
        <f t="shared" ref="PFS10" si="5478">PFQ10</f>
        <v>95000</v>
      </c>
      <c r="PFT10" s="1548"/>
      <c r="PFU10" s="1547">
        <f t="shared" ref="PFU10" si="5479">PFS10</f>
        <v>95000</v>
      </c>
      <c r="PFV10" s="1548"/>
      <c r="PFW10" s="1547">
        <f t="shared" ref="PFW10" si="5480">PFU10</f>
        <v>95000</v>
      </c>
      <c r="PFX10" s="1548"/>
      <c r="PFY10" s="1547">
        <f t="shared" ref="PFY10" si="5481">PFW10</f>
        <v>95000</v>
      </c>
      <c r="PFZ10" s="1548"/>
      <c r="PGA10" s="1547">
        <f t="shared" ref="PGA10" si="5482">PFY10</f>
        <v>95000</v>
      </c>
      <c r="PGB10" s="1548"/>
      <c r="PGC10" s="1547">
        <f t="shared" ref="PGC10" si="5483">PGA10</f>
        <v>95000</v>
      </c>
      <c r="PGD10" s="1548"/>
      <c r="PGE10" s="1547">
        <f t="shared" ref="PGE10" si="5484">PGC10</f>
        <v>95000</v>
      </c>
      <c r="PGF10" s="1548"/>
      <c r="PGG10" s="1547">
        <f t="shared" ref="PGG10" si="5485">PGE10</f>
        <v>95000</v>
      </c>
      <c r="PGH10" s="1548"/>
      <c r="PGI10" s="1547">
        <f t="shared" ref="PGI10" si="5486">PGG10</f>
        <v>95000</v>
      </c>
      <c r="PGJ10" s="1548"/>
      <c r="PGK10" s="1547">
        <f t="shared" ref="PGK10" si="5487">PGI10</f>
        <v>95000</v>
      </c>
      <c r="PGL10" s="1548"/>
      <c r="PGM10" s="1547">
        <f t="shared" ref="PGM10" si="5488">PGK10</f>
        <v>95000</v>
      </c>
      <c r="PGN10" s="1548"/>
      <c r="PGO10" s="1547">
        <f t="shared" ref="PGO10" si="5489">PGM10</f>
        <v>95000</v>
      </c>
      <c r="PGP10" s="1548"/>
      <c r="PGQ10" s="1547">
        <f t="shared" ref="PGQ10" si="5490">PGO10</f>
        <v>95000</v>
      </c>
      <c r="PGR10" s="1548"/>
      <c r="PGS10" s="1547">
        <f t="shared" ref="PGS10" si="5491">PGQ10</f>
        <v>95000</v>
      </c>
      <c r="PGT10" s="1548"/>
      <c r="PGU10" s="1547">
        <f t="shared" ref="PGU10" si="5492">PGS10</f>
        <v>95000</v>
      </c>
      <c r="PGV10" s="1548"/>
      <c r="PGW10" s="1547">
        <f t="shared" ref="PGW10" si="5493">PGU10</f>
        <v>95000</v>
      </c>
      <c r="PGX10" s="1548"/>
      <c r="PGY10" s="1547">
        <f t="shared" ref="PGY10" si="5494">PGW10</f>
        <v>95000</v>
      </c>
      <c r="PGZ10" s="1548"/>
      <c r="PHA10" s="1547">
        <f t="shared" ref="PHA10" si="5495">PGY10</f>
        <v>95000</v>
      </c>
      <c r="PHB10" s="1548"/>
      <c r="PHC10" s="1547">
        <f t="shared" ref="PHC10" si="5496">PHA10</f>
        <v>95000</v>
      </c>
      <c r="PHD10" s="1548"/>
      <c r="PHE10" s="1547">
        <f t="shared" ref="PHE10" si="5497">PHC10</f>
        <v>95000</v>
      </c>
      <c r="PHF10" s="1548"/>
      <c r="PHG10" s="1547">
        <f t="shared" ref="PHG10" si="5498">PHE10</f>
        <v>95000</v>
      </c>
      <c r="PHH10" s="1548"/>
      <c r="PHI10" s="1547">
        <f t="shared" ref="PHI10" si="5499">PHG10</f>
        <v>95000</v>
      </c>
      <c r="PHJ10" s="1548"/>
      <c r="PHK10" s="1547">
        <f t="shared" ref="PHK10" si="5500">PHI10</f>
        <v>95000</v>
      </c>
      <c r="PHL10" s="1548"/>
      <c r="PHM10" s="1547">
        <f t="shared" ref="PHM10" si="5501">PHK10</f>
        <v>95000</v>
      </c>
      <c r="PHN10" s="1548"/>
      <c r="PHO10" s="1547">
        <f t="shared" ref="PHO10" si="5502">PHM10</f>
        <v>95000</v>
      </c>
      <c r="PHP10" s="1548"/>
      <c r="PHQ10" s="1547">
        <f t="shared" ref="PHQ10" si="5503">PHO10</f>
        <v>95000</v>
      </c>
      <c r="PHR10" s="1548"/>
      <c r="PHS10" s="1547">
        <f t="shared" ref="PHS10" si="5504">PHQ10</f>
        <v>95000</v>
      </c>
      <c r="PHT10" s="1548"/>
      <c r="PHU10" s="1547">
        <f t="shared" ref="PHU10" si="5505">PHS10</f>
        <v>95000</v>
      </c>
      <c r="PHV10" s="1548"/>
      <c r="PHW10" s="1547">
        <f t="shared" ref="PHW10" si="5506">PHU10</f>
        <v>95000</v>
      </c>
      <c r="PHX10" s="1548"/>
      <c r="PHY10" s="1547">
        <f t="shared" ref="PHY10" si="5507">PHW10</f>
        <v>95000</v>
      </c>
      <c r="PHZ10" s="1548"/>
      <c r="PIA10" s="1547">
        <f t="shared" ref="PIA10" si="5508">PHY10</f>
        <v>95000</v>
      </c>
      <c r="PIB10" s="1548"/>
      <c r="PIC10" s="1547">
        <f t="shared" ref="PIC10" si="5509">PIA10</f>
        <v>95000</v>
      </c>
      <c r="PID10" s="1548"/>
      <c r="PIE10" s="1547">
        <f t="shared" ref="PIE10" si="5510">PIC10</f>
        <v>95000</v>
      </c>
      <c r="PIF10" s="1548"/>
      <c r="PIG10" s="1547">
        <f t="shared" ref="PIG10" si="5511">PIE10</f>
        <v>95000</v>
      </c>
      <c r="PIH10" s="1548"/>
      <c r="PII10" s="1547">
        <f t="shared" ref="PII10" si="5512">PIG10</f>
        <v>95000</v>
      </c>
      <c r="PIJ10" s="1548"/>
      <c r="PIK10" s="1547">
        <f t="shared" ref="PIK10" si="5513">PII10</f>
        <v>95000</v>
      </c>
      <c r="PIL10" s="1548"/>
      <c r="PIM10" s="1547">
        <f t="shared" ref="PIM10" si="5514">PIK10</f>
        <v>95000</v>
      </c>
      <c r="PIN10" s="1548"/>
      <c r="PIO10" s="1547">
        <f t="shared" ref="PIO10" si="5515">PIM10</f>
        <v>95000</v>
      </c>
      <c r="PIP10" s="1548"/>
      <c r="PIQ10" s="1547">
        <f t="shared" ref="PIQ10" si="5516">PIO10</f>
        <v>95000</v>
      </c>
      <c r="PIR10" s="1548"/>
      <c r="PIS10" s="1547">
        <f t="shared" ref="PIS10" si="5517">PIQ10</f>
        <v>95000</v>
      </c>
      <c r="PIT10" s="1548"/>
      <c r="PIU10" s="1547">
        <f t="shared" ref="PIU10" si="5518">PIS10</f>
        <v>95000</v>
      </c>
      <c r="PIV10" s="1548"/>
      <c r="PIW10" s="1547">
        <f t="shared" ref="PIW10" si="5519">PIU10</f>
        <v>95000</v>
      </c>
      <c r="PIX10" s="1548"/>
      <c r="PIY10" s="1547">
        <f t="shared" ref="PIY10" si="5520">PIW10</f>
        <v>95000</v>
      </c>
      <c r="PIZ10" s="1548"/>
      <c r="PJA10" s="1547">
        <f t="shared" ref="PJA10" si="5521">PIY10</f>
        <v>95000</v>
      </c>
      <c r="PJB10" s="1548"/>
      <c r="PJC10" s="1547">
        <f t="shared" ref="PJC10" si="5522">PJA10</f>
        <v>95000</v>
      </c>
      <c r="PJD10" s="1548"/>
      <c r="PJE10" s="1547">
        <f t="shared" ref="PJE10" si="5523">PJC10</f>
        <v>95000</v>
      </c>
      <c r="PJF10" s="1548"/>
      <c r="PJG10" s="1547">
        <f t="shared" ref="PJG10" si="5524">PJE10</f>
        <v>95000</v>
      </c>
      <c r="PJH10" s="1548"/>
      <c r="PJI10" s="1547">
        <f t="shared" ref="PJI10" si="5525">PJG10</f>
        <v>95000</v>
      </c>
      <c r="PJJ10" s="1548"/>
      <c r="PJK10" s="1547">
        <f t="shared" ref="PJK10" si="5526">PJI10</f>
        <v>95000</v>
      </c>
      <c r="PJL10" s="1548"/>
      <c r="PJM10" s="1547">
        <f t="shared" ref="PJM10" si="5527">PJK10</f>
        <v>95000</v>
      </c>
      <c r="PJN10" s="1548"/>
      <c r="PJO10" s="1547">
        <f t="shared" ref="PJO10" si="5528">PJM10</f>
        <v>95000</v>
      </c>
      <c r="PJP10" s="1548"/>
      <c r="PJQ10" s="1547">
        <f t="shared" ref="PJQ10" si="5529">PJO10</f>
        <v>95000</v>
      </c>
      <c r="PJR10" s="1548"/>
      <c r="PJS10" s="1547">
        <f t="shared" ref="PJS10" si="5530">PJQ10</f>
        <v>95000</v>
      </c>
      <c r="PJT10" s="1548"/>
      <c r="PJU10" s="1547">
        <f t="shared" ref="PJU10" si="5531">PJS10</f>
        <v>95000</v>
      </c>
      <c r="PJV10" s="1548"/>
      <c r="PJW10" s="1547">
        <f t="shared" ref="PJW10" si="5532">PJU10</f>
        <v>95000</v>
      </c>
      <c r="PJX10" s="1548"/>
      <c r="PJY10" s="1547">
        <f t="shared" ref="PJY10" si="5533">PJW10</f>
        <v>95000</v>
      </c>
      <c r="PJZ10" s="1548"/>
      <c r="PKA10" s="1547">
        <f t="shared" ref="PKA10" si="5534">PJY10</f>
        <v>95000</v>
      </c>
      <c r="PKB10" s="1548"/>
      <c r="PKC10" s="1547">
        <f t="shared" ref="PKC10" si="5535">PKA10</f>
        <v>95000</v>
      </c>
      <c r="PKD10" s="1548"/>
      <c r="PKE10" s="1547">
        <f t="shared" ref="PKE10" si="5536">PKC10</f>
        <v>95000</v>
      </c>
      <c r="PKF10" s="1548"/>
      <c r="PKG10" s="1547">
        <f t="shared" ref="PKG10" si="5537">PKE10</f>
        <v>95000</v>
      </c>
      <c r="PKH10" s="1548"/>
      <c r="PKI10" s="1547">
        <f t="shared" ref="PKI10" si="5538">PKG10</f>
        <v>95000</v>
      </c>
      <c r="PKJ10" s="1548"/>
      <c r="PKK10" s="1547">
        <f t="shared" ref="PKK10" si="5539">PKI10</f>
        <v>95000</v>
      </c>
      <c r="PKL10" s="1548"/>
      <c r="PKM10" s="1547">
        <f t="shared" ref="PKM10" si="5540">PKK10</f>
        <v>95000</v>
      </c>
      <c r="PKN10" s="1548"/>
      <c r="PKO10" s="1547">
        <f t="shared" ref="PKO10" si="5541">PKM10</f>
        <v>95000</v>
      </c>
      <c r="PKP10" s="1548"/>
      <c r="PKQ10" s="1547">
        <f t="shared" ref="PKQ10" si="5542">PKO10</f>
        <v>95000</v>
      </c>
      <c r="PKR10" s="1548"/>
      <c r="PKS10" s="1547">
        <f t="shared" ref="PKS10" si="5543">PKQ10</f>
        <v>95000</v>
      </c>
      <c r="PKT10" s="1548"/>
      <c r="PKU10" s="1547">
        <f t="shared" ref="PKU10" si="5544">PKS10</f>
        <v>95000</v>
      </c>
      <c r="PKV10" s="1548"/>
      <c r="PKW10" s="1547">
        <f t="shared" ref="PKW10" si="5545">PKU10</f>
        <v>95000</v>
      </c>
      <c r="PKX10" s="1548"/>
      <c r="PKY10" s="1547">
        <f t="shared" ref="PKY10" si="5546">PKW10</f>
        <v>95000</v>
      </c>
      <c r="PKZ10" s="1548"/>
      <c r="PLA10" s="1547">
        <f t="shared" ref="PLA10" si="5547">PKY10</f>
        <v>95000</v>
      </c>
      <c r="PLB10" s="1548"/>
      <c r="PLC10" s="1547">
        <f t="shared" ref="PLC10" si="5548">PLA10</f>
        <v>95000</v>
      </c>
      <c r="PLD10" s="1548"/>
      <c r="PLE10" s="1547">
        <f t="shared" ref="PLE10" si="5549">PLC10</f>
        <v>95000</v>
      </c>
      <c r="PLF10" s="1548"/>
      <c r="PLG10" s="1547">
        <f t="shared" ref="PLG10" si="5550">PLE10</f>
        <v>95000</v>
      </c>
      <c r="PLH10" s="1548"/>
      <c r="PLI10" s="1547">
        <f t="shared" ref="PLI10" si="5551">PLG10</f>
        <v>95000</v>
      </c>
      <c r="PLJ10" s="1548"/>
      <c r="PLK10" s="1547">
        <f t="shared" ref="PLK10" si="5552">PLI10</f>
        <v>95000</v>
      </c>
      <c r="PLL10" s="1548"/>
      <c r="PLM10" s="1547">
        <f t="shared" ref="PLM10" si="5553">PLK10</f>
        <v>95000</v>
      </c>
      <c r="PLN10" s="1548"/>
      <c r="PLO10" s="1547">
        <f t="shared" ref="PLO10" si="5554">PLM10</f>
        <v>95000</v>
      </c>
      <c r="PLP10" s="1548"/>
      <c r="PLQ10" s="1547">
        <f t="shared" ref="PLQ10" si="5555">PLO10</f>
        <v>95000</v>
      </c>
      <c r="PLR10" s="1548"/>
      <c r="PLS10" s="1547">
        <f t="shared" ref="PLS10" si="5556">PLQ10</f>
        <v>95000</v>
      </c>
      <c r="PLT10" s="1548"/>
      <c r="PLU10" s="1547">
        <f t="shared" ref="PLU10" si="5557">PLS10</f>
        <v>95000</v>
      </c>
      <c r="PLV10" s="1548"/>
      <c r="PLW10" s="1547">
        <f t="shared" ref="PLW10" si="5558">PLU10</f>
        <v>95000</v>
      </c>
      <c r="PLX10" s="1548"/>
      <c r="PLY10" s="1547">
        <f t="shared" ref="PLY10" si="5559">PLW10</f>
        <v>95000</v>
      </c>
      <c r="PLZ10" s="1548"/>
      <c r="PMA10" s="1547">
        <f t="shared" ref="PMA10" si="5560">PLY10</f>
        <v>95000</v>
      </c>
      <c r="PMB10" s="1548"/>
      <c r="PMC10" s="1547">
        <f t="shared" ref="PMC10" si="5561">PMA10</f>
        <v>95000</v>
      </c>
      <c r="PMD10" s="1548"/>
      <c r="PME10" s="1547">
        <f t="shared" ref="PME10" si="5562">PMC10</f>
        <v>95000</v>
      </c>
      <c r="PMF10" s="1548"/>
      <c r="PMG10" s="1547">
        <f t="shared" ref="PMG10" si="5563">PME10</f>
        <v>95000</v>
      </c>
      <c r="PMH10" s="1548"/>
      <c r="PMI10" s="1547">
        <f t="shared" ref="PMI10" si="5564">PMG10</f>
        <v>95000</v>
      </c>
      <c r="PMJ10" s="1548"/>
      <c r="PMK10" s="1547">
        <f t="shared" ref="PMK10" si="5565">PMI10</f>
        <v>95000</v>
      </c>
      <c r="PML10" s="1548"/>
      <c r="PMM10" s="1547">
        <f t="shared" ref="PMM10" si="5566">PMK10</f>
        <v>95000</v>
      </c>
      <c r="PMN10" s="1548"/>
      <c r="PMO10" s="1547">
        <f t="shared" ref="PMO10" si="5567">PMM10</f>
        <v>95000</v>
      </c>
      <c r="PMP10" s="1548"/>
      <c r="PMQ10" s="1547">
        <f t="shared" ref="PMQ10" si="5568">PMO10</f>
        <v>95000</v>
      </c>
      <c r="PMR10" s="1548"/>
      <c r="PMS10" s="1547">
        <f t="shared" ref="PMS10" si="5569">PMQ10</f>
        <v>95000</v>
      </c>
      <c r="PMT10" s="1548"/>
      <c r="PMU10" s="1547">
        <f t="shared" ref="PMU10" si="5570">PMS10</f>
        <v>95000</v>
      </c>
      <c r="PMV10" s="1548"/>
      <c r="PMW10" s="1547">
        <f t="shared" ref="PMW10" si="5571">PMU10</f>
        <v>95000</v>
      </c>
      <c r="PMX10" s="1548"/>
      <c r="PMY10" s="1547">
        <f t="shared" ref="PMY10" si="5572">PMW10</f>
        <v>95000</v>
      </c>
      <c r="PMZ10" s="1548"/>
      <c r="PNA10" s="1547">
        <f t="shared" ref="PNA10" si="5573">PMY10</f>
        <v>95000</v>
      </c>
      <c r="PNB10" s="1548"/>
      <c r="PNC10" s="1547">
        <f t="shared" ref="PNC10" si="5574">PNA10</f>
        <v>95000</v>
      </c>
      <c r="PND10" s="1548"/>
      <c r="PNE10" s="1547">
        <f t="shared" ref="PNE10" si="5575">PNC10</f>
        <v>95000</v>
      </c>
      <c r="PNF10" s="1548"/>
      <c r="PNG10" s="1547">
        <f t="shared" ref="PNG10" si="5576">PNE10</f>
        <v>95000</v>
      </c>
      <c r="PNH10" s="1548"/>
      <c r="PNI10" s="1547">
        <f t="shared" ref="PNI10" si="5577">PNG10</f>
        <v>95000</v>
      </c>
      <c r="PNJ10" s="1548"/>
      <c r="PNK10" s="1547">
        <f t="shared" ref="PNK10" si="5578">PNI10</f>
        <v>95000</v>
      </c>
      <c r="PNL10" s="1548"/>
      <c r="PNM10" s="1547">
        <f t="shared" ref="PNM10" si="5579">PNK10</f>
        <v>95000</v>
      </c>
      <c r="PNN10" s="1548"/>
      <c r="PNO10" s="1547">
        <f t="shared" ref="PNO10" si="5580">PNM10</f>
        <v>95000</v>
      </c>
      <c r="PNP10" s="1548"/>
      <c r="PNQ10" s="1547">
        <f t="shared" ref="PNQ10" si="5581">PNO10</f>
        <v>95000</v>
      </c>
      <c r="PNR10" s="1548"/>
      <c r="PNS10" s="1547">
        <f t="shared" ref="PNS10" si="5582">PNQ10</f>
        <v>95000</v>
      </c>
      <c r="PNT10" s="1548"/>
      <c r="PNU10" s="1547">
        <f t="shared" ref="PNU10" si="5583">PNS10</f>
        <v>95000</v>
      </c>
      <c r="PNV10" s="1548"/>
      <c r="PNW10" s="1547">
        <f t="shared" ref="PNW10" si="5584">PNU10</f>
        <v>95000</v>
      </c>
      <c r="PNX10" s="1548"/>
      <c r="PNY10" s="1547">
        <f t="shared" ref="PNY10" si="5585">PNW10</f>
        <v>95000</v>
      </c>
      <c r="PNZ10" s="1548"/>
      <c r="POA10" s="1547">
        <f t="shared" ref="POA10" si="5586">PNY10</f>
        <v>95000</v>
      </c>
      <c r="POB10" s="1548"/>
      <c r="POC10" s="1547">
        <f t="shared" ref="POC10" si="5587">POA10</f>
        <v>95000</v>
      </c>
      <c r="POD10" s="1548"/>
      <c r="POE10" s="1547">
        <f t="shared" ref="POE10" si="5588">POC10</f>
        <v>95000</v>
      </c>
      <c r="POF10" s="1548"/>
      <c r="POG10" s="1547">
        <f t="shared" ref="POG10" si="5589">POE10</f>
        <v>95000</v>
      </c>
      <c r="POH10" s="1548"/>
      <c r="POI10" s="1547">
        <f t="shared" ref="POI10" si="5590">POG10</f>
        <v>95000</v>
      </c>
      <c r="POJ10" s="1548"/>
      <c r="POK10" s="1547">
        <f t="shared" ref="POK10" si="5591">POI10</f>
        <v>95000</v>
      </c>
      <c r="POL10" s="1548"/>
      <c r="POM10" s="1547">
        <f t="shared" ref="POM10" si="5592">POK10</f>
        <v>95000</v>
      </c>
      <c r="PON10" s="1548"/>
      <c r="POO10" s="1547">
        <f t="shared" ref="POO10" si="5593">POM10</f>
        <v>95000</v>
      </c>
      <c r="POP10" s="1548"/>
      <c r="POQ10" s="1547">
        <f t="shared" ref="POQ10" si="5594">POO10</f>
        <v>95000</v>
      </c>
      <c r="POR10" s="1548"/>
      <c r="POS10" s="1547">
        <f t="shared" ref="POS10" si="5595">POQ10</f>
        <v>95000</v>
      </c>
      <c r="POT10" s="1548"/>
      <c r="POU10" s="1547">
        <f t="shared" ref="POU10" si="5596">POS10</f>
        <v>95000</v>
      </c>
      <c r="POV10" s="1548"/>
      <c r="POW10" s="1547">
        <f t="shared" ref="POW10" si="5597">POU10</f>
        <v>95000</v>
      </c>
      <c r="POX10" s="1548"/>
      <c r="POY10" s="1547">
        <f t="shared" ref="POY10" si="5598">POW10</f>
        <v>95000</v>
      </c>
      <c r="POZ10" s="1548"/>
      <c r="PPA10" s="1547">
        <f t="shared" ref="PPA10" si="5599">POY10</f>
        <v>95000</v>
      </c>
      <c r="PPB10" s="1548"/>
      <c r="PPC10" s="1547">
        <f t="shared" ref="PPC10" si="5600">PPA10</f>
        <v>95000</v>
      </c>
      <c r="PPD10" s="1548"/>
      <c r="PPE10" s="1547">
        <f t="shared" ref="PPE10" si="5601">PPC10</f>
        <v>95000</v>
      </c>
      <c r="PPF10" s="1548"/>
      <c r="PPG10" s="1547">
        <f t="shared" ref="PPG10" si="5602">PPE10</f>
        <v>95000</v>
      </c>
      <c r="PPH10" s="1548"/>
      <c r="PPI10" s="1547">
        <f t="shared" ref="PPI10" si="5603">PPG10</f>
        <v>95000</v>
      </c>
      <c r="PPJ10" s="1548"/>
      <c r="PPK10" s="1547">
        <f t="shared" ref="PPK10" si="5604">PPI10</f>
        <v>95000</v>
      </c>
      <c r="PPL10" s="1548"/>
      <c r="PPM10" s="1547">
        <f t="shared" ref="PPM10" si="5605">PPK10</f>
        <v>95000</v>
      </c>
      <c r="PPN10" s="1548"/>
      <c r="PPO10" s="1547">
        <f t="shared" ref="PPO10" si="5606">PPM10</f>
        <v>95000</v>
      </c>
      <c r="PPP10" s="1548"/>
      <c r="PPQ10" s="1547">
        <f t="shared" ref="PPQ10" si="5607">PPO10</f>
        <v>95000</v>
      </c>
      <c r="PPR10" s="1548"/>
      <c r="PPS10" s="1547">
        <f t="shared" ref="PPS10" si="5608">PPQ10</f>
        <v>95000</v>
      </c>
      <c r="PPT10" s="1548"/>
      <c r="PPU10" s="1547">
        <f t="shared" ref="PPU10" si="5609">PPS10</f>
        <v>95000</v>
      </c>
      <c r="PPV10" s="1548"/>
      <c r="PPW10" s="1547">
        <f t="shared" ref="PPW10" si="5610">PPU10</f>
        <v>95000</v>
      </c>
      <c r="PPX10" s="1548"/>
      <c r="PPY10" s="1547">
        <f t="shared" ref="PPY10" si="5611">PPW10</f>
        <v>95000</v>
      </c>
      <c r="PPZ10" s="1548"/>
      <c r="PQA10" s="1547">
        <f t="shared" ref="PQA10" si="5612">PPY10</f>
        <v>95000</v>
      </c>
      <c r="PQB10" s="1548"/>
      <c r="PQC10" s="1547">
        <f t="shared" ref="PQC10" si="5613">PQA10</f>
        <v>95000</v>
      </c>
      <c r="PQD10" s="1548"/>
      <c r="PQE10" s="1547">
        <f t="shared" ref="PQE10" si="5614">PQC10</f>
        <v>95000</v>
      </c>
      <c r="PQF10" s="1548"/>
      <c r="PQG10" s="1547">
        <f t="shared" ref="PQG10" si="5615">PQE10</f>
        <v>95000</v>
      </c>
      <c r="PQH10" s="1548"/>
      <c r="PQI10" s="1547">
        <f t="shared" ref="PQI10" si="5616">PQG10</f>
        <v>95000</v>
      </c>
      <c r="PQJ10" s="1548"/>
      <c r="PQK10" s="1547">
        <f t="shared" ref="PQK10" si="5617">PQI10</f>
        <v>95000</v>
      </c>
      <c r="PQL10" s="1548"/>
      <c r="PQM10" s="1547">
        <f t="shared" ref="PQM10" si="5618">PQK10</f>
        <v>95000</v>
      </c>
      <c r="PQN10" s="1548"/>
      <c r="PQO10" s="1547">
        <f t="shared" ref="PQO10" si="5619">PQM10</f>
        <v>95000</v>
      </c>
      <c r="PQP10" s="1548"/>
      <c r="PQQ10" s="1547">
        <f t="shared" ref="PQQ10" si="5620">PQO10</f>
        <v>95000</v>
      </c>
      <c r="PQR10" s="1548"/>
      <c r="PQS10" s="1547">
        <f t="shared" ref="PQS10" si="5621">PQQ10</f>
        <v>95000</v>
      </c>
      <c r="PQT10" s="1548"/>
      <c r="PQU10" s="1547">
        <f t="shared" ref="PQU10" si="5622">PQS10</f>
        <v>95000</v>
      </c>
      <c r="PQV10" s="1548"/>
      <c r="PQW10" s="1547">
        <f t="shared" ref="PQW10" si="5623">PQU10</f>
        <v>95000</v>
      </c>
      <c r="PQX10" s="1548"/>
      <c r="PQY10" s="1547">
        <f t="shared" ref="PQY10" si="5624">PQW10</f>
        <v>95000</v>
      </c>
      <c r="PQZ10" s="1548"/>
      <c r="PRA10" s="1547">
        <f t="shared" ref="PRA10" si="5625">PQY10</f>
        <v>95000</v>
      </c>
      <c r="PRB10" s="1548"/>
      <c r="PRC10" s="1547">
        <f t="shared" ref="PRC10" si="5626">PRA10</f>
        <v>95000</v>
      </c>
      <c r="PRD10" s="1548"/>
      <c r="PRE10" s="1547">
        <f t="shared" ref="PRE10" si="5627">PRC10</f>
        <v>95000</v>
      </c>
      <c r="PRF10" s="1548"/>
      <c r="PRG10" s="1547">
        <f t="shared" ref="PRG10" si="5628">PRE10</f>
        <v>95000</v>
      </c>
      <c r="PRH10" s="1548"/>
      <c r="PRI10" s="1547">
        <f t="shared" ref="PRI10" si="5629">PRG10</f>
        <v>95000</v>
      </c>
      <c r="PRJ10" s="1548"/>
      <c r="PRK10" s="1547">
        <f t="shared" ref="PRK10" si="5630">PRI10</f>
        <v>95000</v>
      </c>
      <c r="PRL10" s="1548"/>
      <c r="PRM10" s="1547">
        <f t="shared" ref="PRM10" si="5631">PRK10</f>
        <v>95000</v>
      </c>
      <c r="PRN10" s="1548"/>
      <c r="PRO10" s="1547">
        <f t="shared" ref="PRO10" si="5632">PRM10</f>
        <v>95000</v>
      </c>
      <c r="PRP10" s="1548"/>
      <c r="PRQ10" s="1547">
        <f t="shared" ref="PRQ10" si="5633">PRO10</f>
        <v>95000</v>
      </c>
      <c r="PRR10" s="1548"/>
      <c r="PRS10" s="1547">
        <f t="shared" ref="PRS10" si="5634">PRQ10</f>
        <v>95000</v>
      </c>
      <c r="PRT10" s="1548"/>
      <c r="PRU10" s="1547">
        <f t="shared" ref="PRU10" si="5635">PRS10</f>
        <v>95000</v>
      </c>
      <c r="PRV10" s="1548"/>
      <c r="PRW10" s="1547">
        <f t="shared" ref="PRW10" si="5636">PRU10</f>
        <v>95000</v>
      </c>
      <c r="PRX10" s="1548"/>
      <c r="PRY10" s="1547">
        <f t="shared" ref="PRY10" si="5637">PRW10</f>
        <v>95000</v>
      </c>
      <c r="PRZ10" s="1548"/>
      <c r="PSA10" s="1547">
        <f t="shared" ref="PSA10" si="5638">PRY10</f>
        <v>95000</v>
      </c>
      <c r="PSB10" s="1548"/>
      <c r="PSC10" s="1547">
        <f t="shared" ref="PSC10" si="5639">PSA10</f>
        <v>95000</v>
      </c>
      <c r="PSD10" s="1548"/>
      <c r="PSE10" s="1547">
        <f t="shared" ref="PSE10" si="5640">PSC10</f>
        <v>95000</v>
      </c>
      <c r="PSF10" s="1548"/>
      <c r="PSG10" s="1547">
        <f t="shared" ref="PSG10" si="5641">PSE10</f>
        <v>95000</v>
      </c>
      <c r="PSH10" s="1548"/>
      <c r="PSI10" s="1547">
        <f t="shared" ref="PSI10" si="5642">PSG10</f>
        <v>95000</v>
      </c>
      <c r="PSJ10" s="1548"/>
      <c r="PSK10" s="1547">
        <f t="shared" ref="PSK10" si="5643">PSI10</f>
        <v>95000</v>
      </c>
      <c r="PSL10" s="1548"/>
      <c r="PSM10" s="1547">
        <f t="shared" ref="PSM10" si="5644">PSK10</f>
        <v>95000</v>
      </c>
      <c r="PSN10" s="1548"/>
      <c r="PSO10" s="1547">
        <f t="shared" ref="PSO10" si="5645">PSM10</f>
        <v>95000</v>
      </c>
      <c r="PSP10" s="1548"/>
      <c r="PSQ10" s="1547">
        <f t="shared" ref="PSQ10" si="5646">PSO10</f>
        <v>95000</v>
      </c>
      <c r="PSR10" s="1548"/>
      <c r="PSS10" s="1547">
        <f t="shared" ref="PSS10" si="5647">PSQ10</f>
        <v>95000</v>
      </c>
      <c r="PST10" s="1548"/>
      <c r="PSU10" s="1547">
        <f t="shared" ref="PSU10" si="5648">PSS10</f>
        <v>95000</v>
      </c>
      <c r="PSV10" s="1548"/>
      <c r="PSW10" s="1547">
        <f t="shared" ref="PSW10" si="5649">PSU10</f>
        <v>95000</v>
      </c>
      <c r="PSX10" s="1548"/>
      <c r="PSY10" s="1547">
        <f t="shared" ref="PSY10" si="5650">PSW10</f>
        <v>95000</v>
      </c>
      <c r="PSZ10" s="1548"/>
      <c r="PTA10" s="1547">
        <f t="shared" ref="PTA10" si="5651">PSY10</f>
        <v>95000</v>
      </c>
      <c r="PTB10" s="1548"/>
      <c r="PTC10" s="1547">
        <f t="shared" ref="PTC10" si="5652">PTA10</f>
        <v>95000</v>
      </c>
      <c r="PTD10" s="1548"/>
      <c r="PTE10" s="1547">
        <f t="shared" ref="PTE10" si="5653">PTC10</f>
        <v>95000</v>
      </c>
      <c r="PTF10" s="1548"/>
      <c r="PTG10" s="1547">
        <f t="shared" ref="PTG10" si="5654">PTE10</f>
        <v>95000</v>
      </c>
      <c r="PTH10" s="1548"/>
      <c r="PTI10" s="1547">
        <f t="shared" ref="PTI10" si="5655">PTG10</f>
        <v>95000</v>
      </c>
      <c r="PTJ10" s="1548"/>
      <c r="PTK10" s="1547">
        <f t="shared" ref="PTK10" si="5656">PTI10</f>
        <v>95000</v>
      </c>
      <c r="PTL10" s="1548"/>
      <c r="PTM10" s="1547">
        <f t="shared" ref="PTM10" si="5657">PTK10</f>
        <v>95000</v>
      </c>
      <c r="PTN10" s="1548"/>
      <c r="PTO10" s="1547">
        <f t="shared" ref="PTO10" si="5658">PTM10</f>
        <v>95000</v>
      </c>
      <c r="PTP10" s="1548"/>
      <c r="PTQ10" s="1547">
        <f t="shared" ref="PTQ10" si="5659">PTO10</f>
        <v>95000</v>
      </c>
      <c r="PTR10" s="1548"/>
      <c r="PTS10" s="1547">
        <f t="shared" ref="PTS10" si="5660">PTQ10</f>
        <v>95000</v>
      </c>
      <c r="PTT10" s="1548"/>
      <c r="PTU10" s="1547">
        <f t="shared" ref="PTU10" si="5661">PTS10</f>
        <v>95000</v>
      </c>
      <c r="PTV10" s="1548"/>
      <c r="PTW10" s="1547">
        <f t="shared" ref="PTW10" si="5662">PTU10</f>
        <v>95000</v>
      </c>
      <c r="PTX10" s="1548"/>
      <c r="PTY10" s="1547">
        <f t="shared" ref="PTY10" si="5663">PTW10</f>
        <v>95000</v>
      </c>
      <c r="PTZ10" s="1548"/>
      <c r="PUA10" s="1547">
        <f t="shared" ref="PUA10" si="5664">PTY10</f>
        <v>95000</v>
      </c>
      <c r="PUB10" s="1548"/>
      <c r="PUC10" s="1547">
        <f t="shared" ref="PUC10" si="5665">PUA10</f>
        <v>95000</v>
      </c>
      <c r="PUD10" s="1548"/>
      <c r="PUE10" s="1547">
        <f t="shared" ref="PUE10" si="5666">PUC10</f>
        <v>95000</v>
      </c>
      <c r="PUF10" s="1548"/>
      <c r="PUG10" s="1547">
        <f t="shared" ref="PUG10" si="5667">PUE10</f>
        <v>95000</v>
      </c>
      <c r="PUH10" s="1548"/>
      <c r="PUI10" s="1547">
        <f t="shared" ref="PUI10" si="5668">PUG10</f>
        <v>95000</v>
      </c>
      <c r="PUJ10" s="1548"/>
      <c r="PUK10" s="1547">
        <f t="shared" ref="PUK10" si="5669">PUI10</f>
        <v>95000</v>
      </c>
      <c r="PUL10" s="1548"/>
      <c r="PUM10" s="1547">
        <f t="shared" ref="PUM10" si="5670">PUK10</f>
        <v>95000</v>
      </c>
      <c r="PUN10" s="1548"/>
      <c r="PUO10" s="1547">
        <f t="shared" ref="PUO10" si="5671">PUM10</f>
        <v>95000</v>
      </c>
      <c r="PUP10" s="1548"/>
      <c r="PUQ10" s="1547">
        <f t="shared" ref="PUQ10" si="5672">PUO10</f>
        <v>95000</v>
      </c>
      <c r="PUR10" s="1548"/>
      <c r="PUS10" s="1547">
        <f t="shared" ref="PUS10" si="5673">PUQ10</f>
        <v>95000</v>
      </c>
      <c r="PUT10" s="1548"/>
      <c r="PUU10" s="1547">
        <f t="shared" ref="PUU10" si="5674">PUS10</f>
        <v>95000</v>
      </c>
      <c r="PUV10" s="1548"/>
      <c r="PUW10" s="1547">
        <f t="shared" ref="PUW10" si="5675">PUU10</f>
        <v>95000</v>
      </c>
      <c r="PUX10" s="1548"/>
      <c r="PUY10" s="1547">
        <f t="shared" ref="PUY10" si="5676">PUW10</f>
        <v>95000</v>
      </c>
      <c r="PUZ10" s="1548"/>
      <c r="PVA10" s="1547">
        <f t="shared" ref="PVA10" si="5677">PUY10</f>
        <v>95000</v>
      </c>
      <c r="PVB10" s="1548"/>
      <c r="PVC10" s="1547">
        <f t="shared" ref="PVC10" si="5678">PVA10</f>
        <v>95000</v>
      </c>
      <c r="PVD10" s="1548"/>
      <c r="PVE10" s="1547">
        <f t="shared" ref="PVE10" si="5679">PVC10</f>
        <v>95000</v>
      </c>
      <c r="PVF10" s="1548"/>
      <c r="PVG10" s="1547">
        <f t="shared" ref="PVG10" si="5680">PVE10</f>
        <v>95000</v>
      </c>
      <c r="PVH10" s="1548"/>
      <c r="PVI10" s="1547">
        <f t="shared" ref="PVI10" si="5681">PVG10</f>
        <v>95000</v>
      </c>
      <c r="PVJ10" s="1548"/>
      <c r="PVK10" s="1547">
        <f t="shared" ref="PVK10" si="5682">PVI10</f>
        <v>95000</v>
      </c>
      <c r="PVL10" s="1548"/>
      <c r="PVM10" s="1547">
        <f t="shared" ref="PVM10" si="5683">PVK10</f>
        <v>95000</v>
      </c>
      <c r="PVN10" s="1548"/>
      <c r="PVO10" s="1547">
        <f t="shared" ref="PVO10" si="5684">PVM10</f>
        <v>95000</v>
      </c>
      <c r="PVP10" s="1548"/>
      <c r="PVQ10" s="1547">
        <f t="shared" ref="PVQ10" si="5685">PVO10</f>
        <v>95000</v>
      </c>
      <c r="PVR10" s="1548"/>
      <c r="PVS10" s="1547">
        <f t="shared" ref="PVS10" si="5686">PVQ10</f>
        <v>95000</v>
      </c>
      <c r="PVT10" s="1548"/>
      <c r="PVU10" s="1547">
        <f t="shared" ref="PVU10" si="5687">PVS10</f>
        <v>95000</v>
      </c>
      <c r="PVV10" s="1548"/>
      <c r="PVW10" s="1547">
        <f t="shared" ref="PVW10" si="5688">PVU10</f>
        <v>95000</v>
      </c>
      <c r="PVX10" s="1548"/>
      <c r="PVY10" s="1547">
        <f t="shared" ref="PVY10" si="5689">PVW10</f>
        <v>95000</v>
      </c>
      <c r="PVZ10" s="1548"/>
      <c r="PWA10" s="1547">
        <f t="shared" ref="PWA10" si="5690">PVY10</f>
        <v>95000</v>
      </c>
      <c r="PWB10" s="1548"/>
      <c r="PWC10" s="1547">
        <f t="shared" ref="PWC10" si="5691">PWA10</f>
        <v>95000</v>
      </c>
      <c r="PWD10" s="1548"/>
      <c r="PWE10" s="1547">
        <f t="shared" ref="PWE10" si="5692">PWC10</f>
        <v>95000</v>
      </c>
      <c r="PWF10" s="1548"/>
      <c r="PWG10" s="1547">
        <f t="shared" ref="PWG10" si="5693">PWE10</f>
        <v>95000</v>
      </c>
      <c r="PWH10" s="1548"/>
      <c r="PWI10" s="1547">
        <f t="shared" ref="PWI10" si="5694">PWG10</f>
        <v>95000</v>
      </c>
      <c r="PWJ10" s="1548"/>
      <c r="PWK10" s="1547">
        <f t="shared" ref="PWK10" si="5695">PWI10</f>
        <v>95000</v>
      </c>
      <c r="PWL10" s="1548"/>
      <c r="PWM10" s="1547">
        <f t="shared" ref="PWM10" si="5696">PWK10</f>
        <v>95000</v>
      </c>
      <c r="PWN10" s="1548"/>
      <c r="PWO10" s="1547">
        <f t="shared" ref="PWO10" si="5697">PWM10</f>
        <v>95000</v>
      </c>
      <c r="PWP10" s="1548"/>
      <c r="PWQ10" s="1547">
        <f t="shared" ref="PWQ10" si="5698">PWO10</f>
        <v>95000</v>
      </c>
      <c r="PWR10" s="1548"/>
      <c r="PWS10" s="1547">
        <f t="shared" ref="PWS10" si="5699">PWQ10</f>
        <v>95000</v>
      </c>
      <c r="PWT10" s="1548"/>
      <c r="PWU10" s="1547">
        <f t="shared" ref="PWU10" si="5700">PWS10</f>
        <v>95000</v>
      </c>
      <c r="PWV10" s="1548"/>
      <c r="PWW10" s="1547">
        <f t="shared" ref="PWW10" si="5701">PWU10</f>
        <v>95000</v>
      </c>
      <c r="PWX10" s="1548"/>
      <c r="PWY10" s="1547">
        <f t="shared" ref="PWY10" si="5702">PWW10</f>
        <v>95000</v>
      </c>
      <c r="PWZ10" s="1548"/>
      <c r="PXA10" s="1547">
        <f t="shared" ref="PXA10" si="5703">PWY10</f>
        <v>95000</v>
      </c>
      <c r="PXB10" s="1548"/>
      <c r="PXC10" s="1547">
        <f t="shared" ref="PXC10" si="5704">PXA10</f>
        <v>95000</v>
      </c>
      <c r="PXD10" s="1548"/>
      <c r="PXE10" s="1547">
        <f t="shared" ref="PXE10" si="5705">PXC10</f>
        <v>95000</v>
      </c>
      <c r="PXF10" s="1548"/>
      <c r="PXG10" s="1547">
        <f t="shared" ref="PXG10" si="5706">PXE10</f>
        <v>95000</v>
      </c>
      <c r="PXH10" s="1548"/>
      <c r="PXI10" s="1547">
        <f t="shared" ref="PXI10" si="5707">PXG10</f>
        <v>95000</v>
      </c>
      <c r="PXJ10" s="1548"/>
      <c r="PXK10" s="1547">
        <f t="shared" ref="PXK10" si="5708">PXI10</f>
        <v>95000</v>
      </c>
      <c r="PXL10" s="1548"/>
      <c r="PXM10" s="1547">
        <f t="shared" ref="PXM10" si="5709">PXK10</f>
        <v>95000</v>
      </c>
      <c r="PXN10" s="1548"/>
      <c r="PXO10" s="1547">
        <f t="shared" ref="PXO10" si="5710">PXM10</f>
        <v>95000</v>
      </c>
      <c r="PXP10" s="1548"/>
      <c r="PXQ10" s="1547">
        <f t="shared" ref="PXQ10" si="5711">PXO10</f>
        <v>95000</v>
      </c>
      <c r="PXR10" s="1548"/>
      <c r="PXS10" s="1547">
        <f t="shared" ref="PXS10" si="5712">PXQ10</f>
        <v>95000</v>
      </c>
      <c r="PXT10" s="1548"/>
      <c r="PXU10" s="1547">
        <f t="shared" ref="PXU10" si="5713">PXS10</f>
        <v>95000</v>
      </c>
      <c r="PXV10" s="1548"/>
      <c r="PXW10" s="1547">
        <f t="shared" ref="PXW10" si="5714">PXU10</f>
        <v>95000</v>
      </c>
      <c r="PXX10" s="1548"/>
      <c r="PXY10" s="1547">
        <f t="shared" ref="PXY10" si="5715">PXW10</f>
        <v>95000</v>
      </c>
      <c r="PXZ10" s="1548"/>
      <c r="PYA10" s="1547">
        <f t="shared" ref="PYA10" si="5716">PXY10</f>
        <v>95000</v>
      </c>
      <c r="PYB10" s="1548"/>
      <c r="PYC10" s="1547">
        <f t="shared" ref="PYC10" si="5717">PYA10</f>
        <v>95000</v>
      </c>
      <c r="PYD10" s="1548"/>
      <c r="PYE10" s="1547">
        <f t="shared" ref="PYE10" si="5718">PYC10</f>
        <v>95000</v>
      </c>
      <c r="PYF10" s="1548"/>
      <c r="PYG10" s="1547">
        <f t="shared" ref="PYG10" si="5719">PYE10</f>
        <v>95000</v>
      </c>
      <c r="PYH10" s="1548"/>
      <c r="PYI10" s="1547">
        <f t="shared" ref="PYI10" si="5720">PYG10</f>
        <v>95000</v>
      </c>
      <c r="PYJ10" s="1548"/>
      <c r="PYK10" s="1547">
        <f t="shared" ref="PYK10" si="5721">PYI10</f>
        <v>95000</v>
      </c>
      <c r="PYL10" s="1548"/>
      <c r="PYM10" s="1547">
        <f t="shared" ref="PYM10" si="5722">PYK10</f>
        <v>95000</v>
      </c>
      <c r="PYN10" s="1548"/>
      <c r="PYO10" s="1547">
        <f t="shared" ref="PYO10" si="5723">PYM10</f>
        <v>95000</v>
      </c>
      <c r="PYP10" s="1548"/>
      <c r="PYQ10" s="1547">
        <f t="shared" ref="PYQ10" si="5724">PYO10</f>
        <v>95000</v>
      </c>
      <c r="PYR10" s="1548"/>
      <c r="PYS10" s="1547">
        <f t="shared" ref="PYS10" si="5725">PYQ10</f>
        <v>95000</v>
      </c>
      <c r="PYT10" s="1548"/>
      <c r="PYU10" s="1547">
        <f t="shared" ref="PYU10" si="5726">PYS10</f>
        <v>95000</v>
      </c>
      <c r="PYV10" s="1548"/>
      <c r="PYW10" s="1547">
        <f t="shared" ref="PYW10" si="5727">PYU10</f>
        <v>95000</v>
      </c>
      <c r="PYX10" s="1548"/>
      <c r="PYY10" s="1547">
        <f t="shared" ref="PYY10" si="5728">PYW10</f>
        <v>95000</v>
      </c>
      <c r="PYZ10" s="1548"/>
      <c r="PZA10" s="1547">
        <f t="shared" ref="PZA10" si="5729">PYY10</f>
        <v>95000</v>
      </c>
      <c r="PZB10" s="1548"/>
      <c r="PZC10" s="1547">
        <f t="shared" ref="PZC10" si="5730">PZA10</f>
        <v>95000</v>
      </c>
      <c r="PZD10" s="1548"/>
      <c r="PZE10" s="1547">
        <f t="shared" ref="PZE10" si="5731">PZC10</f>
        <v>95000</v>
      </c>
      <c r="PZF10" s="1548"/>
      <c r="PZG10" s="1547">
        <f t="shared" ref="PZG10" si="5732">PZE10</f>
        <v>95000</v>
      </c>
      <c r="PZH10" s="1548"/>
      <c r="PZI10" s="1547">
        <f t="shared" ref="PZI10" si="5733">PZG10</f>
        <v>95000</v>
      </c>
      <c r="PZJ10" s="1548"/>
      <c r="PZK10" s="1547">
        <f t="shared" ref="PZK10" si="5734">PZI10</f>
        <v>95000</v>
      </c>
      <c r="PZL10" s="1548"/>
      <c r="PZM10" s="1547">
        <f t="shared" ref="PZM10" si="5735">PZK10</f>
        <v>95000</v>
      </c>
      <c r="PZN10" s="1548"/>
      <c r="PZO10" s="1547">
        <f t="shared" ref="PZO10" si="5736">PZM10</f>
        <v>95000</v>
      </c>
      <c r="PZP10" s="1548"/>
      <c r="PZQ10" s="1547">
        <f t="shared" ref="PZQ10" si="5737">PZO10</f>
        <v>95000</v>
      </c>
      <c r="PZR10" s="1548"/>
      <c r="PZS10" s="1547">
        <f t="shared" ref="PZS10" si="5738">PZQ10</f>
        <v>95000</v>
      </c>
      <c r="PZT10" s="1548"/>
      <c r="PZU10" s="1547">
        <f t="shared" ref="PZU10" si="5739">PZS10</f>
        <v>95000</v>
      </c>
      <c r="PZV10" s="1548"/>
      <c r="PZW10" s="1547">
        <f t="shared" ref="PZW10" si="5740">PZU10</f>
        <v>95000</v>
      </c>
      <c r="PZX10" s="1548"/>
      <c r="PZY10" s="1547">
        <f t="shared" ref="PZY10" si="5741">PZW10</f>
        <v>95000</v>
      </c>
      <c r="PZZ10" s="1548"/>
      <c r="QAA10" s="1547">
        <f t="shared" ref="QAA10" si="5742">PZY10</f>
        <v>95000</v>
      </c>
      <c r="QAB10" s="1548"/>
      <c r="QAC10" s="1547">
        <f t="shared" ref="QAC10" si="5743">QAA10</f>
        <v>95000</v>
      </c>
      <c r="QAD10" s="1548"/>
      <c r="QAE10" s="1547">
        <f t="shared" ref="QAE10" si="5744">QAC10</f>
        <v>95000</v>
      </c>
      <c r="QAF10" s="1548"/>
      <c r="QAG10" s="1547">
        <f t="shared" ref="QAG10" si="5745">QAE10</f>
        <v>95000</v>
      </c>
      <c r="QAH10" s="1548"/>
      <c r="QAI10" s="1547">
        <f t="shared" ref="QAI10" si="5746">QAG10</f>
        <v>95000</v>
      </c>
      <c r="QAJ10" s="1548"/>
      <c r="QAK10" s="1547">
        <f t="shared" ref="QAK10" si="5747">QAI10</f>
        <v>95000</v>
      </c>
      <c r="QAL10" s="1548"/>
      <c r="QAM10" s="1547">
        <f t="shared" ref="QAM10" si="5748">QAK10</f>
        <v>95000</v>
      </c>
      <c r="QAN10" s="1548"/>
      <c r="QAO10" s="1547">
        <f t="shared" ref="QAO10" si="5749">QAM10</f>
        <v>95000</v>
      </c>
      <c r="QAP10" s="1548"/>
      <c r="QAQ10" s="1547">
        <f t="shared" ref="QAQ10" si="5750">QAO10</f>
        <v>95000</v>
      </c>
      <c r="QAR10" s="1548"/>
      <c r="QAS10" s="1547">
        <f t="shared" ref="QAS10" si="5751">QAQ10</f>
        <v>95000</v>
      </c>
      <c r="QAT10" s="1548"/>
      <c r="QAU10" s="1547">
        <f t="shared" ref="QAU10" si="5752">QAS10</f>
        <v>95000</v>
      </c>
      <c r="QAV10" s="1548"/>
      <c r="QAW10" s="1547">
        <f t="shared" ref="QAW10" si="5753">QAU10</f>
        <v>95000</v>
      </c>
      <c r="QAX10" s="1548"/>
      <c r="QAY10" s="1547">
        <f t="shared" ref="QAY10" si="5754">QAW10</f>
        <v>95000</v>
      </c>
      <c r="QAZ10" s="1548"/>
      <c r="QBA10" s="1547">
        <f t="shared" ref="QBA10" si="5755">QAY10</f>
        <v>95000</v>
      </c>
      <c r="QBB10" s="1548"/>
      <c r="QBC10" s="1547">
        <f t="shared" ref="QBC10" si="5756">QBA10</f>
        <v>95000</v>
      </c>
      <c r="QBD10" s="1548"/>
      <c r="QBE10" s="1547">
        <f t="shared" ref="QBE10" si="5757">QBC10</f>
        <v>95000</v>
      </c>
      <c r="QBF10" s="1548"/>
      <c r="QBG10" s="1547">
        <f t="shared" ref="QBG10" si="5758">QBE10</f>
        <v>95000</v>
      </c>
      <c r="QBH10" s="1548"/>
      <c r="QBI10" s="1547">
        <f t="shared" ref="QBI10" si="5759">QBG10</f>
        <v>95000</v>
      </c>
      <c r="QBJ10" s="1548"/>
      <c r="QBK10" s="1547">
        <f t="shared" ref="QBK10" si="5760">QBI10</f>
        <v>95000</v>
      </c>
      <c r="QBL10" s="1548"/>
      <c r="QBM10" s="1547">
        <f t="shared" ref="QBM10" si="5761">QBK10</f>
        <v>95000</v>
      </c>
      <c r="QBN10" s="1548"/>
      <c r="QBO10" s="1547">
        <f t="shared" ref="QBO10" si="5762">QBM10</f>
        <v>95000</v>
      </c>
      <c r="QBP10" s="1548"/>
      <c r="QBQ10" s="1547">
        <f t="shared" ref="QBQ10" si="5763">QBO10</f>
        <v>95000</v>
      </c>
      <c r="QBR10" s="1548"/>
      <c r="QBS10" s="1547">
        <f t="shared" ref="QBS10" si="5764">QBQ10</f>
        <v>95000</v>
      </c>
      <c r="QBT10" s="1548"/>
      <c r="QBU10" s="1547">
        <f t="shared" ref="QBU10" si="5765">QBS10</f>
        <v>95000</v>
      </c>
      <c r="QBV10" s="1548"/>
      <c r="QBW10" s="1547">
        <f t="shared" ref="QBW10" si="5766">QBU10</f>
        <v>95000</v>
      </c>
      <c r="QBX10" s="1548"/>
      <c r="QBY10" s="1547">
        <f t="shared" ref="QBY10" si="5767">QBW10</f>
        <v>95000</v>
      </c>
      <c r="QBZ10" s="1548"/>
      <c r="QCA10" s="1547">
        <f t="shared" ref="QCA10" si="5768">QBY10</f>
        <v>95000</v>
      </c>
      <c r="QCB10" s="1548"/>
      <c r="QCC10" s="1547">
        <f t="shared" ref="QCC10" si="5769">QCA10</f>
        <v>95000</v>
      </c>
      <c r="QCD10" s="1548"/>
      <c r="QCE10" s="1547">
        <f t="shared" ref="QCE10" si="5770">QCC10</f>
        <v>95000</v>
      </c>
      <c r="QCF10" s="1548"/>
      <c r="QCG10" s="1547">
        <f t="shared" ref="QCG10" si="5771">QCE10</f>
        <v>95000</v>
      </c>
      <c r="QCH10" s="1548"/>
      <c r="QCI10" s="1547">
        <f t="shared" ref="QCI10" si="5772">QCG10</f>
        <v>95000</v>
      </c>
      <c r="QCJ10" s="1548"/>
      <c r="QCK10" s="1547">
        <f t="shared" ref="QCK10" si="5773">QCI10</f>
        <v>95000</v>
      </c>
      <c r="QCL10" s="1548"/>
      <c r="QCM10" s="1547">
        <f t="shared" ref="QCM10" si="5774">QCK10</f>
        <v>95000</v>
      </c>
      <c r="QCN10" s="1548"/>
      <c r="QCO10" s="1547">
        <f t="shared" ref="QCO10" si="5775">QCM10</f>
        <v>95000</v>
      </c>
      <c r="QCP10" s="1548"/>
      <c r="QCQ10" s="1547">
        <f t="shared" ref="QCQ10" si="5776">QCO10</f>
        <v>95000</v>
      </c>
      <c r="QCR10" s="1548"/>
      <c r="QCS10" s="1547">
        <f t="shared" ref="QCS10" si="5777">QCQ10</f>
        <v>95000</v>
      </c>
      <c r="QCT10" s="1548"/>
      <c r="QCU10" s="1547">
        <f t="shared" ref="QCU10" si="5778">QCS10</f>
        <v>95000</v>
      </c>
      <c r="QCV10" s="1548"/>
      <c r="QCW10" s="1547">
        <f t="shared" ref="QCW10" si="5779">QCU10</f>
        <v>95000</v>
      </c>
      <c r="QCX10" s="1548"/>
      <c r="QCY10" s="1547">
        <f t="shared" ref="QCY10" si="5780">QCW10</f>
        <v>95000</v>
      </c>
      <c r="QCZ10" s="1548"/>
      <c r="QDA10" s="1547">
        <f t="shared" ref="QDA10" si="5781">QCY10</f>
        <v>95000</v>
      </c>
      <c r="QDB10" s="1548"/>
      <c r="QDC10" s="1547">
        <f t="shared" ref="QDC10" si="5782">QDA10</f>
        <v>95000</v>
      </c>
      <c r="QDD10" s="1548"/>
      <c r="QDE10" s="1547">
        <f t="shared" ref="QDE10" si="5783">QDC10</f>
        <v>95000</v>
      </c>
      <c r="QDF10" s="1548"/>
      <c r="QDG10" s="1547">
        <f t="shared" ref="QDG10" si="5784">QDE10</f>
        <v>95000</v>
      </c>
      <c r="QDH10" s="1548"/>
      <c r="QDI10" s="1547">
        <f t="shared" ref="QDI10" si="5785">QDG10</f>
        <v>95000</v>
      </c>
      <c r="QDJ10" s="1548"/>
      <c r="QDK10" s="1547">
        <f t="shared" ref="QDK10" si="5786">QDI10</f>
        <v>95000</v>
      </c>
      <c r="QDL10" s="1548"/>
      <c r="QDM10" s="1547">
        <f t="shared" ref="QDM10" si="5787">QDK10</f>
        <v>95000</v>
      </c>
      <c r="QDN10" s="1548"/>
      <c r="QDO10" s="1547">
        <f t="shared" ref="QDO10" si="5788">QDM10</f>
        <v>95000</v>
      </c>
      <c r="QDP10" s="1548"/>
      <c r="QDQ10" s="1547">
        <f t="shared" ref="QDQ10" si="5789">QDO10</f>
        <v>95000</v>
      </c>
      <c r="QDR10" s="1548"/>
      <c r="QDS10" s="1547">
        <f t="shared" ref="QDS10" si="5790">QDQ10</f>
        <v>95000</v>
      </c>
      <c r="QDT10" s="1548"/>
      <c r="QDU10" s="1547">
        <f t="shared" ref="QDU10" si="5791">QDS10</f>
        <v>95000</v>
      </c>
      <c r="QDV10" s="1548"/>
      <c r="QDW10" s="1547">
        <f t="shared" ref="QDW10" si="5792">QDU10</f>
        <v>95000</v>
      </c>
      <c r="QDX10" s="1548"/>
      <c r="QDY10" s="1547">
        <f t="shared" ref="QDY10" si="5793">QDW10</f>
        <v>95000</v>
      </c>
      <c r="QDZ10" s="1548"/>
      <c r="QEA10" s="1547">
        <f t="shared" ref="QEA10" si="5794">QDY10</f>
        <v>95000</v>
      </c>
      <c r="QEB10" s="1548"/>
      <c r="QEC10" s="1547">
        <f t="shared" ref="QEC10" si="5795">QEA10</f>
        <v>95000</v>
      </c>
      <c r="QED10" s="1548"/>
      <c r="QEE10" s="1547">
        <f t="shared" ref="QEE10" si="5796">QEC10</f>
        <v>95000</v>
      </c>
      <c r="QEF10" s="1548"/>
      <c r="QEG10" s="1547">
        <f t="shared" ref="QEG10" si="5797">QEE10</f>
        <v>95000</v>
      </c>
      <c r="QEH10" s="1548"/>
      <c r="QEI10" s="1547">
        <f t="shared" ref="QEI10" si="5798">QEG10</f>
        <v>95000</v>
      </c>
      <c r="QEJ10" s="1548"/>
      <c r="QEK10" s="1547">
        <f t="shared" ref="QEK10" si="5799">QEI10</f>
        <v>95000</v>
      </c>
      <c r="QEL10" s="1548"/>
      <c r="QEM10" s="1547">
        <f t="shared" ref="QEM10" si="5800">QEK10</f>
        <v>95000</v>
      </c>
      <c r="QEN10" s="1548"/>
      <c r="QEO10" s="1547">
        <f t="shared" ref="QEO10" si="5801">QEM10</f>
        <v>95000</v>
      </c>
      <c r="QEP10" s="1548"/>
      <c r="QEQ10" s="1547">
        <f t="shared" ref="QEQ10" si="5802">QEO10</f>
        <v>95000</v>
      </c>
      <c r="QER10" s="1548"/>
      <c r="QES10" s="1547">
        <f t="shared" ref="QES10" si="5803">QEQ10</f>
        <v>95000</v>
      </c>
      <c r="QET10" s="1548"/>
      <c r="QEU10" s="1547">
        <f t="shared" ref="QEU10" si="5804">QES10</f>
        <v>95000</v>
      </c>
      <c r="QEV10" s="1548"/>
      <c r="QEW10" s="1547">
        <f t="shared" ref="QEW10" si="5805">QEU10</f>
        <v>95000</v>
      </c>
      <c r="QEX10" s="1548"/>
      <c r="QEY10" s="1547">
        <f t="shared" ref="QEY10" si="5806">QEW10</f>
        <v>95000</v>
      </c>
      <c r="QEZ10" s="1548"/>
      <c r="QFA10" s="1547">
        <f t="shared" ref="QFA10" si="5807">QEY10</f>
        <v>95000</v>
      </c>
      <c r="QFB10" s="1548"/>
      <c r="QFC10" s="1547">
        <f t="shared" ref="QFC10" si="5808">QFA10</f>
        <v>95000</v>
      </c>
      <c r="QFD10" s="1548"/>
      <c r="QFE10" s="1547">
        <f t="shared" ref="QFE10" si="5809">QFC10</f>
        <v>95000</v>
      </c>
      <c r="QFF10" s="1548"/>
      <c r="QFG10" s="1547">
        <f t="shared" ref="QFG10" si="5810">QFE10</f>
        <v>95000</v>
      </c>
      <c r="QFH10" s="1548"/>
      <c r="QFI10" s="1547">
        <f t="shared" ref="QFI10" si="5811">QFG10</f>
        <v>95000</v>
      </c>
      <c r="QFJ10" s="1548"/>
      <c r="QFK10" s="1547">
        <f t="shared" ref="QFK10" si="5812">QFI10</f>
        <v>95000</v>
      </c>
      <c r="QFL10" s="1548"/>
      <c r="QFM10" s="1547">
        <f t="shared" ref="QFM10" si="5813">QFK10</f>
        <v>95000</v>
      </c>
      <c r="QFN10" s="1548"/>
      <c r="QFO10" s="1547">
        <f t="shared" ref="QFO10" si="5814">QFM10</f>
        <v>95000</v>
      </c>
      <c r="QFP10" s="1548"/>
      <c r="QFQ10" s="1547">
        <f t="shared" ref="QFQ10" si="5815">QFO10</f>
        <v>95000</v>
      </c>
      <c r="QFR10" s="1548"/>
      <c r="QFS10" s="1547">
        <f t="shared" ref="QFS10" si="5816">QFQ10</f>
        <v>95000</v>
      </c>
      <c r="QFT10" s="1548"/>
      <c r="QFU10" s="1547">
        <f t="shared" ref="QFU10" si="5817">QFS10</f>
        <v>95000</v>
      </c>
      <c r="QFV10" s="1548"/>
      <c r="QFW10" s="1547">
        <f t="shared" ref="QFW10" si="5818">QFU10</f>
        <v>95000</v>
      </c>
      <c r="QFX10" s="1548"/>
      <c r="QFY10" s="1547">
        <f t="shared" ref="QFY10" si="5819">QFW10</f>
        <v>95000</v>
      </c>
      <c r="QFZ10" s="1548"/>
      <c r="QGA10" s="1547">
        <f t="shared" ref="QGA10" si="5820">QFY10</f>
        <v>95000</v>
      </c>
      <c r="QGB10" s="1548"/>
      <c r="QGC10" s="1547">
        <f t="shared" ref="QGC10" si="5821">QGA10</f>
        <v>95000</v>
      </c>
      <c r="QGD10" s="1548"/>
      <c r="QGE10" s="1547">
        <f t="shared" ref="QGE10" si="5822">QGC10</f>
        <v>95000</v>
      </c>
      <c r="QGF10" s="1548"/>
      <c r="QGG10" s="1547">
        <f t="shared" ref="QGG10" si="5823">QGE10</f>
        <v>95000</v>
      </c>
      <c r="QGH10" s="1548"/>
      <c r="QGI10" s="1547">
        <f t="shared" ref="QGI10" si="5824">QGG10</f>
        <v>95000</v>
      </c>
      <c r="QGJ10" s="1548"/>
      <c r="QGK10" s="1547">
        <f t="shared" ref="QGK10" si="5825">QGI10</f>
        <v>95000</v>
      </c>
      <c r="QGL10" s="1548"/>
      <c r="QGM10" s="1547">
        <f t="shared" ref="QGM10" si="5826">QGK10</f>
        <v>95000</v>
      </c>
      <c r="QGN10" s="1548"/>
      <c r="QGO10" s="1547">
        <f t="shared" ref="QGO10" si="5827">QGM10</f>
        <v>95000</v>
      </c>
      <c r="QGP10" s="1548"/>
      <c r="QGQ10" s="1547">
        <f t="shared" ref="QGQ10" si="5828">QGO10</f>
        <v>95000</v>
      </c>
      <c r="QGR10" s="1548"/>
      <c r="QGS10" s="1547">
        <f t="shared" ref="QGS10" si="5829">QGQ10</f>
        <v>95000</v>
      </c>
      <c r="QGT10" s="1548"/>
      <c r="QGU10" s="1547">
        <f t="shared" ref="QGU10" si="5830">QGS10</f>
        <v>95000</v>
      </c>
      <c r="QGV10" s="1548"/>
      <c r="QGW10" s="1547">
        <f t="shared" ref="QGW10" si="5831">QGU10</f>
        <v>95000</v>
      </c>
      <c r="QGX10" s="1548"/>
      <c r="QGY10" s="1547">
        <f t="shared" ref="QGY10" si="5832">QGW10</f>
        <v>95000</v>
      </c>
      <c r="QGZ10" s="1548"/>
      <c r="QHA10" s="1547">
        <f t="shared" ref="QHA10" si="5833">QGY10</f>
        <v>95000</v>
      </c>
      <c r="QHB10" s="1548"/>
      <c r="QHC10" s="1547">
        <f t="shared" ref="QHC10" si="5834">QHA10</f>
        <v>95000</v>
      </c>
      <c r="QHD10" s="1548"/>
      <c r="QHE10" s="1547">
        <f t="shared" ref="QHE10" si="5835">QHC10</f>
        <v>95000</v>
      </c>
      <c r="QHF10" s="1548"/>
      <c r="QHG10" s="1547">
        <f t="shared" ref="QHG10" si="5836">QHE10</f>
        <v>95000</v>
      </c>
      <c r="QHH10" s="1548"/>
      <c r="QHI10" s="1547">
        <f t="shared" ref="QHI10" si="5837">QHG10</f>
        <v>95000</v>
      </c>
      <c r="QHJ10" s="1548"/>
      <c r="QHK10" s="1547">
        <f t="shared" ref="QHK10" si="5838">QHI10</f>
        <v>95000</v>
      </c>
      <c r="QHL10" s="1548"/>
      <c r="QHM10" s="1547">
        <f t="shared" ref="QHM10" si="5839">QHK10</f>
        <v>95000</v>
      </c>
      <c r="QHN10" s="1548"/>
      <c r="QHO10" s="1547">
        <f t="shared" ref="QHO10" si="5840">QHM10</f>
        <v>95000</v>
      </c>
      <c r="QHP10" s="1548"/>
      <c r="QHQ10" s="1547">
        <f t="shared" ref="QHQ10" si="5841">QHO10</f>
        <v>95000</v>
      </c>
      <c r="QHR10" s="1548"/>
      <c r="QHS10" s="1547">
        <f t="shared" ref="QHS10" si="5842">QHQ10</f>
        <v>95000</v>
      </c>
      <c r="QHT10" s="1548"/>
      <c r="QHU10" s="1547">
        <f t="shared" ref="QHU10" si="5843">QHS10</f>
        <v>95000</v>
      </c>
      <c r="QHV10" s="1548"/>
      <c r="QHW10" s="1547">
        <f t="shared" ref="QHW10" si="5844">QHU10</f>
        <v>95000</v>
      </c>
      <c r="QHX10" s="1548"/>
      <c r="QHY10" s="1547">
        <f t="shared" ref="QHY10" si="5845">QHW10</f>
        <v>95000</v>
      </c>
      <c r="QHZ10" s="1548"/>
      <c r="QIA10" s="1547">
        <f t="shared" ref="QIA10" si="5846">QHY10</f>
        <v>95000</v>
      </c>
      <c r="QIB10" s="1548"/>
      <c r="QIC10" s="1547">
        <f t="shared" ref="QIC10" si="5847">QIA10</f>
        <v>95000</v>
      </c>
      <c r="QID10" s="1548"/>
      <c r="QIE10" s="1547">
        <f t="shared" ref="QIE10" si="5848">QIC10</f>
        <v>95000</v>
      </c>
      <c r="QIF10" s="1548"/>
      <c r="QIG10" s="1547">
        <f t="shared" ref="QIG10" si="5849">QIE10</f>
        <v>95000</v>
      </c>
      <c r="QIH10" s="1548"/>
      <c r="QII10" s="1547">
        <f t="shared" ref="QII10" si="5850">QIG10</f>
        <v>95000</v>
      </c>
      <c r="QIJ10" s="1548"/>
      <c r="QIK10" s="1547">
        <f t="shared" ref="QIK10" si="5851">QII10</f>
        <v>95000</v>
      </c>
      <c r="QIL10" s="1548"/>
      <c r="QIM10" s="1547">
        <f t="shared" ref="QIM10" si="5852">QIK10</f>
        <v>95000</v>
      </c>
      <c r="QIN10" s="1548"/>
      <c r="QIO10" s="1547">
        <f t="shared" ref="QIO10" si="5853">QIM10</f>
        <v>95000</v>
      </c>
      <c r="QIP10" s="1548"/>
      <c r="QIQ10" s="1547">
        <f t="shared" ref="QIQ10" si="5854">QIO10</f>
        <v>95000</v>
      </c>
      <c r="QIR10" s="1548"/>
      <c r="QIS10" s="1547">
        <f t="shared" ref="QIS10" si="5855">QIQ10</f>
        <v>95000</v>
      </c>
      <c r="QIT10" s="1548"/>
      <c r="QIU10" s="1547">
        <f t="shared" ref="QIU10" si="5856">QIS10</f>
        <v>95000</v>
      </c>
      <c r="QIV10" s="1548"/>
      <c r="QIW10" s="1547">
        <f t="shared" ref="QIW10" si="5857">QIU10</f>
        <v>95000</v>
      </c>
      <c r="QIX10" s="1548"/>
      <c r="QIY10" s="1547">
        <f t="shared" ref="QIY10" si="5858">QIW10</f>
        <v>95000</v>
      </c>
      <c r="QIZ10" s="1548"/>
      <c r="QJA10" s="1547">
        <f t="shared" ref="QJA10" si="5859">QIY10</f>
        <v>95000</v>
      </c>
      <c r="QJB10" s="1548"/>
      <c r="QJC10" s="1547">
        <f t="shared" ref="QJC10" si="5860">QJA10</f>
        <v>95000</v>
      </c>
      <c r="QJD10" s="1548"/>
      <c r="QJE10" s="1547">
        <f t="shared" ref="QJE10" si="5861">QJC10</f>
        <v>95000</v>
      </c>
      <c r="QJF10" s="1548"/>
      <c r="QJG10" s="1547">
        <f t="shared" ref="QJG10" si="5862">QJE10</f>
        <v>95000</v>
      </c>
      <c r="QJH10" s="1548"/>
      <c r="QJI10" s="1547">
        <f t="shared" ref="QJI10" si="5863">QJG10</f>
        <v>95000</v>
      </c>
      <c r="QJJ10" s="1548"/>
      <c r="QJK10" s="1547">
        <f t="shared" ref="QJK10" si="5864">QJI10</f>
        <v>95000</v>
      </c>
      <c r="QJL10" s="1548"/>
      <c r="QJM10" s="1547">
        <f t="shared" ref="QJM10" si="5865">QJK10</f>
        <v>95000</v>
      </c>
      <c r="QJN10" s="1548"/>
      <c r="QJO10" s="1547">
        <f t="shared" ref="QJO10" si="5866">QJM10</f>
        <v>95000</v>
      </c>
      <c r="QJP10" s="1548"/>
      <c r="QJQ10" s="1547">
        <f t="shared" ref="QJQ10" si="5867">QJO10</f>
        <v>95000</v>
      </c>
      <c r="QJR10" s="1548"/>
      <c r="QJS10" s="1547">
        <f t="shared" ref="QJS10" si="5868">QJQ10</f>
        <v>95000</v>
      </c>
      <c r="QJT10" s="1548"/>
      <c r="QJU10" s="1547">
        <f t="shared" ref="QJU10" si="5869">QJS10</f>
        <v>95000</v>
      </c>
      <c r="QJV10" s="1548"/>
      <c r="QJW10" s="1547">
        <f t="shared" ref="QJW10" si="5870">QJU10</f>
        <v>95000</v>
      </c>
      <c r="QJX10" s="1548"/>
      <c r="QJY10" s="1547">
        <f t="shared" ref="QJY10" si="5871">QJW10</f>
        <v>95000</v>
      </c>
      <c r="QJZ10" s="1548"/>
      <c r="QKA10" s="1547">
        <f t="shared" ref="QKA10" si="5872">QJY10</f>
        <v>95000</v>
      </c>
      <c r="QKB10" s="1548"/>
      <c r="QKC10" s="1547">
        <f t="shared" ref="QKC10" si="5873">QKA10</f>
        <v>95000</v>
      </c>
      <c r="QKD10" s="1548"/>
      <c r="QKE10" s="1547">
        <f t="shared" ref="QKE10" si="5874">QKC10</f>
        <v>95000</v>
      </c>
      <c r="QKF10" s="1548"/>
      <c r="QKG10" s="1547">
        <f t="shared" ref="QKG10" si="5875">QKE10</f>
        <v>95000</v>
      </c>
      <c r="QKH10" s="1548"/>
      <c r="QKI10" s="1547">
        <f t="shared" ref="QKI10" si="5876">QKG10</f>
        <v>95000</v>
      </c>
      <c r="QKJ10" s="1548"/>
      <c r="QKK10" s="1547">
        <f t="shared" ref="QKK10" si="5877">QKI10</f>
        <v>95000</v>
      </c>
      <c r="QKL10" s="1548"/>
      <c r="QKM10" s="1547">
        <f t="shared" ref="QKM10" si="5878">QKK10</f>
        <v>95000</v>
      </c>
      <c r="QKN10" s="1548"/>
      <c r="QKO10" s="1547">
        <f t="shared" ref="QKO10" si="5879">QKM10</f>
        <v>95000</v>
      </c>
      <c r="QKP10" s="1548"/>
      <c r="QKQ10" s="1547">
        <f t="shared" ref="QKQ10" si="5880">QKO10</f>
        <v>95000</v>
      </c>
      <c r="QKR10" s="1548"/>
      <c r="QKS10" s="1547">
        <f t="shared" ref="QKS10" si="5881">QKQ10</f>
        <v>95000</v>
      </c>
      <c r="QKT10" s="1548"/>
      <c r="QKU10" s="1547">
        <f t="shared" ref="QKU10" si="5882">QKS10</f>
        <v>95000</v>
      </c>
      <c r="QKV10" s="1548"/>
      <c r="QKW10" s="1547">
        <f t="shared" ref="QKW10" si="5883">QKU10</f>
        <v>95000</v>
      </c>
      <c r="QKX10" s="1548"/>
      <c r="QKY10" s="1547">
        <f t="shared" ref="QKY10" si="5884">QKW10</f>
        <v>95000</v>
      </c>
      <c r="QKZ10" s="1548"/>
      <c r="QLA10" s="1547">
        <f t="shared" ref="QLA10" si="5885">QKY10</f>
        <v>95000</v>
      </c>
      <c r="QLB10" s="1548"/>
      <c r="QLC10" s="1547">
        <f t="shared" ref="QLC10" si="5886">QLA10</f>
        <v>95000</v>
      </c>
      <c r="QLD10" s="1548"/>
      <c r="QLE10" s="1547">
        <f t="shared" ref="QLE10" si="5887">QLC10</f>
        <v>95000</v>
      </c>
      <c r="QLF10" s="1548"/>
      <c r="QLG10" s="1547">
        <f t="shared" ref="QLG10" si="5888">QLE10</f>
        <v>95000</v>
      </c>
      <c r="QLH10" s="1548"/>
      <c r="QLI10" s="1547">
        <f t="shared" ref="QLI10" si="5889">QLG10</f>
        <v>95000</v>
      </c>
      <c r="QLJ10" s="1548"/>
      <c r="QLK10" s="1547">
        <f t="shared" ref="QLK10" si="5890">QLI10</f>
        <v>95000</v>
      </c>
      <c r="QLL10" s="1548"/>
      <c r="QLM10" s="1547">
        <f t="shared" ref="QLM10" si="5891">QLK10</f>
        <v>95000</v>
      </c>
      <c r="QLN10" s="1548"/>
      <c r="QLO10" s="1547">
        <f t="shared" ref="QLO10" si="5892">QLM10</f>
        <v>95000</v>
      </c>
      <c r="QLP10" s="1548"/>
      <c r="QLQ10" s="1547">
        <f t="shared" ref="QLQ10" si="5893">QLO10</f>
        <v>95000</v>
      </c>
      <c r="QLR10" s="1548"/>
      <c r="QLS10" s="1547">
        <f t="shared" ref="QLS10" si="5894">QLQ10</f>
        <v>95000</v>
      </c>
      <c r="QLT10" s="1548"/>
      <c r="QLU10" s="1547">
        <f t="shared" ref="QLU10" si="5895">QLS10</f>
        <v>95000</v>
      </c>
      <c r="QLV10" s="1548"/>
      <c r="QLW10" s="1547">
        <f t="shared" ref="QLW10" si="5896">QLU10</f>
        <v>95000</v>
      </c>
      <c r="QLX10" s="1548"/>
      <c r="QLY10" s="1547">
        <f t="shared" ref="QLY10" si="5897">QLW10</f>
        <v>95000</v>
      </c>
      <c r="QLZ10" s="1548"/>
      <c r="QMA10" s="1547">
        <f t="shared" ref="QMA10" si="5898">QLY10</f>
        <v>95000</v>
      </c>
      <c r="QMB10" s="1548"/>
      <c r="QMC10" s="1547">
        <f t="shared" ref="QMC10" si="5899">QMA10</f>
        <v>95000</v>
      </c>
      <c r="QMD10" s="1548"/>
      <c r="QME10" s="1547">
        <f t="shared" ref="QME10" si="5900">QMC10</f>
        <v>95000</v>
      </c>
      <c r="QMF10" s="1548"/>
      <c r="QMG10" s="1547">
        <f t="shared" ref="QMG10" si="5901">QME10</f>
        <v>95000</v>
      </c>
      <c r="QMH10" s="1548"/>
      <c r="QMI10" s="1547">
        <f t="shared" ref="QMI10" si="5902">QMG10</f>
        <v>95000</v>
      </c>
      <c r="QMJ10" s="1548"/>
      <c r="QMK10" s="1547">
        <f t="shared" ref="QMK10" si="5903">QMI10</f>
        <v>95000</v>
      </c>
      <c r="QML10" s="1548"/>
      <c r="QMM10" s="1547">
        <f t="shared" ref="QMM10" si="5904">QMK10</f>
        <v>95000</v>
      </c>
      <c r="QMN10" s="1548"/>
      <c r="QMO10" s="1547">
        <f t="shared" ref="QMO10" si="5905">QMM10</f>
        <v>95000</v>
      </c>
      <c r="QMP10" s="1548"/>
      <c r="QMQ10" s="1547">
        <f t="shared" ref="QMQ10" si="5906">QMO10</f>
        <v>95000</v>
      </c>
      <c r="QMR10" s="1548"/>
      <c r="QMS10" s="1547">
        <f t="shared" ref="QMS10" si="5907">QMQ10</f>
        <v>95000</v>
      </c>
      <c r="QMT10" s="1548"/>
      <c r="QMU10" s="1547">
        <f t="shared" ref="QMU10" si="5908">QMS10</f>
        <v>95000</v>
      </c>
      <c r="QMV10" s="1548"/>
      <c r="QMW10" s="1547">
        <f t="shared" ref="QMW10" si="5909">QMU10</f>
        <v>95000</v>
      </c>
      <c r="QMX10" s="1548"/>
      <c r="QMY10" s="1547">
        <f t="shared" ref="QMY10" si="5910">QMW10</f>
        <v>95000</v>
      </c>
      <c r="QMZ10" s="1548"/>
      <c r="QNA10" s="1547">
        <f t="shared" ref="QNA10" si="5911">QMY10</f>
        <v>95000</v>
      </c>
      <c r="QNB10" s="1548"/>
      <c r="QNC10" s="1547">
        <f t="shared" ref="QNC10" si="5912">QNA10</f>
        <v>95000</v>
      </c>
      <c r="QND10" s="1548"/>
      <c r="QNE10" s="1547">
        <f t="shared" ref="QNE10" si="5913">QNC10</f>
        <v>95000</v>
      </c>
      <c r="QNF10" s="1548"/>
      <c r="QNG10" s="1547">
        <f t="shared" ref="QNG10" si="5914">QNE10</f>
        <v>95000</v>
      </c>
      <c r="QNH10" s="1548"/>
      <c r="QNI10" s="1547">
        <f t="shared" ref="QNI10" si="5915">QNG10</f>
        <v>95000</v>
      </c>
      <c r="QNJ10" s="1548"/>
      <c r="QNK10" s="1547">
        <f t="shared" ref="QNK10" si="5916">QNI10</f>
        <v>95000</v>
      </c>
      <c r="QNL10" s="1548"/>
      <c r="QNM10" s="1547">
        <f t="shared" ref="QNM10" si="5917">QNK10</f>
        <v>95000</v>
      </c>
      <c r="QNN10" s="1548"/>
      <c r="QNO10" s="1547">
        <f t="shared" ref="QNO10" si="5918">QNM10</f>
        <v>95000</v>
      </c>
      <c r="QNP10" s="1548"/>
      <c r="QNQ10" s="1547">
        <f t="shared" ref="QNQ10" si="5919">QNO10</f>
        <v>95000</v>
      </c>
      <c r="QNR10" s="1548"/>
      <c r="QNS10" s="1547">
        <f t="shared" ref="QNS10" si="5920">QNQ10</f>
        <v>95000</v>
      </c>
      <c r="QNT10" s="1548"/>
      <c r="QNU10" s="1547">
        <f t="shared" ref="QNU10" si="5921">QNS10</f>
        <v>95000</v>
      </c>
      <c r="QNV10" s="1548"/>
      <c r="QNW10" s="1547">
        <f t="shared" ref="QNW10" si="5922">QNU10</f>
        <v>95000</v>
      </c>
      <c r="QNX10" s="1548"/>
      <c r="QNY10" s="1547">
        <f t="shared" ref="QNY10" si="5923">QNW10</f>
        <v>95000</v>
      </c>
      <c r="QNZ10" s="1548"/>
      <c r="QOA10" s="1547">
        <f t="shared" ref="QOA10" si="5924">QNY10</f>
        <v>95000</v>
      </c>
      <c r="QOB10" s="1548"/>
      <c r="QOC10" s="1547">
        <f t="shared" ref="QOC10" si="5925">QOA10</f>
        <v>95000</v>
      </c>
      <c r="QOD10" s="1548"/>
      <c r="QOE10" s="1547">
        <f t="shared" ref="QOE10" si="5926">QOC10</f>
        <v>95000</v>
      </c>
      <c r="QOF10" s="1548"/>
      <c r="QOG10" s="1547">
        <f t="shared" ref="QOG10" si="5927">QOE10</f>
        <v>95000</v>
      </c>
      <c r="QOH10" s="1548"/>
      <c r="QOI10" s="1547">
        <f t="shared" ref="QOI10" si="5928">QOG10</f>
        <v>95000</v>
      </c>
      <c r="QOJ10" s="1548"/>
      <c r="QOK10" s="1547">
        <f t="shared" ref="QOK10" si="5929">QOI10</f>
        <v>95000</v>
      </c>
      <c r="QOL10" s="1548"/>
      <c r="QOM10" s="1547">
        <f t="shared" ref="QOM10" si="5930">QOK10</f>
        <v>95000</v>
      </c>
      <c r="QON10" s="1548"/>
      <c r="QOO10" s="1547">
        <f t="shared" ref="QOO10" si="5931">QOM10</f>
        <v>95000</v>
      </c>
      <c r="QOP10" s="1548"/>
      <c r="QOQ10" s="1547">
        <f t="shared" ref="QOQ10" si="5932">QOO10</f>
        <v>95000</v>
      </c>
      <c r="QOR10" s="1548"/>
      <c r="QOS10" s="1547">
        <f t="shared" ref="QOS10" si="5933">QOQ10</f>
        <v>95000</v>
      </c>
      <c r="QOT10" s="1548"/>
      <c r="QOU10" s="1547">
        <f t="shared" ref="QOU10" si="5934">QOS10</f>
        <v>95000</v>
      </c>
      <c r="QOV10" s="1548"/>
      <c r="QOW10" s="1547">
        <f t="shared" ref="QOW10" si="5935">QOU10</f>
        <v>95000</v>
      </c>
      <c r="QOX10" s="1548"/>
      <c r="QOY10" s="1547">
        <f t="shared" ref="QOY10" si="5936">QOW10</f>
        <v>95000</v>
      </c>
      <c r="QOZ10" s="1548"/>
      <c r="QPA10" s="1547">
        <f t="shared" ref="QPA10" si="5937">QOY10</f>
        <v>95000</v>
      </c>
      <c r="QPB10" s="1548"/>
      <c r="QPC10" s="1547">
        <f t="shared" ref="QPC10" si="5938">QPA10</f>
        <v>95000</v>
      </c>
      <c r="QPD10" s="1548"/>
      <c r="QPE10" s="1547">
        <f t="shared" ref="QPE10" si="5939">QPC10</f>
        <v>95000</v>
      </c>
      <c r="QPF10" s="1548"/>
      <c r="QPG10" s="1547">
        <f t="shared" ref="QPG10" si="5940">QPE10</f>
        <v>95000</v>
      </c>
      <c r="QPH10" s="1548"/>
      <c r="QPI10" s="1547">
        <f t="shared" ref="QPI10" si="5941">QPG10</f>
        <v>95000</v>
      </c>
      <c r="QPJ10" s="1548"/>
      <c r="QPK10" s="1547">
        <f t="shared" ref="QPK10" si="5942">QPI10</f>
        <v>95000</v>
      </c>
      <c r="QPL10" s="1548"/>
      <c r="QPM10" s="1547">
        <f t="shared" ref="QPM10" si="5943">QPK10</f>
        <v>95000</v>
      </c>
      <c r="QPN10" s="1548"/>
      <c r="QPO10" s="1547">
        <f t="shared" ref="QPO10" si="5944">QPM10</f>
        <v>95000</v>
      </c>
      <c r="QPP10" s="1548"/>
      <c r="QPQ10" s="1547">
        <f t="shared" ref="QPQ10" si="5945">QPO10</f>
        <v>95000</v>
      </c>
      <c r="QPR10" s="1548"/>
      <c r="QPS10" s="1547">
        <f t="shared" ref="QPS10" si="5946">QPQ10</f>
        <v>95000</v>
      </c>
      <c r="QPT10" s="1548"/>
      <c r="QPU10" s="1547">
        <f t="shared" ref="QPU10" si="5947">QPS10</f>
        <v>95000</v>
      </c>
      <c r="QPV10" s="1548"/>
      <c r="QPW10" s="1547">
        <f t="shared" ref="QPW10" si="5948">QPU10</f>
        <v>95000</v>
      </c>
      <c r="QPX10" s="1548"/>
      <c r="QPY10" s="1547">
        <f t="shared" ref="QPY10" si="5949">QPW10</f>
        <v>95000</v>
      </c>
      <c r="QPZ10" s="1548"/>
      <c r="QQA10" s="1547">
        <f t="shared" ref="QQA10" si="5950">QPY10</f>
        <v>95000</v>
      </c>
      <c r="QQB10" s="1548"/>
      <c r="QQC10" s="1547">
        <f t="shared" ref="QQC10" si="5951">QQA10</f>
        <v>95000</v>
      </c>
      <c r="QQD10" s="1548"/>
      <c r="QQE10" s="1547">
        <f t="shared" ref="QQE10" si="5952">QQC10</f>
        <v>95000</v>
      </c>
      <c r="QQF10" s="1548"/>
      <c r="QQG10" s="1547">
        <f t="shared" ref="QQG10" si="5953">QQE10</f>
        <v>95000</v>
      </c>
      <c r="QQH10" s="1548"/>
      <c r="QQI10" s="1547">
        <f t="shared" ref="QQI10" si="5954">QQG10</f>
        <v>95000</v>
      </c>
      <c r="QQJ10" s="1548"/>
      <c r="QQK10" s="1547">
        <f t="shared" ref="QQK10" si="5955">QQI10</f>
        <v>95000</v>
      </c>
      <c r="QQL10" s="1548"/>
      <c r="QQM10" s="1547">
        <f t="shared" ref="QQM10" si="5956">QQK10</f>
        <v>95000</v>
      </c>
      <c r="QQN10" s="1548"/>
      <c r="QQO10" s="1547">
        <f t="shared" ref="QQO10" si="5957">QQM10</f>
        <v>95000</v>
      </c>
      <c r="QQP10" s="1548"/>
      <c r="QQQ10" s="1547">
        <f t="shared" ref="QQQ10" si="5958">QQO10</f>
        <v>95000</v>
      </c>
      <c r="QQR10" s="1548"/>
      <c r="QQS10" s="1547">
        <f t="shared" ref="QQS10" si="5959">QQQ10</f>
        <v>95000</v>
      </c>
      <c r="QQT10" s="1548"/>
      <c r="QQU10" s="1547">
        <f t="shared" ref="QQU10" si="5960">QQS10</f>
        <v>95000</v>
      </c>
      <c r="QQV10" s="1548"/>
      <c r="QQW10" s="1547">
        <f t="shared" ref="QQW10" si="5961">QQU10</f>
        <v>95000</v>
      </c>
      <c r="QQX10" s="1548"/>
      <c r="QQY10" s="1547">
        <f t="shared" ref="QQY10" si="5962">QQW10</f>
        <v>95000</v>
      </c>
      <c r="QQZ10" s="1548"/>
      <c r="QRA10" s="1547">
        <f t="shared" ref="QRA10" si="5963">QQY10</f>
        <v>95000</v>
      </c>
      <c r="QRB10" s="1548"/>
      <c r="QRC10" s="1547">
        <f t="shared" ref="QRC10" si="5964">QRA10</f>
        <v>95000</v>
      </c>
      <c r="QRD10" s="1548"/>
      <c r="QRE10" s="1547">
        <f t="shared" ref="QRE10" si="5965">QRC10</f>
        <v>95000</v>
      </c>
      <c r="QRF10" s="1548"/>
      <c r="QRG10" s="1547">
        <f t="shared" ref="QRG10" si="5966">QRE10</f>
        <v>95000</v>
      </c>
      <c r="QRH10" s="1548"/>
      <c r="QRI10" s="1547">
        <f t="shared" ref="QRI10" si="5967">QRG10</f>
        <v>95000</v>
      </c>
      <c r="QRJ10" s="1548"/>
      <c r="QRK10" s="1547">
        <f t="shared" ref="QRK10" si="5968">QRI10</f>
        <v>95000</v>
      </c>
      <c r="QRL10" s="1548"/>
      <c r="QRM10" s="1547">
        <f t="shared" ref="QRM10" si="5969">QRK10</f>
        <v>95000</v>
      </c>
      <c r="QRN10" s="1548"/>
      <c r="QRO10" s="1547">
        <f t="shared" ref="QRO10" si="5970">QRM10</f>
        <v>95000</v>
      </c>
      <c r="QRP10" s="1548"/>
      <c r="QRQ10" s="1547">
        <f t="shared" ref="QRQ10" si="5971">QRO10</f>
        <v>95000</v>
      </c>
      <c r="QRR10" s="1548"/>
      <c r="QRS10" s="1547">
        <f t="shared" ref="QRS10" si="5972">QRQ10</f>
        <v>95000</v>
      </c>
      <c r="QRT10" s="1548"/>
      <c r="QRU10" s="1547">
        <f t="shared" ref="QRU10" si="5973">QRS10</f>
        <v>95000</v>
      </c>
      <c r="QRV10" s="1548"/>
      <c r="QRW10" s="1547">
        <f t="shared" ref="QRW10" si="5974">QRU10</f>
        <v>95000</v>
      </c>
      <c r="QRX10" s="1548"/>
      <c r="QRY10" s="1547">
        <f t="shared" ref="QRY10" si="5975">QRW10</f>
        <v>95000</v>
      </c>
      <c r="QRZ10" s="1548"/>
      <c r="QSA10" s="1547">
        <f t="shared" ref="QSA10" si="5976">QRY10</f>
        <v>95000</v>
      </c>
      <c r="QSB10" s="1548"/>
      <c r="QSC10" s="1547">
        <f t="shared" ref="QSC10" si="5977">QSA10</f>
        <v>95000</v>
      </c>
      <c r="QSD10" s="1548"/>
      <c r="QSE10" s="1547">
        <f t="shared" ref="QSE10" si="5978">QSC10</f>
        <v>95000</v>
      </c>
      <c r="QSF10" s="1548"/>
      <c r="QSG10" s="1547">
        <f t="shared" ref="QSG10" si="5979">QSE10</f>
        <v>95000</v>
      </c>
      <c r="QSH10" s="1548"/>
      <c r="QSI10" s="1547">
        <f t="shared" ref="QSI10" si="5980">QSG10</f>
        <v>95000</v>
      </c>
      <c r="QSJ10" s="1548"/>
      <c r="QSK10" s="1547">
        <f t="shared" ref="QSK10" si="5981">QSI10</f>
        <v>95000</v>
      </c>
      <c r="QSL10" s="1548"/>
      <c r="QSM10" s="1547">
        <f t="shared" ref="QSM10" si="5982">QSK10</f>
        <v>95000</v>
      </c>
      <c r="QSN10" s="1548"/>
      <c r="QSO10" s="1547">
        <f t="shared" ref="QSO10" si="5983">QSM10</f>
        <v>95000</v>
      </c>
      <c r="QSP10" s="1548"/>
      <c r="QSQ10" s="1547">
        <f t="shared" ref="QSQ10" si="5984">QSO10</f>
        <v>95000</v>
      </c>
      <c r="QSR10" s="1548"/>
      <c r="QSS10" s="1547">
        <f t="shared" ref="QSS10" si="5985">QSQ10</f>
        <v>95000</v>
      </c>
      <c r="QST10" s="1548"/>
      <c r="QSU10" s="1547">
        <f t="shared" ref="QSU10" si="5986">QSS10</f>
        <v>95000</v>
      </c>
      <c r="QSV10" s="1548"/>
      <c r="QSW10" s="1547">
        <f t="shared" ref="QSW10" si="5987">QSU10</f>
        <v>95000</v>
      </c>
      <c r="QSX10" s="1548"/>
      <c r="QSY10" s="1547">
        <f t="shared" ref="QSY10" si="5988">QSW10</f>
        <v>95000</v>
      </c>
      <c r="QSZ10" s="1548"/>
      <c r="QTA10" s="1547">
        <f t="shared" ref="QTA10" si="5989">QSY10</f>
        <v>95000</v>
      </c>
      <c r="QTB10" s="1548"/>
      <c r="QTC10" s="1547">
        <f t="shared" ref="QTC10" si="5990">QTA10</f>
        <v>95000</v>
      </c>
      <c r="QTD10" s="1548"/>
      <c r="QTE10" s="1547">
        <f t="shared" ref="QTE10" si="5991">QTC10</f>
        <v>95000</v>
      </c>
      <c r="QTF10" s="1548"/>
      <c r="QTG10" s="1547">
        <f t="shared" ref="QTG10" si="5992">QTE10</f>
        <v>95000</v>
      </c>
      <c r="QTH10" s="1548"/>
      <c r="QTI10" s="1547">
        <f t="shared" ref="QTI10" si="5993">QTG10</f>
        <v>95000</v>
      </c>
      <c r="QTJ10" s="1548"/>
      <c r="QTK10" s="1547">
        <f t="shared" ref="QTK10" si="5994">QTI10</f>
        <v>95000</v>
      </c>
      <c r="QTL10" s="1548"/>
      <c r="QTM10" s="1547">
        <f t="shared" ref="QTM10" si="5995">QTK10</f>
        <v>95000</v>
      </c>
      <c r="QTN10" s="1548"/>
      <c r="QTO10" s="1547">
        <f t="shared" ref="QTO10" si="5996">QTM10</f>
        <v>95000</v>
      </c>
      <c r="QTP10" s="1548"/>
      <c r="QTQ10" s="1547">
        <f t="shared" ref="QTQ10" si="5997">QTO10</f>
        <v>95000</v>
      </c>
      <c r="QTR10" s="1548"/>
      <c r="QTS10" s="1547">
        <f t="shared" ref="QTS10" si="5998">QTQ10</f>
        <v>95000</v>
      </c>
      <c r="QTT10" s="1548"/>
      <c r="QTU10" s="1547">
        <f t="shared" ref="QTU10" si="5999">QTS10</f>
        <v>95000</v>
      </c>
      <c r="QTV10" s="1548"/>
      <c r="QTW10" s="1547">
        <f t="shared" ref="QTW10" si="6000">QTU10</f>
        <v>95000</v>
      </c>
      <c r="QTX10" s="1548"/>
      <c r="QTY10" s="1547">
        <f t="shared" ref="QTY10" si="6001">QTW10</f>
        <v>95000</v>
      </c>
      <c r="QTZ10" s="1548"/>
      <c r="QUA10" s="1547">
        <f t="shared" ref="QUA10" si="6002">QTY10</f>
        <v>95000</v>
      </c>
      <c r="QUB10" s="1548"/>
      <c r="QUC10" s="1547">
        <f t="shared" ref="QUC10" si="6003">QUA10</f>
        <v>95000</v>
      </c>
      <c r="QUD10" s="1548"/>
      <c r="QUE10" s="1547">
        <f t="shared" ref="QUE10" si="6004">QUC10</f>
        <v>95000</v>
      </c>
      <c r="QUF10" s="1548"/>
      <c r="QUG10" s="1547">
        <f t="shared" ref="QUG10" si="6005">QUE10</f>
        <v>95000</v>
      </c>
      <c r="QUH10" s="1548"/>
      <c r="QUI10" s="1547">
        <f t="shared" ref="QUI10" si="6006">QUG10</f>
        <v>95000</v>
      </c>
      <c r="QUJ10" s="1548"/>
      <c r="QUK10" s="1547">
        <f t="shared" ref="QUK10" si="6007">QUI10</f>
        <v>95000</v>
      </c>
      <c r="QUL10" s="1548"/>
      <c r="QUM10" s="1547">
        <f t="shared" ref="QUM10" si="6008">QUK10</f>
        <v>95000</v>
      </c>
      <c r="QUN10" s="1548"/>
      <c r="QUO10" s="1547">
        <f t="shared" ref="QUO10" si="6009">QUM10</f>
        <v>95000</v>
      </c>
      <c r="QUP10" s="1548"/>
      <c r="QUQ10" s="1547">
        <f t="shared" ref="QUQ10" si="6010">QUO10</f>
        <v>95000</v>
      </c>
      <c r="QUR10" s="1548"/>
      <c r="QUS10" s="1547">
        <f t="shared" ref="QUS10" si="6011">QUQ10</f>
        <v>95000</v>
      </c>
      <c r="QUT10" s="1548"/>
      <c r="QUU10" s="1547">
        <f t="shared" ref="QUU10" si="6012">QUS10</f>
        <v>95000</v>
      </c>
      <c r="QUV10" s="1548"/>
      <c r="QUW10" s="1547">
        <f t="shared" ref="QUW10" si="6013">QUU10</f>
        <v>95000</v>
      </c>
      <c r="QUX10" s="1548"/>
      <c r="QUY10" s="1547">
        <f t="shared" ref="QUY10" si="6014">QUW10</f>
        <v>95000</v>
      </c>
      <c r="QUZ10" s="1548"/>
      <c r="QVA10" s="1547">
        <f t="shared" ref="QVA10" si="6015">QUY10</f>
        <v>95000</v>
      </c>
      <c r="QVB10" s="1548"/>
      <c r="QVC10" s="1547">
        <f t="shared" ref="QVC10" si="6016">QVA10</f>
        <v>95000</v>
      </c>
      <c r="QVD10" s="1548"/>
      <c r="QVE10" s="1547">
        <f t="shared" ref="QVE10" si="6017">QVC10</f>
        <v>95000</v>
      </c>
      <c r="QVF10" s="1548"/>
      <c r="QVG10" s="1547">
        <f t="shared" ref="QVG10" si="6018">QVE10</f>
        <v>95000</v>
      </c>
      <c r="QVH10" s="1548"/>
      <c r="QVI10" s="1547">
        <f t="shared" ref="QVI10" si="6019">QVG10</f>
        <v>95000</v>
      </c>
      <c r="QVJ10" s="1548"/>
      <c r="QVK10" s="1547">
        <f t="shared" ref="QVK10" si="6020">QVI10</f>
        <v>95000</v>
      </c>
      <c r="QVL10" s="1548"/>
      <c r="QVM10" s="1547">
        <f t="shared" ref="QVM10" si="6021">QVK10</f>
        <v>95000</v>
      </c>
      <c r="QVN10" s="1548"/>
      <c r="QVO10" s="1547">
        <f t="shared" ref="QVO10" si="6022">QVM10</f>
        <v>95000</v>
      </c>
      <c r="QVP10" s="1548"/>
      <c r="QVQ10" s="1547">
        <f t="shared" ref="QVQ10" si="6023">QVO10</f>
        <v>95000</v>
      </c>
      <c r="QVR10" s="1548"/>
      <c r="QVS10" s="1547">
        <f t="shared" ref="QVS10" si="6024">QVQ10</f>
        <v>95000</v>
      </c>
      <c r="QVT10" s="1548"/>
      <c r="QVU10" s="1547">
        <f t="shared" ref="QVU10" si="6025">QVS10</f>
        <v>95000</v>
      </c>
      <c r="QVV10" s="1548"/>
      <c r="QVW10" s="1547">
        <f t="shared" ref="QVW10" si="6026">QVU10</f>
        <v>95000</v>
      </c>
      <c r="QVX10" s="1548"/>
      <c r="QVY10" s="1547">
        <f t="shared" ref="QVY10" si="6027">QVW10</f>
        <v>95000</v>
      </c>
      <c r="QVZ10" s="1548"/>
      <c r="QWA10" s="1547">
        <f t="shared" ref="QWA10" si="6028">QVY10</f>
        <v>95000</v>
      </c>
      <c r="QWB10" s="1548"/>
      <c r="QWC10" s="1547">
        <f t="shared" ref="QWC10" si="6029">QWA10</f>
        <v>95000</v>
      </c>
      <c r="QWD10" s="1548"/>
      <c r="QWE10" s="1547">
        <f t="shared" ref="QWE10" si="6030">QWC10</f>
        <v>95000</v>
      </c>
      <c r="QWF10" s="1548"/>
      <c r="QWG10" s="1547">
        <f t="shared" ref="QWG10" si="6031">QWE10</f>
        <v>95000</v>
      </c>
      <c r="QWH10" s="1548"/>
      <c r="QWI10" s="1547">
        <f t="shared" ref="QWI10" si="6032">QWG10</f>
        <v>95000</v>
      </c>
      <c r="QWJ10" s="1548"/>
      <c r="QWK10" s="1547">
        <f t="shared" ref="QWK10" si="6033">QWI10</f>
        <v>95000</v>
      </c>
      <c r="QWL10" s="1548"/>
      <c r="QWM10" s="1547">
        <f t="shared" ref="QWM10" si="6034">QWK10</f>
        <v>95000</v>
      </c>
      <c r="QWN10" s="1548"/>
      <c r="QWO10" s="1547">
        <f t="shared" ref="QWO10" si="6035">QWM10</f>
        <v>95000</v>
      </c>
      <c r="QWP10" s="1548"/>
      <c r="QWQ10" s="1547">
        <f t="shared" ref="QWQ10" si="6036">QWO10</f>
        <v>95000</v>
      </c>
      <c r="QWR10" s="1548"/>
      <c r="QWS10" s="1547">
        <f t="shared" ref="QWS10" si="6037">QWQ10</f>
        <v>95000</v>
      </c>
      <c r="QWT10" s="1548"/>
      <c r="QWU10" s="1547">
        <f t="shared" ref="QWU10" si="6038">QWS10</f>
        <v>95000</v>
      </c>
      <c r="QWV10" s="1548"/>
      <c r="QWW10" s="1547">
        <f t="shared" ref="QWW10" si="6039">QWU10</f>
        <v>95000</v>
      </c>
      <c r="QWX10" s="1548"/>
      <c r="QWY10" s="1547">
        <f t="shared" ref="QWY10" si="6040">QWW10</f>
        <v>95000</v>
      </c>
      <c r="QWZ10" s="1548"/>
      <c r="QXA10" s="1547">
        <f t="shared" ref="QXA10" si="6041">QWY10</f>
        <v>95000</v>
      </c>
      <c r="QXB10" s="1548"/>
      <c r="QXC10" s="1547">
        <f t="shared" ref="QXC10" si="6042">QXA10</f>
        <v>95000</v>
      </c>
      <c r="QXD10" s="1548"/>
      <c r="QXE10" s="1547">
        <f t="shared" ref="QXE10" si="6043">QXC10</f>
        <v>95000</v>
      </c>
      <c r="QXF10" s="1548"/>
      <c r="QXG10" s="1547">
        <f t="shared" ref="QXG10" si="6044">QXE10</f>
        <v>95000</v>
      </c>
      <c r="QXH10" s="1548"/>
      <c r="QXI10" s="1547">
        <f t="shared" ref="QXI10" si="6045">QXG10</f>
        <v>95000</v>
      </c>
      <c r="QXJ10" s="1548"/>
      <c r="QXK10" s="1547">
        <f t="shared" ref="QXK10" si="6046">QXI10</f>
        <v>95000</v>
      </c>
      <c r="QXL10" s="1548"/>
      <c r="QXM10" s="1547">
        <f t="shared" ref="QXM10" si="6047">QXK10</f>
        <v>95000</v>
      </c>
      <c r="QXN10" s="1548"/>
      <c r="QXO10" s="1547">
        <f t="shared" ref="QXO10" si="6048">QXM10</f>
        <v>95000</v>
      </c>
      <c r="QXP10" s="1548"/>
      <c r="QXQ10" s="1547">
        <f t="shared" ref="QXQ10" si="6049">QXO10</f>
        <v>95000</v>
      </c>
      <c r="QXR10" s="1548"/>
      <c r="QXS10" s="1547">
        <f t="shared" ref="QXS10" si="6050">QXQ10</f>
        <v>95000</v>
      </c>
      <c r="QXT10" s="1548"/>
      <c r="QXU10" s="1547">
        <f t="shared" ref="QXU10" si="6051">QXS10</f>
        <v>95000</v>
      </c>
      <c r="QXV10" s="1548"/>
      <c r="QXW10" s="1547">
        <f t="shared" ref="QXW10" si="6052">QXU10</f>
        <v>95000</v>
      </c>
      <c r="QXX10" s="1548"/>
      <c r="QXY10" s="1547">
        <f t="shared" ref="QXY10" si="6053">QXW10</f>
        <v>95000</v>
      </c>
      <c r="QXZ10" s="1548"/>
      <c r="QYA10" s="1547">
        <f t="shared" ref="QYA10" si="6054">QXY10</f>
        <v>95000</v>
      </c>
      <c r="QYB10" s="1548"/>
      <c r="QYC10" s="1547">
        <f t="shared" ref="QYC10" si="6055">QYA10</f>
        <v>95000</v>
      </c>
      <c r="QYD10" s="1548"/>
      <c r="QYE10" s="1547">
        <f t="shared" ref="QYE10" si="6056">QYC10</f>
        <v>95000</v>
      </c>
      <c r="QYF10" s="1548"/>
      <c r="QYG10" s="1547">
        <f t="shared" ref="QYG10" si="6057">QYE10</f>
        <v>95000</v>
      </c>
      <c r="QYH10" s="1548"/>
      <c r="QYI10" s="1547">
        <f t="shared" ref="QYI10" si="6058">QYG10</f>
        <v>95000</v>
      </c>
      <c r="QYJ10" s="1548"/>
      <c r="QYK10" s="1547">
        <f t="shared" ref="QYK10" si="6059">QYI10</f>
        <v>95000</v>
      </c>
      <c r="QYL10" s="1548"/>
      <c r="QYM10" s="1547">
        <f t="shared" ref="QYM10" si="6060">QYK10</f>
        <v>95000</v>
      </c>
      <c r="QYN10" s="1548"/>
      <c r="QYO10" s="1547">
        <f t="shared" ref="QYO10" si="6061">QYM10</f>
        <v>95000</v>
      </c>
      <c r="QYP10" s="1548"/>
      <c r="QYQ10" s="1547">
        <f t="shared" ref="QYQ10" si="6062">QYO10</f>
        <v>95000</v>
      </c>
      <c r="QYR10" s="1548"/>
      <c r="QYS10" s="1547">
        <f t="shared" ref="QYS10" si="6063">QYQ10</f>
        <v>95000</v>
      </c>
      <c r="QYT10" s="1548"/>
      <c r="QYU10" s="1547">
        <f t="shared" ref="QYU10" si="6064">QYS10</f>
        <v>95000</v>
      </c>
      <c r="QYV10" s="1548"/>
      <c r="QYW10" s="1547">
        <f t="shared" ref="QYW10" si="6065">QYU10</f>
        <v>95000</v>
      </c>
      <c r="QYX10" s="1548"/>
      <c r="QYY10" s="1547">
        <f t="shared" ref="QYY10" si="6066">QYW10</f>
        <v>95000</v>
      </c>
      <c r="QYZ10" s="1548"/>
      <c r="QZA10" s="1547">
        <f t="shared" ref="QZA10" si="6067">QYY10</f>
        <v>95000</v>
      </c>
      <c r="QZB10" s="1548"/>
      <c r="QZC10" s="1547">
        <f t="shared" ref="QZC10" si="6068">QZA10</f>
        <v>95000</v>
      </c>
      <c r="QZD10" s="1548"/>
      <c r="QZE10" s="1547">
        <f t="shared" ref="QZE10" si="6069">QZC10</f>
        <v>95000</v>
      </c>
      <c r="QZF10" s="1548"/>
      <c r="QZG10" s="1547">
        <f t="shared" ref="QZG10" si="6070">QZE10</f>
        <v>95000</v>
      </c>
      <c r="QZH10" s="1548"/>
      <c r="QZI10" s="1547">
        <f t="shared" ref="QZI10" si="6071">QZG10</f>
        <v>95000</v>
      </c>
      <c r="QZJ10" s="1548"/>
      <c r="QZK10" s="1547">
        <f t="shared" ref="QZK10" si="6072">QZI10</f>
        <v>95000</v>
      </c>
      <c r="QZL10" s="1548"/>
      <c r="QZM10" s="1547">
        <f t="shared" ref="QZM10" si="6073">QZK10</f>
        <v>95000</v>
      </c>
      <c r="QZN10" s="1548"/>
      <c r="QZO10" s="1547">
        <f t="shared" ref="QZO10" si="6074">QZM10</f>
        <v>95000</v>
      </c>
      <c r="QZP10" s="1548"/>
      <c r="QZQ10" s="1547">
        <f t="shared" ref="QZQ10" si="6075">QZO10</f>
        <v>95000</v>
      </c>
      <c r="QZR10" s="1548"/>
      <c r="QZS10" s="1547">
        <f t="shared" ref="QZS10" si="6076">QZQ10</f>
        <v>95000</v>
      </c>
      <c r="QZT10" s="1548"/>
      <c r="QZU10" s="1547">
        <f t="shared" ref="QZU10" si="6077">QZS10</f>
        <v>95000</v>
      </c>
      <c r="QZV10" s="1548"/>
      <c r="QZW10" s="1547">
        <f t="shared" ref="QZW10" si="6078">QZU10</f>
        <v>95000</v>
      </c>
      <c r="QZX10" s="1548"/>
      <c r="QZY10" s="1547">
        <f t="shared" ref="QZY10" si="6079">QZW10</f>
        <v>95000</v>
      </c>
      <c r="QZZ10" s="1548"/>
      <c r="RAA10" s="1547">
        <f t="shared" ref="RAA10" si="6080">QZY10</f>
        <v>95000</v>
      </c>
      <c r="RAB10" s="1548"/>
      <c r="RAC10" s="1547">
        <f t="shared" ref="RAC10" si="6081">RAA10</f>
        <v>95000</v>
      </c>
      <c r="RAD10" s="1548"/>
      <c r="RAE10" s="1547">
        <f t="shared" ref="RAE10" si="6082">RAC10</f>
        <v>95000</v>
      </c>
      <c r="RAF10" s="1548"/>
      <c r="RAG10" s="1547">
        <f t="shared" ref="RAG10" si="6083">RAE10</f>
        <v>95000</v>
      </c>
      <c r="RAH10" s="1548"/>
      <c r="RAI10" s="1547">
        <f t="shared" ref="RAI10" si="6084">RAG10</f>
        <v>95000</v>
      </c>
      <c r="RAJ10" s="1548"/>
      <c r="RAK10" s="1547">
        <f t="shared" ref="RAK10" si="6085">RAI10</f>
        <v>95000</v>
      </c>
      <c r="RAL10" s="1548"/>
      <c r="RAM10" s="1547">
        <f t="shared" ref="RAM10" si="6086">RAK10</f>
        <v>95000</v>
      </c>
      <c r="RAN10" s="1548"/>
      <c r="RAO10" s="1547">
        <f t="shared" ref="RAO10" si="6087">RAM10</f>
        <v>95000</v>
      </c>
      <c r="RAP10" s="1548"/>
      <c r="RAQ10" s="1547">
        <f t="shared" ref="RAQ10" si="6088">RAO10</f>
        <v>95000</v>
      </c>
      <c r="RAR10" s="1548"/>
      <c r="RAS10" s="1547">
        <f t="shared" ref="RAS10" si="6089">RAQ10</f>
        <v>95000</v>
      </c>
      <c r="RAT10" s="1548"/>
      <c r="RAU10" s="1547">
        <f t="shared" ref="RAU10" si="6090">RAS10</f>
        <v>95000</v>
      </c>
      <c r="RAV10" s="1548"/>
      <c r="RAW10" s="1547">
        <f t="shared" ref="RAW10" si="6091">RAU10</f>
        <v>95000</v>
      </c>
      <c r="RAX10" s="1548"/>
      <c r="RAY10" s="1547">
        <f t="shared" ref="RAY10" si="6092">RAW10</f>
        <v>95000</v>
      </c>
      <c r="RAZ10" s="1548"/>
      <c r="RBA10" s="1547">
        <f t="shared" ref="RBA10" si="6093">RAY10</f>
        <v>95000</v>
      </c>
      <c r="RBB10" s="1548"/>
      <c r="RBC10" s="1547">
        <f t="shared" ref="RBC10" si="6094">RBA10</f>
        <v>95000</v>
      </c>
      <c r="RBD10" s="1548"/>
      <c r="RBE10" s="1547">
        <f t="shared" ref="RBE10" si="6095">RBC10</f>
        <v>95000</v>
      </c>
      <c r="RBF10" s="1548"/>
      <c r="RBG10" s="1547">
        <f t="shared" ref="RBG10" si="6096">RBE10</f>
        <v>95000</v>
      </c>
      <c r="RBH10" s="1548"/>
      <c r="RBI10" s="1547">
        <f t="shared" ref="RBI10" si="6097">RBG10</f>
        <v>95000</v>
      </c>
      <c r="RBJ10" s="1548"/>
      <c r="RBK10" s="1547">
        <f t="shared" ref="RBK10" si="6098">RBI10</f>
        <v>95000</v>
      </c>
      <c r="RBL10" s="1548"/>
      <c r="RBM10" s="1547">
        <f t="shared" ref="RBM10" si="6099">RBK10</f>
        <v>95000</v>
      </c>
      <c r="RBN10" s="1548"/>
      <c r="RBO10" s="1547">
        <f t="shared" ref="RBO10" si="6100">RBM10</f>
        <v>95000</v>
      </c>
      <c r="RBP10" s="1548"/>
      <c r="RBQ10" s="1547">
        <f t="shared" ref="RBQ10" si="6101">RBO10</f>
        <v>95000</v>
      </c>
      <c r="RBR10" s="1548"/>
      <c r="RBS10" s="1547">
        <f t="shared" ref="RBS10" si="6102">RBQ10</f>
        <v>95000</v>
      </c>
      <c r="RBT10" s="1548"/>
      <c r="RBU10" s="1547">
        <f t="shared" ref="RBU10" si="6103">RBS10</f>
        <v>95000</v>
      </c>
      <c r="RBV10" s="1548"/>
      <c r="RBW10" s="1547">
        <f t="shared" ref="RBW10" si="6104">RBU10</f>
        <v>95000</v>
      </c>
      <c r="RBX10" s="1548"/>
      <c r="RBY10" s="1547">
        <f t="shared" ref="RBY10" si="6105">RBW10</f>
        <v>95000</v>
      </c>
      <c r="RBZ10" s="1548"/>
      <c r="RCA10" s="1547">
        <f t="shared" ref="RCA10" si="6106">RBY10</f>
        <v>95000</v>
      </c>
      <c r="RCB10" s="1548"/>
      <c r="RCC10" s="1547">
        <f t="shared" ref="RCC10" si="6107">RCA10</f>
        <v>95000</v>
      </c>
      <c r="RCD10" s="1548"/>
      <c r="RCE10" s="1547">
        <f t="shared" ref="RCE10" si="6108">RCC10</f>
        <v>95000</v>
      </c>
      <c r="RCF10" s="1548"/>
      <c r="RCG10" s="1547">
        <f t="shared" ref="RCG10" si="6109">RCE10</f>
        <v>95000</v>
      </c>
      <c r="RCH10" s="1548"/>
      <c r="RCI10" s="1547">
        <f t="shared" ref="RCI10" si="6110">RCG10</f>
        <v>95000</v>
      </c>
      <c r="RCJ10" s="1548"/>
      <c r="RCK10" s="1547">
        <f t="shared" ref="RCK10" si="6111">RCI10</f>
        <v>95000</v>
      </c>
      <c r="RCL10" s="1548"/>
      <c r="RCM10" s="1547">
        <f t="shared" ref="RCM10" si="6112">RCK10</f>
        <v>95000</v>
      </c>
      <c r="RCN10" s="1548"/>
      <c r="RCO10" s="1547">
        <f t="shared" ref="RCO10" si="6113">RCM10</f>
        <v>95000</v>
      </c>
      <c r="RCP10" s="1548"/>
      <c r="RCQ10" s="1547">
        <f t="shared" ref="RCQ10" si="6114">RCO10</f>
        <v>95000</v>
      </c>
      <c r="RCR10" s="1548"/>
      <c r="RCS10" s="1547">
        <f t="shared" ref="RCS10" si="6115">RCQ10</f>
        <v>95000</v>
      </c>
      <c r="RCT10" s="1548"/>
      <c r="RCU10" s="1547">
        <f t="shared" ref="RCU10" si="6116">RCS10</f>
        <v>95000</v>
      </c>
      <c r="RCV10" s="1548"/>
      <c r="RCW10" s="1547">
        <f t="shared" ref="RCW10" si="6117">RCU10</f>
        <v>95000</v>
      </c>
      <c r="RCX10" s="1548"/>
      <c r="RCY10" s="1547">
        <f t="shared" ref="RCY10" si="6118">RCW10</f>
        <v>95000</v>
      </c>
      <c r="RCZ10" s="1548"/>
      <c r="RDA10" s="1547">
        <f t="shared" ref="RDA10" si="6119">RCY10</f>
        <v>95000</v>
      </c>
      <c r="RDB10" s="1548"/>
      <c r="RDC10" s="1547">
        <f t="shared" ref="RDC10" si="6120">RDA10</f>
        <v>95000</v>
      </c>
      <c r="RDD10" s="1548"/>
      <c r="RDE10" s="1547">
        <f t="shared" ref="RDE10" si="6121">RDC10</f>
        <v>95000</v>
      </c>
      <c r="RDF10" s="1548"/>
      <c r="RDG10" s="1547">
        <f t="shared" ref="RDG10" si="6122">RDE10</f>
        <v>95000</v>
      </c>
      <c r="RDH10" s="1548"/>
      <c r="RDI10" s="1547">
        <f t="shared" ref="RDI10" si="6123">RDG10</f>
        <v>95000</v>
      </c>
      <c r="RDJ10" s="1548"/>
      <c r="RDK10" s="1547">
        <f t="shared" ref="RDK10" si="6124">RDI10</f>
        <v>95000</v>
      </c>
      <c r="RDL10" s="1548"/>
      <c r="RDM10" s="1547">
        <f t="shared" ref="RDM10" si="6125">RDK10</f>
        <v>95000</v>
      </c>
      <c r="RDN10" s="1548"/>
      <c r="RDO10" s="1547">
        <f t="shared" ref="RDO10" si="6126">RDM10</f>
        <v>95000</v>
      </c>
      <c r="RDP10" s="1548"/>
      <c r="RDQ10" s="1547">
        <f t="shared" ref="RDQ10" si="6127">RDO10</f>
        <v>95000</v>
      </c>
      <c r="RDR10" s="1548"/>
      <c r="RDS10" s="1547">
        <f t="shared" ref="RDS10" si="6128">RDQ10</f>
        <v>95000</v>
      </c>
      <c r="RDT10" s="1548"/>
      <c r="RDU10" s="1547">
        <f t="shared" ref="RDU10" si="6129">RDS10</f>
        <v>95000</v>
      </c>
      <c r="RDV10" s="1548"/>
      <c r="RDW10" s="1547">
        <f t="shared" ref="RDW10" si="6130">RDU10</f>
        <v>95000</v>
      </c>
      <c r="RDX10" s="1548"/>
      <c r="RDY10" s="1547">
        <f t="shared" ref="RDY10" si="6131">RDW10</f>
        <v>95000</v>
      </c>
      <c r="RDZ10" s="1548"/>
      <c r="REA10" s="1547">
        <f t="shared" ref="REA10" si="6132">RDY10</f>
        <v>95000</v>
      </c>
      <c r="REB10" s="1548"/>
      <c r="REC10" s="1547">
        <f t="shared" ref="REC10" si="6133">REA10</f>
        <v>95000</v>
      </c>
      <c r="RED10" s="1548"/>
      <c r="REE10" s="1547">
        <f t="shared" ref="REE10" si="6134">REC10</f>
        <v>95000</v>
      </c>
      <c r="REF10" s="1548"/>
      <c r="REG10" s="1547">
        <f t="shared" ref="REG10" si="6135">REE10</f>
        <v>95000</v>
      </c>
      <c r="REH10" s="1548"/>
      <c r="REI10" s="1547">
        <f t="shared" ref="REI10" si="6136">REG10</f>
        <v>95000</v>
      </c>
      <c r="REJ10" s="1548"/>
      <c r="REK10" s="1547">
        <f t="shared" ref="REK10" si="6137">REI10</f>
        <v>95000</v>
      </c>
      <c r="REL10" s="1548"/>
      <c r="REM10" s="1547">
        <f t="shared" ref="REM10" si="6138">REK10</f>
        <v>95000</v>
      </c>
      <c r="REN10" s="1548"/>
      <c r="REO10" s="1547">
        <f t="shared" ref="REO10" si="6139">REM10</f>
        <v>95000</v>
      </c>
      <c r="REP10" s="1548"/>
      <c r="REQ10" s="1547">
        <f t="shared" ref="REQ10" si="6140">REO10</f>
        <v>95000</v>
      </c>
      <c r="RER10" s="1548"/>
      <c r="RES10" s="1547">
        <f t="shared" ref="RES10" si="6141">REQ10</f>
        <v>95000</v>
      </c>
      <c r="RET10" s="1548"/>
      <c r="REU10" s="1547">
        <f t="shared" ref="REU10" si="6142">RES10</f>
        <v>95000</v>
      </c>
      <c r="REV10" s="1548"/>
      <c r="REW10" s="1547">
        <f t="shared" ref="REW10" si="6143">REU10</f>
        <v>95000</v>
      </c>
      <c r="REX10" s="1548"/>
      <c r="REY10" s="1547">
        <f t="shared" ref="REY10" si="6144">REW10</f>
        <v>95000</v>
      </c>
      <c r="REZ10" s="1548"/>
      <c r="RFA10" s="1547">
        <f t="shared" ref="RFA10" si="6145">REY10</f>
        <v>95000</v>
      </c>
      <c r="RFB10" s="1548"/>
      <c r="RFC10" s="1547">
        <f t="shared" ref="RFC10" si="6146">RFA10</f>
        <v>95000</v>
      </c>
      <c r="RFD10" s="1548"/>
      <c r="RFE10" s="1547">
        <f t="shared" ref="RFE10" si="6147">RFC10</f>
        <v>95000</v>
      </c>
      <c r="RFF10" s="1548"/>
      <c r="RFG10" s="1547">
        <f t="shared" ref="RFG10" si="6148">RFE10</f>
        <v>95000</v>
      </c>
      <c r="RFH10" s="1548"/>
      <c r="RFI10" s="1547">
        <f t="shared" ref="RFI10" si="6149">RFG10</f>
        <v>95000</v>
      </c>
      <c r="RFJ10" s="1548"/>
      <c r="RFK10" s="1547">
        <f t="shared" ref="RFK10" si="6150">RFI10</f>
        <v>95000</v>
      </c>
      <c r="RFL10" s="1548"/>
      <c r="RFM10" s="1547">
        <f t="shared" ref="RFM10" si="6151">RFK10</f>
        <v>95000</v>
      </c>
      <c r="RFN10" s="1548"/>
      <c r="RFO10" s="1547">
        <f t="shared" ref="RFO10" si="6152">RFM10</f>
        <v>95000</v>
      </c>
      <c r="RFP10" s="1548"/>
      <c r="RFQ10" s="1547">
        <f t="shared" ref="RFQ10" si="6153">RFO10</f>
        <v>95000</v>
      </c>
      <c r="RFR10" s="1548"/>
      <c r="RFS10" s="1547">
        <f t="shared" ref="RFS10" si="6154">RFQ10</f>
        <v>95000</v>
      </c>
      <c r="RFT10" s="1548"/>
      <c r="RFU10" s="1547">
        <f t="shared" ref="RFU10" si="6155">RFS10</f>
        <v>95000</v>
      </c>
      <c r="RFV10" s="1548"/>
      <c r="RFW10" s="1547">
        <f t="shared" ref="RFW10" si="6156">RFU10</f>
        <v>95000</v>
      </c>
      <c r="RFX10" s="1548"/>
      <c r="RFY10" s="1547">
        <f t="shared" ref="RFY10" si="6157">RFW10</f>
        <v>95000</v>
      </c>
      <c r="RFZ10" s="1548"/>
      <c r="RGA10" s="1547">
        <f t="shared" ref="RGA10" si="6158">RFY10</f>
        <v>95000</v>
      </c>
      <c r="RGB10" s="1548"/>
      <c r="RGC10" s="1547">
        <f t="shared" ref="RGC10" si="6159">RGA10</f>
        <v>95000</v>
      </c>
      <c r="RGD10" s="1548"/>
      <c r="RGE10" s="1547">
        <f t="shared" ref="RGE10" si="6160">RGC10</f>
        <v>95000</v>
      </c>
      <c r="RGF10" s="1548"/>
      <c r="RGG10" s="1547">
        <f t="shared" ref="RGG10" si="6161">RGE10</f>
        <v>95000</v>
      </c>
      <c r="RGH10" s="1548"/>
      <c r="RGI10" s="1547">
        <f t="shared" ref="RGI10" si="6162">RGG10</f>
        <v>95000</v>
      </c>
      <c r="RGJ10" s="1548"/>
      <c r="RGK10" s="1547">
        <f t="shared" ref="RGK10" si="6163">RGI10</f>
        <v>95000</v>
      </c>
      <c r="RGL10" s="1548"/>
      <c r="RGM10" s="1547">
        <f t="shared" ref="RGM10" si="6164">RGK10</f>
        <v>95000</v>
      </c>
      <c r="RGN10" s="1548"/>
      <c r="RGO10" s="1547">
        <f t="shared" ref="RGO10" si="6165">RGM10</f>
        <v>95000</v>
      </c>
      <c r="RGP10" s="1548"/>
      <c r="RGQ10" s="1547">
        <f t="shared" ref="RGQ10" si="6166">RGO10</f>
        <v>95000</v>
      </c>
      <c r="RGR10" s="1548"/>
      <c r="RGS10" s="1547">
        <f t="shared" ref="RGS10" si="6167">RGQ10</f>
        <v>95000</v>
      </c>
      <c r="RGT10" s="1548"/>
      <c r="RGU10" s="1547">
        <f t="shared" ref="RGU10" si="6168">RGS10</f>
        <v>95000</v>
      </c>
      <c r="RGV10" s="1548"/>
      <c r="RGW10" s="1547">
        <f t="shared" ref="RGW10" si="6169">RGU10</f>
        <v>95000</v>
      </c>
      <c r="RGX10" s="1548"/>
      <c r="RGY10" s="1547">
        <f t="shared" ref="RGY10" si="6170">RGW10</f>
        <v>95000</v>
      </c>
      <c r="RGZ10" s="1548"/>
      <c r="RHA10" s="1547">
        <f t="shared" ref="RHA10" si="6171">RGY10</f>
        <v>95000</v>
      </c>
      <c r="RHB10" s="1548"/>
      <c r="RHC10" s="1547">
        <f t="shared" ref="RHC10" si="6172">RHA10</f>
        <v>95000</v>
      </c>
      <c r="RHD10" s="1548"/>
      <c r="RHE10" s="1547">
        <f t="shared" ref="RHE10" si="6173">RHC10</f>
        <v>95000</v>
      </c>
      <c r="RHF10" s="1548"/>
      <c r="RHG10" s="1547">
        <f t="shared" ref="RHG10" si="6174">RHE10</f>
        <v>95000</v>
      </c>
      <c r="RHH10" s="1548"/>
      <c r="RHI10" s="1547">
        <f t="shared" ref="RHI10" si="6175">RHG10</f>
        <v>95000</v>
      </c>
      <c r="RHJ10" s="1548"/>
      <c r="RHK10" s="1547">
        <f t="shared" ref="RHK10" si="6176">RHI10</f>
        <v>95000</v>
      </c>
      <c r="RHL10" s="1548"/>
      <c r="RHM10" s="1547">
        <f t="shared" ref="RHM10" si="6177">RHK10</f>
        <v>95000</v>
      </c>
      <c r="RHN10" s="1548"/>
      <c r="RHO10" s="1547">
        <f t="shared" ref="RHO10" si="6178">RHM10</f>
        <v>95000</v>
      </c>
      <c r="RHP10" s="1548"/>
      <c r="RHQ10" s="1547">
        <f t="shared" ref="RHQ10" si="6179">RHO10</f>
        <v>95000</v>
      </c>
      <c r="RHR10" s="1548"/>
      <c r="RHS10" s="1547">
        <f t="shared" ref="RHS10" si="6180">RHQ10</f>
        <v>95000</v>
      </c>
      <c r="RHT10" s="1548"/>
      <c r="RHU10" s="1547">
        <f t="shared" ref="RHU10" si="6181">RHS10</f>
        <v>95000</v>
      </c>
      <c r="RHV10" s="1548"/>
      <c r="RHW10" s="1547">
        <f t="shared" ref="RHW10" si="6182">RHU10</f>
        <v>95000</v>
      </c>
      <c r="RHX10" s="1548"/>
      <c r="RHY10" s="1547">
        <f t="shared" ref="RHY10" si="6183">RHW10</f>
        <v>95000</v>
      </c>
      <c r="RHZ10" s="1548"/>
      <c r="RIA10" s="1547">
        <f t="shared" ref="RIA10" si="6184">RHY10</f>
        <v>95000</v>
      </c>
      <c r="RIB10" s="1548"/>
      <c r="RIC10" s="1547">
        <f t="shared" ref="RIC10" si="6185">RIA10</f>
        <v>95000</v>
      </c>
      <c r="RID10" s="1548"/>
      <c r="RIE10" s="1547">
        <f t="shared" ref="RIE10" si="6186">RIC10</f>
        <v>95000</v>
      </c>
      <c r="RIF10" s="1548"/>
      <c r="RIG10" s="1547">
        <f t="shared" ref="RIG10" si="6187">RIE10</f>
        <v>95000</v>
      </c>
      <c r="RIH10" s="1548"/>
      <c r="RII10" s="1547">
        <f t="shared" ref="RII10" si="6188">RIG10</f>
        <v>95000</v>
      </c>
      <c r="RIJ10" s="1548"/>
      <c r="RIK10" s="1547">
        <f t="shared" ref="RIK10" si="6189">RII10</f>
        <v>95000</v>
      </c>
      <c r="RIL10" s="1548"/>
      <c r="RIM10" s="1547">
        <f t="shared" ref="RIM10" si="6190">RIK10</f>
        <v>95000</v>
      </c>
      <c r="RIN10" s="1548"/>
      <c r="RIO10" s="1547">
        <f t="shared" ref="RIO10" si="6191">RIM10</f>
        <v>95000</v>
      </c>
      <c r="RIP10" s="1548"/>
      <c r="RIQ10" s="1547">
        <f t="shared" ref="RIQ10" si="6192">RIO10</f>
        <v>95000</v>
      </c>
      <c r="RIR10" s="1548"/>
      <c r="RIS10" s="1547">
        <f t="shared" ref="RIS10" si="6193">RIQ10</f>
        <v>95000</v>
      </c>
      <c r="RIT10" s="1548"/>
      <c r="RIU10" s="1547">
        <f t="shared" ref="RIU10" si="6194">RIS10</f>
        <v>95000</v>
      </c>
      <c r="RIV10" s="1548"/>
      <c r="RIW10" s="1547">
        <f t="shared" ref="RIW10" si="6195">RIU10</f>
        <v>95000</v>
      </c>
      <c r="RIX10" s="1548"/>
      <c r="RIY10" s="1547">
        <f t="shared" ref="RIY10" si="6196">RIW10</f>
        <v>95000</v>
      </c>
      <c r="RIZ10" s="1548"/>
      <c r="RJA10" s="1547">
        <f t="shared" ref="RJA10" si="6197">RIY10</f>
        <v>95000</v>
      </c>
      <c r="RJB10" s="1548"/>
      <c r="RJC10" s="1547">
        <f t="shared" ref="RJC10" si="6198">RJA10</f>
        <v>95000</v>
      </c>
      <c r="RJD10" s="1548"/>
      <c r="RJE10" s="1547">
        <f t="shared" ref="RJE10" si="6199">RJC10</f>
        <v>95000</v>
      </c>
      <c r="RJF10" s="1548"/>
      <c r="RJG10" s="1547">
        <f t="shared" ref="RJG10" si="6200">RJE10</f>
        <v>95000</v>
      </c>
      <c r="RJH10" s="1548"/>
      <c r="RJI10" s="1547">
        <f t="shared" ref="RJI10" si="6201">RJG10</f>
        <v>95000</v>
      </c>
      <c r="RJJ10" s="1548"/>
      <c r="RJK10" s="1547">
        <f t="shared" ref="RJK10" si="6202">RJI10</f>
        <v>95000</v>
      </c>
      <c r="RJL10" s="1548"/>
      <c r="RJM10" s="1547">
        <f t="shared" ref="RJM10" si="6203">RJK10</f>
        <v>95000</v>
      </c>
      <c r="RJN10" s="1548"/>
      <c r="RJO10" s="1547">
        <f t="shared" ref="RJO10" si="6204">RJM10</f>
        <v>95000</v>
      </c>
      <c r="RJP10" s="1548"/>
      <c r="RJQ10" s="1547">
        <f t="shared" ref="RJQ10" si="6205">RJO10</f>
        <v>95000</v>
      </c>
      <c r="RJR10" s="1548"/>
      <c r="RJS10" s="1547">
        <f t="shared" ref="RJS10" si="6206">RJQ10</f>
        <v>95000</v>
      </c>
      <c r="RJT10" s="1548"/>
      <c r="RJU10" s="1547">
        <f t="shared" ref="RJU10" si="6207">RJS10</f>
        <v>95000</v>
      </c>
      <c r="RJV10" s="1548"/>
      <c r="RJW10" s="1547">
        <f t="shared" ref="RJW10" si="6208">RJU10</f>
        <v>95000</v>
      </c>
      <c r="RJX10" s="1548"/>
      <c r="RJY10" s="1547">
        <f t="shared" ref="RJY10" si="6209">RJW10</f>
        <v>95000</v>
      </c>
      <c r="RJZ10" s="1548"/>
      <c r="RKA10" s="1547">
        <f t="shared" ref="RKA10" si="6210">RJY10</f>
        <v>95000</v>
      </c>
      <c r="RKB10" s="1548"/>
      <c r="RKC10" s="1547">
        <f t="shared" ref="RKC10" si="6211">RKA10</f>
        <v>95000</v>
      </c>
      <c r="RKD10" s="1548"/>
      <c r="RKE10" s="1547">
        <f t="shared" ref="RKE10" si="6212">RKC10</f>
        <v>95000</v>
      </c>
      <c r="RKF10" s="1548"/>
      <c r="RKG10" s="1547">
        <f t="shared" ref="RKG10" si="6213">RKE10</f>
        <v>95000</v>
      </c>
      <c r="RKH10" s="1548"/>
      <c r="RKI10" s="1547">
        <f t="shared" ref="RKI10" si="6214">RKG10</f>
        <v>95000</v>
      </c>
      <c r="RKJ10" s="1548"/>
      <c r="RKK10" s="1547">
        <f t="shared" ref="RKK10" si="6215">RKI10</f>
        <v>95000</v>
      </c>
      <c r="RKL10" s="1548"/>
      <c r="RKM10" s="1547">
        <f t="shared" ref="RKM10" si="6216">RKK10</f>
        <v>95000</v>
      </c>
      <c r="RKN10" s="1548"/>
      <c r="RKO10" s="1547">
        <f t="shared" ref="RKO10" si="6217">RKM10</f>
        <v>95000</v>
      </c>
      <c r="RKP10" s="1548"/>
      <c r="RKQ10" s="1547">
        <f t="shared" ref="RKQ10" si="6218">RKO10</f>
        <v>95000</v>
      </c>
      <c r="RKR10" s="1548"/>
      <c r="RKS10" s="1547">
        <f t="shared" ref="RKS10" si="6219">RKQ10</f>
        <v>95000</v>
      </c>
      <c r="RKT10" s="1548"/>
      <c r="RKU10" s="1547">
        <f t="shared" ref="RKU10" si="6220">RKS10</f>
        <v>95000</v>
      </c>
      <c r="RKV10" s="1548"/>
      <c r="RKW10" s="1547">
        <f t="shared" ref="RKW10" si="6221">RKU10</f>
        <v>95000</v>
      </c>
      <c r="RKX10" s="1548"/>
      <c r="RKY10" s="1547">
        <f t="shared" ref="RKY10" si="6222">RKW10</f>
        <v>95000</v>
      </c>
      <c r="RKZ10" s="1548"/>
      <c r="RLA10" s="1547">
        <f t="shared" ref="RLA10" si="6223">RKY10</f>
        <v>95000</v>
      </c>
      <c r="RLB10" s="1548"/>
      <c r="RLC10" s="1547">
        <f t="shared" ref="RLC10" si="6224">RLA10</f>
        <v>95000</v>
      </c>
      <c r="RLD10" s="1548"/>
      <c r="RLE10" s="1547">
        <f t="shared" ref="RLE10" si="6225">RLC10</f>
        <v>95000</v>
      </c>
      <c r="RLF10" s="1548"/>
      <c r="RLG10" s="1547">
        <f t="shared" ref="RLG10" si="6226">RLE10</f>
        <v>95000</v>
      </c>
      <c r="RLH10" s="1548"/>
      <c r="RLI10" s="1547">
        <f t="shared" ref="RLI10" si="6227">RLG10</f>
        <v>95000</v>
      </c>
      <c r="RLJ10" s="1548"/>
      <c r="RLK10" s="1547">
        <f t="shared" ref="RLK10" si="6228">RLI10</f>
        <v>95000</v>
      </c>
      <c r="RLL10" s="1548"/>
      <c r="RLM10" s="1547">
        <f t="shared" ref="RLM10" si="6229">RLK10</f>
        <v>95000</v>
      </c>
      <c r="RLN10" s="1548"/>
      <c r="RLO10" s="1547">
        <f t="shared" ref="RLO10" si="6230">RLM10</f>
        <v>95000</v>
      </c>
      <c r="RLP10" s="1548"/>
      <c r="RLQ10" s="1547">
        <f t="shared" ref="RLQ10" si="6231">RLO10</f>
        <v>95000</v>
      </c>
      <c r="RLR10" s="1548"/>
      <c r="RLS10" s="1547">
        <f t="shared" ref="RLS10" si="6232">RLQ10</f>
        <v>95000</v>
      </c>
      <c r="RLT10" s="1548"/>
      <c r="RLU10" s="1547">
        <f t="shared" ref="RLU10" si="6233">RLS10</f>
        <v>95000</v>
      </c>
      <c r="RLV10" s="1548"/>
      <c r="RLW10" s="1547">
        <f t="shared" ref="RLW10" si="6234">RLU10</f>
        <v>95000</v>
      </c>
      <c r="RLX10" s="1548"/>
      <c r="RLY10" s="1547">
        <f t="shared" ref="RLY10" si="6235">RLW10</f>
        <v>95000</v>
      </c>
      <c r="RLZ10" s="1548"/>
      <c r="RMA10" s="1547">
        <f t="shared" ref="RMA10" si="6236">RLY10</f>
        <v>95000</v>
      </c>
      <c r="RMB10" s="1548"/>
      <c r="RMC10" s="1547">
        <f t="shared" ref="RMC10" si="6237">RMA10</f>
        <v>95000</v>
      </c>
      <c r="RMD10" s="1548"/>
      <c r="RME10" s="1547">
        <f t="shared" ref="RME10" si="6238">RMC10</f>
        <v>95000</v>
      </c>
      <c r="RMF10" s="1548"/>
      <c r="RMG10" s="1547">
        <f t="shared" ref="RMG10" si="6239">RME10</f>
        <v>95000</v>
      </c>
      <c r="RMH10" s="1548"/>
      <c r="RMI10" s="1547">
        <f t="shared" ref="RMI10" si="6240">RMG10</f>
        <v>95000</v>
      </c>
      <c r="RMJ10" s="1548"/>
      <c r="RMK10" s="1547">
        <f t="shared" ref="RMK10" si="6241">RMI10</f>
        <v>95000</v>
      </c>
      <c r="RML10" s="1548"/>
      <c r="RMM10" s="1547">
        <f t="shared" ref="RMM10" si="6242">RMK10</f>
        <v>95000</v>
      </c>
      <c r="RMN10" s="1548"/>
      <c r="RMO10" s="1547">
        <f t="shared" ref="RMO10" si="6243">RMM10</f>
        <v>95000</v>
      </c>
      <c r="RMP10" s="1548"/>
      <c r="RMQ10" s="1547">
        <f t="shared" ref="RMQ10" si="6244">RMO10</f>
        <v>95000</v>
      </c>
      <c r="RMR10" s="1548"/>
      <c r="RMS10" s="1547">
        <f t="shared" ref="RMS10" si="6245">RMQ10</f>
        <v>95000</v>
      </c>
      <c r="RMT10" s="1548"/>
      <c r="RMU10" s="1547">
        <f t="shared" ref="RMU10" si="6246">RMS10</f>
        <v>95000</v>
      </c>
      <c r="RMV10" s="1548"/>
      <c r="RMW10" s="1547">
        <f t="shared" ref="RMW10" si="6247">RMU10</f>
        <v>95000</v>
      </c>
      <c r="RMX10" s="1548"/>
      <c r="RMY10" s="1547">
        <f t="shared" ref="RMY10" si="6248">RMW10</f>
        <v>95000</v>
      </c>
      <c r="RMZ10" s="1548"/>
      <c r="RNA10" s="1547">
        <f t="shared" ref="RNA10" si="6249">RMY10</f>
        <v>95000</v>
      </c>
      <c r="RNB10" s="1548"/>
      <c r="RNC10" s="1547">
        <f t="shared" ref="RNC10" si="6250">RNA10</f>
        <v>95000</v>
      </c>
      <c r="RND10" s="1548"/>
      <c r="RNE10" s="1547">
        <f t="shared" ref="RNE10" si="6251">RNC10</f>
        <v>95000</v>
      </c>
      <c r="RNF10" s="1548"/>
      <c r="RNG10" s="1547">
        <f t="shared" ref="RNG10" si="6252">RNE10</f>
        <v>95000</v>
      </c>
      <c r="RNH10" s="1548"/>
      <c r="RNI10" s="1547">
        <f t="shared" ref="RNI10" si="6253">RNG10</f>
        <v>95000</v>
      </c>
      <c r="RNJ10" s="1548"/>
      <c r="RNK10" s="1547">
        <f t="shared" ref="RNK10" si="6254">RNI10</f>
        <v>95000</v>
      </c>
      <c r="RNL10" s="1548"/>
      <c r="RNM10" s="1547">
        <f t="shared" ref="RNM10" si="6255">RNK10</f>
        <v>95000</v>
      </c>
      <c r="RNN10" s="1548"/>
      <c r="RNO10" s="1547">
        <f t="shared" ref="RNO10" si="6256">RNM10</f>
        <v>95000</v>
      </c>
      <c r="RNP10" s="1548"/>
      <c r="RNQ10" s="1547">
        <f t="shared" ref="RNQ10" si="6257">RNO10</f>
        <v>95000</v>
      </c>
      <c r="RNR10" s="1548"/>
      <c r="RNS10" s="1547">
        <f t="shared" ref="RNS10" si="6258">RNQ10</f>
        <v>95000</v>
      </c>
      <c r="RNT10" s="1548"/>
      <c r="RNU10" s="1547">
        <f t="shared" ref="RNU10" si="6259">RNS10</f>
        <v>95000</v>
      </c>
      <c r="RNV10" s="1548"/>
      <c r="RNW10" s="1547">
        <f t="shared" ref="RNW10" si="6260">RNU10</f>
        <v>95000</v>
      </c>
      <c r="RNX10" s="1548"/>
      <c r="RNY10" s="1547">
        <f t="shared" ref="RNY10" si="6261">RNW10</f>
        <v>95000</v>
      </c>
      <c r="RNZ10" s="1548"/>
      <c r="ROA10" s="1547">
        <f t="shared" ref="ROA10" si="6262">RNY10</f>
        <v>95000</v>
      </c>
      <c r="ROB10" s="1548"/>
      <c r="ROC10" s="1547">
        <f t="shared" ref="ROC10" si="6263">ROA10</f>
        <v>95000</v>
      </c>
      <c r="ROD10" s="1548"/>
      <c r="ROE10" s="1547">
        <f t="shared" ref="ROE10" si="6264">ROC10</f>
        <v>95000</v>
      </c>
      <c r="ROF10" s="1548"/>
      <c r="ROG10" s="1547">
        <f t="shared" ref="ROG10" si="6265">ROE10</f>
        <v>95000</v>
      </c>
      <c r="ROH10" s="1548"/>
      <c r="ROI10" s="1547">
        <f t="shared" ref="ROI10" si="6266">ROG10</f>
        <v>95000</v>
      </c>
      <c r="ROJ10" s="1548"/>
      <c r="ROK10" s="1547">
        <f t="shared" ref="ROK10" si="6267">ROI10</f>
        <v>95000</v>
      </c>
      <c r="ROL10" s="1548"/>
      <c r="ROM10" s="1547">
        <f t="shared" ref="ROM10" si="6268">ROK10</f>
        <v>95000</v>
      </c>
      <c r="RON10" s="1548"/>
      <c r="ROO10" s="1547">
        <f t="shared" ref="ROO10" si="6269">ROM10</f>
        <v>95000</v>
      </c>
      <c r="ROP10" s="1548"/>
      <c r="ROQ10" s="1547">
        <f t="shared" ref="ROQ10" si="6270">ROO10</f>
        <v>95000</v>
      </c>
      <c r="ROR10" s="1548"/>
      <c r="ROS10" s="1547">
        <f t="shared" ref="ROS10" si="6271">ROQ10</f>
        <v>95000</v>
      </c>
      <c r="ROT10" s="1548"/>
      <c r="ROU10" s="1547">
        <f t="shared" ref="ROU10" si="6272">ROS10</f>
        <v>95000</v>
      </c>
      <c r="ROV10" s="1548"/>
      <c r="ROW10" s="1547">
        <f t="shared" ref="ROW10" si="6273">ROU10</f>
        <v>95000</v>
      </c>
      <c r="ROX10" s="1548"/>
      <c r="ROY10" s="1547">
        <f t="shared" ref="ROY10" si="6274">ROW10</f>
        <v>95000</v>
      </c>
      <c r="ROZ10" s="1548"/>
      <c r="RPA10" s="1547">
        <f t="shared" ref="RPA10" si="6275">ROY10</f>
        <v>95000</v>
      </c>
      <c r="RPB10" s="1548"/>
      <c r="RPC10" s="1547">
        <f t="shared" ref="RPC10" si="6276">RPA10</f>
        <v>95000</v>
      </c>
      <c r="RPD10" s="1548"/>
      <c r="RPE10" s="1547">
        <f t="shared" ref="RPE10" si="6277">RPC10</f>
        <v>95000</v>
      </c>
      <c r="RPF10" s="1548"/>
      <c r="RPG10" s="1547">
        <f t="shared" ref="RPG10" si="6278">RPE10</f>
        <v>95000</v>
      </c>
      <c r="RPH10" s="1548"/>
      <c r="RPI10" s="1547">
        <f t="shared" ref="RPI10" si="6279">RPG10</f>
        <v>95000</v>
      </c>
      <c r="RPJ10" s="1548"/>
      <c r="RPK10" s="1547">
        <f t="shared" ref="RPK10" si="6280">RPI10</f>
        <v>95000</v>
      </c>
      <c r="RPL10" s="1548"/>
      <c r="RPM10" s="1547">
        <f t="shared" ref="RPM10" si="6281">RPK10</f>
        <v>95000</v>
      </c>
      <c r="RPN10" s="1548"/>
      <c r="RPO10" s="1547">
        <f t="shared" ref="RPO10" si="6282">RPM10</f>
        <v>95000</v>
      </c>
      <c r="RPP10" s="1548"/>
      <c r="RPQ10" s="1547">
        <f t="shared" ref="RPQ10" si="6283">RPO10</f>
        <v>95000</v>
      </c>
      <c r="RPR10" s="1548"/>
      <c r="RPS10" s="1547">
        <f t="shared" ref="RPS10" si="6284">RPQ10</f>
        <v>95000</v>
      </c>
      <c r="RPT10" s="1548"/>
      <c r="RPU10" s="1547">
        <f t="shared" ref="RPU10" si="6285">RPS10</f>
        <v>95000</v>
      </c>
      <c r="RPV10" s="1548"/>
      <c r="RPW10" s="1547">
        <f t="shared" ref="RPW10" si="6286">RPU10</f>
        <v>95000</v>
      </c>
      <c r="RPX10" s="1548"/>
      <c r="RPY10" s="1547">
        <f t="shared" ref="RPY10" si="6287">RPW10</f>
        <v>95000</v>
      </c>
      <c r="RPZ10" s="1548"/>
      <c r="RQA10" s="1547">
        <f t="shared" ref="RQA10" si="6288">RPY10</f>
        <v>95000</v>
      </c>
      <c r="RQB10" s="1548"/>
      <c r="RQC10" s="1547">
        <f t="shared" ref="RQC10" si="6289">RQA10</f>
        <v>95000</v>
      </c>
      <c r="RQD10" s="1548"/>
      <c r="RQE10" s="1547">
        <f t="shared" ref="RQE10" si="6290">RQC10</f>
        <v>95000</v>
      </c>
      <c r="RQF10" s="1548"/>
      <c r="RQG10" s="1547">
        <f t="shared" ref="RQG10" si="6291">RQE10</f>
        <v>95000</v>
      </c>
      <c r="RQH10" s="1548"/>
      <c r="RQI10" s="1547">
        <f t="shared" ref="RQI10" si="6292">RQG10</f>
        <v>95000</v>
      </c>
      <c r="RQJ10" s="1548"/>
      <c r="RQK10" s="1547">
        <f t="shared" ref="RQK10" si="6293">RQI10</f>
        <v>95000</v>
      </c>
      <c r="RQL10" s="1548"/>
      <c r="RQM10" s="1547">
        <f t="shared" ref="RQM10" si="6294">RQK10</f>
        <v>95000</v>
      </c>
      <c r="RQN10" s="1548"/>
      <c r="RQO10" s="1547">
        <f t="shared" ref="RQO10" si="6295">RQM10</f>
        <v>95000</v>
      </c>
      <c r="RQP10" s="1548"/>
      <c r="RQQ10" s="1547">
        <f t="shared" ref="RQQ10" si="6296">RQO10</f>
        <v>95000</v>
      </c>
      <c r="RQR10" s="1548"/>
      <c r="RQS10" s="1547">
        <f t="shared" ref="RQS10" si="6297">RQQ10</f>
        <v>95000</v>
      </c>
      <c r="RQT10" s="1548"/>
      <c r="RQU10" s="1547">
        <f t="shared" ref="RQU10" si="6298">RQS10</f>
        <v>95000</v>
      </c>
      <c r="RQV10" s="1548"/>
      <c r="RQW10" s="1547">
        <f t="shared" ref="RQW10" si="6299">RQU10</f>
        <v>95000</v>
      </c>
      <c r="RQX10" s="1548"/>
      <c r="RQY10" s="1547">
        <f t="shared" ref="RQY10" si="6300">RQW10</f>
        <v>95000</v>
      </c>
      <c r="RQZ10" s="1548"/>
      <c r="RRA10" s="1547">
        <f t="shared" ref="RRA10" si="6301">RQY10</f>
        <v>95000</v>
      </c>
      <c r="RRB10" s="1548"/>
      <c r="RRC10" s="1547">
        <f t="shared" ref="RRC10" si="6302">RRA10</f>
        <v>95000</v>
      </c>
      <c r="RRD10" s="1548"/>
      <c r="RRE10" s="1547">
        <f t="shared" ref="RRE10" si="6303">RRC10</f>
        <v>95000</v>
      </c>
      <c r="RRF10" s="1548"/>
      <c r="RRG10" s="1547">
        <f t="shared" ref="RRG10" si="6304">RRE10</f>
        <v>95000</v>
      </c>
      <c r="RRH10" s="1548"/>
      <c r="RRI10" s="1547">
        <f t="shared" ref="RRI10" si="6305">RRG10</f>
        <v>95000</v>
      </c>
      <c r="RRJ10" s="1548"/>
      <c r="RRK10" s="1547">
        <f t="shared" ref="RRK10" si="6306">RRI10</f>
        <v>95000</v>
      </c>
      <c r="RRL10" s="1548"/>
      <c r="RRM10" s="1547">
        <f t="shared" ref="RRM10" si="6307">RRK10</f>
        <v>95000</v>
      </c>
      <c r="RRN10" s="1548"/>
      <c r="RRO10" s="1547">
        <f t="shared" ref="RRO10" si="6308">RRM10</f>
        <v>95000</v>
      </c>
      <c r="RRP10" s="1548"/>
      <c r="RRQ10" s="1547">
        <f t="shared" ref="RRQ10" si="6309">RRO10</f>
        <v>95000</v>
      </c>
      <c r="RRR10" s="1548"/>
      <c r="RRS10" s="1547">
        <f t="shared" ref="RRS10" si="6310">RRQ10</f>
        <v>95000</v>
      </c>
      <c r="RRT10" s="1548"/>
      <c r="RRU10" s="1547">
        <f t="shared" ref="RRU10" si="6311">RRS10</f>
        <v>95000</v>
      </c>
      <c r="RRV10" s="1548"/>
      <c r="RRW10" s="1547">
        <f t="shared" ref="RRW10" si="6312">RRU10</f>
        <v>95000</v>
      </c>
      <c r="RRX10" s="1548"/>
      <c r="RRY10" s="1547">
        <f t="shared" ref="RRY10" si="6313">RRW10</f>
        <v>95000</v>
      </c>
      <c r="RRZ10" s="1548"/>
      <c r="RSA10" s="1547">
        <f t="shared" ref="RSA10" si="6314">RRY10</f>
        <v>95000</v>
      </c>
      <c r="RSB10" s="1548"/>
      <c r="RSC10" s="1547">
        <f t="shared" ref="RSC10" si="6315">RSA10</f>
        <v>95000</v>
      </c>
      <c r="RSD10" s="1548"/>
      <c r="RSE10" s="1547">
        <f t="shared" ref="RSE10" si="6316">RSC10</f>
        <v>95000</v>
      </c>
      <c r="RSF10" s="1548"/>
      <c r="RSG10" s="1547">
        <f t="shared" ref="RSG10" si="6317">RSE10</f>
        <v>95000</v>
      </c>
      <c r="RSH10" s="1548"/>
      <c r="RSI10" s="1547">
        <f t="shared" ref="RSI10" si="6318">RSG10</f>
        <v>95000</v>
      </c>
      <c r="RSJ10" s="1548"/>
      <c r="RSK10" s="1547">
        <f t="shared" ref="RSK10" si="6319">RSI10</f>
        <v>95000</v>
      </c>
      <c r="RSL10" s="1548"/>
      <c r="RSM10" s="1547">
        <f t="shared" ref="RSM10" si="6320">RSK10</f>
        <v>95000</v>
      </c>
      <c r="RSN10" s="1548"/>
      <c r="RSO10" s="1547">
        <f t="shared" ref="RSO10" si="6321">RSM10</f>
        <v>95000</v>
      </c>
      <c r="RSP10" s="1548"/>
      <c r="RSQ10" s="1547">
        <f t="shared" ref="RSQ10" si="6322">RSO10</f>
        <v>95000</v>
      </c>
      <c r="RSR10" s="1548"/>
      <c r="RSS10" s="1547">
        <f t="shared" ref="RSS10" si="6323">RSQ10</f>
        <v>95000</v>
      </c>
      <c r="RST10" s="1548"/>
      <c r="RSU10" s="1547">
        <f t="shared" ref="RSU10" si="6324">RSS10</f>
        <v>95000</v>
      </c>
      <c r="RSV10" s="1548"/>
      <c r="RSW10" s="1547">
        <f t="shared" ref="RSW10" si="6325">RSU10</f>
        <v>95000</v>
      </c>
      <c r="RSX10" s="1548"/>
      <c r="RSY10" s="1547">
        <f t="shared" ref="RSY10" si="6326">RSW10</f>
        <v>95000</v>
      </c>
      <c r="RSZ10" s="1548"/>
      <c r="RTA10" s="1547">
        <f t="shared" ref="RTA10" si="6327">RSY10</f>
        <v>95000</v>
      </c>
      <c r="RTB10" s="1548"/>
      <c r="RTC10" s="1547">
        <f t="shared" ref="RTC10" si="6328">RTA10</f>
        <v>95000</v>
      </c>
      <c r="RTD10" s="1548"/>
      <c r="RTE10" s="1547">
        <f t="shared" ref="RTE10" si="6329">RTC10</f>
        <v>95000</v>
      </c>
      <c r="RTF10" s="1548"/>
      <c r="RTG10" s="1547">
        <f t="shared" ref="RTG10" si="6330">RTE10</f>
        <v>95000</v>
      </c>
      <c r="RTH10" s="1548"/>
      <c r="RTI10" s="1547">
        <f t="shared" ref="RTI10" si="6331">RTG10</f>
        <v>95000</v>
      </c>
      <c r="RTJ10" s="1548"/>
      <c r="RTK10" s="1547">
        <f t="shared" ref="RTK10" si="6332">RTI10</f>
        <v>95000</v>
      </c>
      <c r="RTL10" s="1548"/>
      <c r="RTM10" s="1547">
        <f t="shared" ref="RTM10" si="6333">RTK10</f>
        <v>95000</v>
      </c>
      <c r="RTN10" s="1548"/>
      <c r="RTO10" s="1547">
        <f t="shared" ref="RTO10" si="6334">RTM10</f>
        <v>95000</v>
      </c>
      <c r="RTP10" s="1548"/>
      <c r="RTQ10" s="1547">
        <f t="shared" ref="RTQ10" si="6335">RTO10</f>
        <v>95000</v>
      </c>
      <c r="RTR10" s="1548"/>
      <c r="RTS10" s="1547">
        <f t="shared" ref="RTS10" si="6336">RTQ10</f>
        <v>95000</v>
      </c>
      <c r="RTT10" s="1548"/>
      <c r="RTU10" s="1547">
        <f t="shared" ref="RTU10" si="6337">RTS10</f>
        <v>95000</v>
      </c>
      <c r="RTV10" s="1548"/>
      <c r="RTW10" s="1547">
        <f t="shared" ref="RTW10" si="6338">RTU10</f>
        <v>95000</v>
      </c>
      <c r="RTX10" s="1548"/>
      <c r="RTY10" s="1547">
        <f t="shared" ref="RTY10" si="6339">RTW10</f>
        <v>95000</v>
      </c>
      <c r="RTZ10" s="1548"/>
      <c r="RUA10" s="1547">
        <f t="shared" ref="RUA10" si="6340">RTY10</f>
        <v>95000</v>
      </c>
      <c r="RUB10" s="1548"/>
      <c r="RUC10" s="1547">
        <f t="shared" ref="RUC10" si="6341">RUA10</f>
        <v>95000</v>
      </c>
      <c r="RUD10" s="1548"/>
      <c r="RUE10" s="1547">
        <f t="shared" ref="RUE10" si="6342">RUC10</f>
        <v>95000</v>
      </c>
      <c r="RUF10" s="1548"/>
      <c r="RUG10" s="1547">
        <f t="shared" ref="RUG10" si="6343">RUE10</f>
        <v>95000</v>
      </c>
      <c r="RUH10" s="1548"/>
      <c r="RUI10" s="1547">
        <f t="shared" ref="RUI10" si="6344">RUG10</f>
        <v>95000</v>
      </c>
      <c r="RUJ10" s="1548"/>
      <c r="RUK10" s="1547">
        <f t="shared" ref="RUK10" si="6345">RUI10</f>
        <v>95000</v>
      </c>
      <c r="RUL10" s="1548"/>
      <c r="RUM10" s="1547">
        <f t="shared" ref="RUM10" si="6346">RUK10</f>
        <v>95000</v>
      </c>
      <c r="RUN10" s="1548"/>
      <c r="RUO10" s="1547">
        <f t="shared" ref="RUO10" si="6347">RUM10</f>
        <v>95000</v>
      </c>
      <c r="RUP10" s="1548"/>
      <c r="RUQ10" s="1547">
        <f t="shared" ref="RUQ10" si="6348">RUO10</f>
        <v>95000</v>
      </c>
      <c r="RUR10" s="1548"/>
      <c r="RUS10" s="1547">
        <f t="shared" ref="RUS10" si="6349">RUQ10</f>
        <v>95000</v>
      </c>
      <c r="RUT10" s="1548"/>
      <c r="RUU10" s="1547">
        <f t="shared" ref="RUU10" si="6350">RUS10</f>
        <v>95000</v>
      </c>
      <c r="RUV10" s="1548"/>
      <c r="RUW10" s="1547">
        <f t="shared" ref="RUW10" si="6351">RUU10</f>
        <v>95000</v>
      </c>
      <c r="RUX10" s="1548"/>
      <c r="RUY10" s="1547">
        <f t="shared" ref="RUY10" si="6352">RUW10</f>
        <v>95000</v>
      </c>
      <c r="RUZ10" s="1548"/>
      <c r="RVA10" s="1547">
        <f t="shared" ref="RVA10" si="6353">RUY10</f>
        <v>95000</v>
      </c>
      <c r="RVB10" s="1548"/>
      <c r="RVC10" s="1547">
        <f t="shared" ref="RVC10" si="6354">RVA10</f>
        <v>95000</v>
      </c>
      <c r="RVD10" s="1548"/>
      <c r="RVE10" s="1547">
        <f t="shared" ref="RVE10" si="6355">RVC10</f>
        <v>95000</v>
      </c>
      <c r="RVF10" s="1548"/>
      <c r="RVG10" s="1547">
        <f t="shared" ref="RVG10" si="6356">RVE10</f>
        <v>95000</v>
      </c>
      <c r="RVH10" s="1548"/>
      <c r="RVI10" s="1547">
        <f t="shared" ref="RVI10" si="6357">RVG10</f>
        <v>95000</v>
      </c>
      <c r="RVJ10" s="1548"/>
      <c r="RVK10" s="1547">
        <f t="shared" ref="RVK10" si="6358">RVI10</f>
        <v>95000</v>
      </c>
      <c r="RVL10" s="1548"/>
      <c r="RVM10" s="1547">
        <f t="shared" ref="RVM10" si="6359">RVK10</f>
        <v>95000</v>
      </c>
      <c r="RVN10" s="1548"/>
      <c r="RVO10" s="1547">
        <f t="shared" ref="RVO10" si="6360">RVM10</f>
        <v>95000</v>
      </c>
      <c r="RVP10" s="1548"/>
      <c r="RVQ10" s="1547">
        <f t="shared" ref="RVQ10" si="6361">RVO10</f>
        <v>95000</v>
      </c>
      <c r="RVR10" s="1548"/>
      <c r="RVS10" s="1547">
        <f t="shared" ref="RVS10" si="6362">RVQ10</f>
        <v>95000</v>
      </c>
      <c r="RVT10" s="1548"/>
      <c r="RVU10" s="1547">
        <f t="shared" ref="RVU10" si="6363">RVS10</f>
        <v>95000</v>
      </c>
      <c r="RVV10" s="1548"/>
      <c r="RVW10" s="1547">
        <f t="shared" ref="RVW10" si="6364">RVU10</f>
        <v>95000</v>
      </c>
      <c r="RVX10" s="1548"/>
      <c r="RVY10" s="1547">
        <f t="shared" ref="RVY10" si="6365">RVW10</f>
        <v>95000</v>
      </c>
      <c r="RVZ10" s="1548"/>
      <c r="RWA10" s="1547">
        <f t="shared" ref="RWA10" si="6366">RVY10</f>
        <v>95000</v>
      </c>
      <c r="RWB10" s="1548"/>
      <c r="RWC10" s="1547">
        <f t="shared" ref="RWC10" si="6367">RWA10</f>
        <v>95000</v>
      </c>
      <c r="RWD10" s="1548"/>
      <c r="RWE10" s="1547">
        <f t="shared" ref="RWE10" si="6368">RWC10</f>
        <v>95000</v>
      </c>
      <c r="RWF10" s="1548"/>
      <c r="RWG10" s="1547">
        <f t="shared" ref="RWG10" si="6369">RWE10</f>
        <v>95000</v>
      </c>
      <c r="RWH10" s="1548"/>
      <c r="RWI10" s="1547">
        <f t="shared" ref="RWI10" si="6370">RWG10</f>
        <v>95000</v>
      </c>
      <c r="RWJ10" s="1548"/>
      <c r="RWK10" s="1547">
        <f t="shared" ref="RWK10" si="6371">RWI10</f>
        <v>95000</v>
      </c>
      <c r="RWL10" s="1548"/>
      <c r="RWM10" s="1547">
        <f t="shared" ref="RWM10" si="6372">RWK10</f>
        <v>95000</v>
      </c>
      <c r="RWN10" s="1548"/>
      <c r="RWO10" s="1547">
        <f t="shared" ref="RWO10" si="6373">RWM10</f>
        <v>95000</v>
      </c>
      <c r="RWP10" s="1548"/>
      <c r="RWQ10" s="1547">
        <f t="shared" ref="RWQ10" si="6374">RWO10</f>
        <v>95000</v>
      </c>
      <c r="RWR10" s="1548"/>
      <c r="RWS10" s="1547">
        <f t="shared" ref="RWS10" si="6375">RWQ10</f>
        <v>95000</v>
      </c>
      <c r="RWT10" s="1548"/>
      <c r="RWU10" s="1547">
        <f t="shared" ref="RWU10" si="6376">RWS10</f>
        <v>95000</v>
      </c>
      <c r="RWV10" s="1548"/>
      <c r="RWW10" s="1547">
        <f t="shared" ref="RWW10" si="6377">RWU10</f>
        <v>95000</v>
      </c>
      <c r="RWX10" s="1548"/>
      <c r="RWY10" s="1547">
        <f t="shared" ref="RWY10" si="6378">RWW10</f>
        <v>95000</v>
      </c>
      <c r="RWZ10" s="1548"/>
      <c r="RXA10" s="1547">
        <f t="shared" ref="RXA10" si="6379">RWY10</f>
        <v>95000</v>
      </c>
      <c r="RXB10" s="1548"/>
      <c r="RXC10" s="1547">
        <f t="shared" ref="RXC10" si="6380">RXA10</f>
        <v>95000</v>
      </c>
      <c r="RXD10" s="1548"/>
      <c r="RXE10" s="1547">
        <f t="shared" ref="RXE10" si="6381">RXC10</f>
        <v>95000</v>
      </c>
      <c r="RXF10" s="1548"/>
      <c r="RXG10" s="1547">
        <f t="shared" ref="RXG10" si="6382">RXE10</f>
        <v>95000</v>
      </c>
      <c r="RXH10" s="1548"/>
      <c r="RXI10" s="1547">
        <f t="shared" ref="RXI10" si="6383">RXG10</f>
        <v>95000</v>
      </c>
      <c r="RXJ10" s="1548"/>
      <c r="RXK10" s="1547">
        <f t="shared" ref="RXK10" si="6384">RXI10</f>
        <v>95000</v>
      </c>
      <c r="RXL10" s="1548"/>
      <c r="RXM10" s="1547">
        <f t="shared" ref="RXM10" si="6385">RXK10</f>
        <v>95000</v>
      </c>
      <c r="RXN10" s="1548"/>
      <c r="RXO10" s="1547">
        <f t="shared" ref="RXO10" si="6386">RXM10</f>
        <v>95000</v>
      </c>
      <c r="RXP10" s="1548"/>
      <c r="RXQ10" s="1547">
        <f t="shared" ref="RXQ10" si="6387">RXO10</f>
        <v>95000</v>
      </c>
      <c r="RXR10" s="1548"/>
      <c r="RXS10" s="1547">
        <f t="shared" ref="RXS10" si="6388">RXQ10</f>
        <v>95000</v>
      </c>
      <c r="RXT10" s="1548"/>
      <c r="RXU10" s="1547">
        <f t="shared" ref="RXU10" si="6389">RXS10</f>
        <v>95000</v>
      </c>
      <c r="RXV10" s="1548"/>
      <c r="RXW10" s="1547">
        <f t="shared" ref="RXW10" si="6390">RXU10</f>
        <v>95000</v>
      </c>
      <c r="RXX10" s="1548"/>
      <c r="RXY10" s="1547">
        <f t="shared" ref="RXY10" si="6391">RXW10</f>
        <v>95000</v>
      </c>
      <c r="RXZ10" s="1548"/>
      <c r="RYA10" s="1547">
        <f t="shared" ref="RYA10" si="6392">RXY10</f>
        <v>95000</v>
      </c>
      <c r="RYB10" s="1548"/>
      <c r="RYC10" s="1547">
        <f t="shared" ref="RYC10" si="6393">RYA10</f>
        <v>95000</v>
      </c>
      <c r="RYD10" s="1548"/>
      <c r="RYE10" s="1547">
        <f t="shared" ref="RYE10" si="6394">RYC10</f>
        <v>95000</v>
      </c>
      <c r="RYF10" s="1548"/>
      <c r="RYG10" s="1547">
        <f t="shared" ref="RYG10" si="6395">RYE10</f>
        <v>95000</v>
      </c>
      <c r="RYH10" s="1548"/>
      <c r="RYI10" s="1547">
        <f t="shared" ref="RYI10" si="6396">RYG10</f>
        <v>95000</v>
      </c>
      <c r="RYJ10" s="1548"/>
      <c r="RYK10" s="1547">
        <f t="shared" ref="RYK10" si="6397">RYI10</f>
        <v>95000</v>
      </c>
      <c r="RYL10" s="1548"/>
      <c r="RYM10" s="1547">
        <f t="shared" ref="RYM10" si="6398">RYK10</f>
        <v>95000</v>
      </c>
      <c r="RYN10" s="1548"/>
      <c r="RYO10" s="1547">
        <f t="shared" ref="RYO10" si="6399">RYM10</f>
        <v>95000</v>
      </c>
      <c r="RYP10" s="1548"/>
      <c r="RYQ10" s="1547">
        <f t="shared" ref="RYQ10" si="6400">RYO10</f>
        <v>95000</v>
      </c>
      <c r="RYR10" s="1548"/>
      <c r="RYS10" s="1547">
        <f t="shared" ref="RYS10" si="6401">RYQ10</f>
        <v>95000</v>
      </c>
      <c r="RYT10" s="1548"/>
      <c r="RYU10" s="1547">
        <f t="shared" ref="RYU10" si="6402">RYS10</f>
        <v>95000</v>
      </c>
      <c r="RYV10" s="1548"/>
      <c r="RYW10" s="1547">
        <f t="shared" ref="RYW10" si="6403">RYU10</f>
        <v>95000</v>
      </c>
      <c r="RYX10" s="1548"/>
      <c r="RYY10" s="1547">
        <f t="shared" ref="RYY10" si="6404">RYW10</f>
        <v>95000</v>
      </c>
      <c r="RYZ10" s="1548"/>
      <c r="RZA10" s="1547">
        <f t="shared" ref="RZA10" si="6405">RYY10</f>
        <v>95000</v>
      </c>
      <c r="RZB10" s="1548"/>
      <c r="RZC10" s="1547">
        <f t="shared" ref="RZC10" si="6406">RZA10</f>
        <v>95000</v>
      </c>
      <c r="RZD10" s="1548"/>
      <c r="RZE10" s="1547">
        <f t="shared" ref="RZE10" si="6407">RZC10</f>
        <v>95000</v>
      </c>
      <c r="RZF10" s="1548"/>
      <c r="RZG10" s="1547">
        <f t="shared" ref="RZG10" si="6408">RZE10</f>
        <v>95000</v>
      </c>
      <c r="RZH10" s="1548"/>
      <c r="RZI10" s="1547">
        <f t="shared" ref="RZI10" si="6409">RZG10</f>
        <v>95000</v>
      </c>
      <c r="RZJ10" s="1548"/>
      <c r="RZK10" s="1547">
        <f t="shared" ref="RZK10" si="6410">RZI10</f>
        <v>95000</v>
      </c>
      <c r="RZL10" s="1548"/>
      <c r="RZM10" s="1547">
        <f t="shared" ref="RZM10" si="6411">RZK10</f>
        <v>95000</v>
      </c>
      <c r="RZN10" s="1548"/>
      <c r="RZO10" s="1547">
        <f t="shared" ref="RZO10" si="6412">RZM10</f>
        <v>95000</v>
      </c>
      <c r="RZP10" s="1548"/>
      <c r="RZQ10" s="1547">
        <f t="shared" ref="RZQ10" si="6413">RZO10</f>
        <v>95000</v>
      </c>
      <c r="RZR10" s="1548"/>
      <c r="RZS10" s="1547">
        <f t="shared" ref="RZS10" si="6414">RZQ10</f>
        <v>95000</v>
      </c>
      <c r="RZT10" s="1548"/>
      <c r="RZU10" s="1547">
        <f t="shared" ref="RZU10" si="6415">RZS10</f>
        <v>95000</v>
      </c>
      <c r="RZV10" s="1548"/>
      <c r="RZW10" s="1547">
        <f t="shared" ref="RZW10" si="6416">RZU10</f>
        <v>95000</v>
      </c>
      <c r="RZX10" s="1548"/>
      <c r="RZY10" s="1547">
        <f t="shared" ref="RZY10" si="6417">RZW10</f>
        <v>95000</v>
      </c>
      <c r="RZZ10" s="1548"/>
      <c r="SAA10" s="1547">
        <f t="shared" ref="SAA10" si="6418">RZY10</f>
        <v>95000</v>
      </c>
      <c r="SAB10" s="1548"/>
      <c r="SAC10" s="1547">
        <f t="shared" ref="SAC10" si="6419">SAA10</f>
        <v>95000</v>
      </c>
      <c r="SAD10" s="1548"/>
      <c r="SAE10" s="1547">
        <f t="shared" ref="SAE10" si="6420">SAC10</f>
        <v>95000</v>
      </c>
      <c r="SAF10" s="1548"/>
      <c r="SAG10" s="1547">
        <f t="shared" ref="SAG10" si="6421">SAE10</f>
        <v>95000</v>
      </c>
      <c r="SAH10" s="1548"/>
      <c r="SAI10" s="1547">
        <f t="shared" ref="SAI10" si="6422">SAG10</f>
        <v>95000</v>
      </c>
      <c r="SAJ10" s="1548"/>
      <c r="SAK10" s="1547">
        <f t="shared" ref="SAK10" si="6423">SAI10</f>
        <v>95000</v>
      </c>
      <c r="SAL10" s="1548"/>
      <c r="SAM10" s="1547">
        <f t="shared" ref="SAM10" si="6424">SAK10</f>
        <v>95000</v>
      </c>
      <c r="SAN10" s="1548"/>
      <c r="SAO10" s="1547">
        <f t="shared" ref="SAO10" si="6425">SAM10</f>
        <v>95000</v>
      </c>
      <c r="SAP10" s="1548"/>
      <c r="SAQ10" s="1547">
        <f t="shared" ref="SAQ10" si="6426">SAO10</f>
        <v>95000</v>
      </c>
      <c r="SAR10" s="1548"/>
      <c r="SAS10" s="1547">
        <f t="shared" ref="SAS10" si="6427">SAQ10</f>
        <v>95000</v>
      </c>
      <c r="SAT10" s="1548"/>
      <c r="SAU10" s="1547">
        <f t="shared" ref="SAU10" si="6428">SAS10</f>
        <v>95000</v>
      </c>
      <c r="SAV10" s="1548"/>
      <c r="SAW10" s="1547">
        <f t="shared" ref="SAW10" si="6429">SAU10</f>
        <v>95000</v>
      </c>
      <c r="SAX10" s="1548"/>
      <c r="SAY10" s="1547">
        <f t="shared" ref="SAY10" si="6430">SAW10</f>
        <v>95000</v>
      </c>
      <c r="SAZ10" s="1548"/>
      <c r="SBA10" s="1547">
        <f t="shared" ref="SBA10" si="6431">SAY10</f>
        <v>95000</v>
      </c>
      <c r="SBB10" s="1548"/>
      <c r="SBC10" s="1547">
        <f t="shared" ref="SBC10" si="6432">SBA10</f>
        <v>95000</v>
      </c>
      <c r="SBD10" s="1548"/>
      <c r="SBE10" s="1547">
        <f t="shared" ref="SBE10" si="6433">SBC10</f>
        <v>95000</v>
      </c>
      <c r="SBF10" s="1548"/>
      <c r="SBG10" s="1547">
        <f t="shared" ref="SBG10" si="6434">SBE10</f>
        <v>95000</v>
      </c>
      <c r="SBH10" s="1548"/>
      <c r="SBI10" s="1547">
        <f t="shared" ref="SBI10" si="6435">SBG10</f>
        <v>95000</v>
      </c>
      <c r="SBJ10" s="1548"/>
      <c r="SBK10" s="1547">
        <f t="shared" ref="SBK10" si="6436">SBI10</f>
        <v>95000</v>
      </c>
      <c r="SBL10" s="1548"/>
      <c r="SBM10" s="1547">
        <f t="shared" ref="SBM10" si="6437">SBK10</f>
        <v>95000</v>
      </c>
      <c r="SBN10" s="1548"/>
      <c r="SBO10" s="1547">
        <f t="shared" ref="SBO10" si="6438">SBM10</f>
        <v>95000</v>
      </c>
      <c r="SBP10" s="1548"/>
      <c r="SBQ10" s="1547">
        <f t="shared" ref="SBQ10" si="6439">SBO10</f>
        <v>95000</v>
      </c>
      <c r="SBR10" s="1548"/>
      <c r="SBS10" s="1547">
        <f t="shared" ref="SBS10" si="6440">SBQ10</f>
        <v>95000</v>
      </c>
      <c r="SBT10" s="1548"/>
      <c r="SBU10" s="1547">
        <f t="shared" ref="SBU10" si="6441">SBS10</f>
        <v>95000</v>
      </c>
      <c r="SBV10" s="1548"/>
      <c r="SBW10" s="1547">
        <f t="shared" ref="SBW10" si="6442">SBU10</f>
        <v>95000</v>
      </c>
      <c r="SBX10" s="1548"/>
      <c r="SBY10" s="1547">
        <f t="shared" ref="SBY10" si="6443">SBW10</f>
        <v>95000</v>
      </c>
      <c r="SBZ10" s="1548"/>
      <c r="SCA10" s="1547">
        <f t="shared" ref="SCA10" si="6444">SBY10</f>
        <v>95000</v>
      </c>
      <c r="SCB10" s="1548"/>
      <c r="SCC10" s="1547">
        <f t="shared" ref="SCC10" si="6445">SCA10</f>
        <v>95000</v>
      </c>
      <c r="SCD10" s="1548"/>
      <c r="SCE10" s="1547">
        <f t="shared" ref="SCE10" si="6446">SCC10</f>
        <v>95000</v>
      </c>
      <c r="SCF10" s="1548"/>
      <c r="SCG10" s="1547">
        <f t="shared" ref="SCG10" si="6447">SCE10</f>
        <v>95000</v>
      </c>
      <c r="SCH10" s="1548"/>
      <c r="SCI10" s="1547">
        <f t="shared" ref="SCI10" si="6448">SCG10</f>
        <v>95000</v>
      </c>
      <c r="SCJ10" s="1548"/>
      <c r="SCK10" s="1547">
        <f t="shared" ref="SCK10" si="6449">SCI10</f>
        <v>95000</v>
      </c>
      <c r="SCL10" s="1548"/>
      <c r="SCM10" s="1547">
        <f t="shared" ref="SCM10" si="6450">SCK10</f>
        <v>95000</v>
      </c>
      <c r="SCN10" s="1548"/>
      <c r="SCO10" s="1547">
        <f t="shared" ref="SCO10" si="6451">SCM10</f>
        <v>95000</v>
      </c>
      <c r="SCP10" s="1548"/>
      <c r="SCQ10" s="1547">
        <f t="shared" ref="SCQ10" si="6452">SCO10</f>
        <v>95000</v>
      </c>
      <c r="SCR10" s="1548"/>
      <c r="SCS10" s="1547">
        <f t="shared" ref="SCS10" si="6453">SCQ10</f>
        <v>95000</v>
      </c>
      <c r="SCT10" s="1548"/>
      <c r="SCU10" s="1547">
        <f t="shared" ref="SCU10" si="6454">SCS10</f>
        <v>95000</v>
      </c>
      <c r="SCV10" s="1548"/>
      <c r="SCW10" s="1547">
        <f t="shared" ref="SCW10" si="6455">SCU10</f>
        <v>95000</v>
      </c>
      <c r="SCX10" s="1548"/>
      <c r="SCY10" s="1547">
        <f t="shared" ref="SCY10" si="6456">SCW10</f>
        <v>95000</v>
      </c>
      <c r="SCZ10" s="1548"/>
      <c r="SDA10" s="1547">
        <f t="shared" ref="SDA10" si="6457">SCY10</f>
        <v>95000</v>
      </c>
      <c r="SDB10" s="1548"/>
      <c r="SDC10" s="1547">
        <f t="shared" ref="SDC10" si="6458">SDA10</f>
        <v>95000</v>
      </c>
      <c r="SDD10" s="1548"/>
      <c r="SDE10" s="1547">
        <f t="shared" ref="SDE10" si="6459">SDC10</f>
        <v>95000</v>
      </c>
      <c r="SDF10" s="1548"/>
      <c r="SDG10" s="1547">
        <f t="shared" ref="SDG10" si="6460">SDE10</f>
        <v>95000</v>
      </c>
      <c r="SDH10" s="1548"/>
      <c r="SDI10" s="1547">
        <f t="shared" ref="SDI10" si="6461">SDG10</f>
        <v>95000</v>
      </c>
      <c r="SDJ10" s="1548"/>
      <c r="SDK10" s="1547">
        <f t="shared" ref="SDK10" si="6462">SDI10</f>
        <v>95000</v>
      </c>
      <c r="SDL10" s="1548"/>
      <c r="SDM10" s="1547">
        <f t="shared" ref="SDM10" si="6463">SDK10</f>
        <v>95000</v>
      </c>
      <c r="SDN10" s="1548"/>
      <c r="SDO10" s="1547">
        <f t="shared" ref="SDO10" si="6464">SDM10</f>
        <v>95000</v>
      </c>
      <c r="SDP10" s="1548"/>
      <c r="SDQ10" s="1547">
        <f t="shared" ref="SDQ10" si="6465">SDO10</f>
        <v>95000</v>
      </c>
      <c r="SDR10" s="1548"/>
      <c r="SDS10" s="1547">
        <f t="shared" ref="SDS10" si="6466">SDQ10</f>
        <v>95000</v>
      </c>
      <c r="SDT10" s="1548"/>
      <c r="SDU10" s="1547">
        <f t="shared" ref="SDU10" si="6467">SDS10</f>
        <v>95000</v>
      </c>
      <c r="SDV10" s="1548"/>
      <c r="SDW10" s="1547">
        <f t="shared" ref="SDW10" si="6468">SDU10</f>
        <v>95000</v>
      </c>
      <c r="SDX10" s="1548"/>
      <c r="SDY10" s="1547">
        <f t="shared" ref="SDY10" si="6469">SDW10</f>
        <v>95000</v>
      </c>
      <c r="SDZ10" s="1548"/>
      <c r="SEA10" s="1547">
        <f t="shared" ref="SEA10" si="6470">SDY10</f>
        <v>95000</v>
      </c>
      <c r="SEB10" s="1548"/>
      <c r="SEC10" s="1547">
        <f t="shared" ref="SEC10" si="6471">SEA10</f>
        <v>95000</v>
      </c>
      <c r="SED10" s="1548"/>
      <c r="SEE10" s="1547">
        <f t="shared" ref="SEE10" si="6472">SEC10</f>
        <v>95000</v>
      </c>
      <c r="SEF10" s="1548"/>
      <c r="SEG10" s="1547">
        <f t="shared" ref="SEG10" si="6473">SEE10</f>
        <v>95000</v>
      </c>
      <c r="SEH10" s="1548"/>
      <c r="SEI10" s="1547">
        <f t="shared" ref="SEI10" si="6474">SEG10</f>
        <v>95000</v>
      </c>
      <c r="SEJ10" s="1548"/>
      <c r="SEK10" s="1547">
        <f t="shared" ref="SEK10" si="6475">SEI10</f>
        <v>95000</v>
      </c>
      <c r="SEL10" s="1548"/>
      <c r="SEM10" s="1547">
        <f t="shared" ref="SEM10" si="6476">SEK10</f>
        <v>95000</v>
      </c>
      <c r="SEN10" s="1548"/>
      <c r="SEO10" s="1547">
        <f t="shared" ref="SEO10" si="6477">SEM10</f>
        <v>95000</v>
      </c>
      <c r="SEP10" s="1548"/>
      <c r="SEQ10" s="1547">
        <f t="shared" ref="SEQ10" si="6478">SEO10</f>
        <v>95000</v>
      </c>
      <c r="SER10" s="1548"/>
      <c r="SES10" s="1547">
        <f t="shared" ref="SES10" si="6479">SEQ10</f>
        <v>95000</v>
      </c>
      <c r="SET10" s="1548"/>
      <c r="SEU10" s="1547">
        <f t="shared" ref="SEU10" si="6480">SES10</f>
        <v>95000</v>
      </c>
      <c r="SEV10" s="1548"/>
      <c r="SEW10" s="1547">
        <f t="shared" ref="SEW10" si="6481">SEU10</f>
        <v>95000</v>
      </c>
      <c r="SEX10" s="1548"/>
      <c r="SEY10" s="1547">
        <f t="shared" ref="SEY10" si="6482">SEW10</f>
        <v>95000</v>
      </c>
      <c r="SEZ10" s="1548"/>
      <c r="SFA10" s="1547">
        <f t="shared" ref="SFA10" si="6483">SEY10</f>
        <v>95000</v>
      </c>
      <c r="SFB10" s="1548"/>
      <c r="SFC10" s="1547">
        <f t="shared" ref="SFC10" si="6484">SFA10</f>
        <v>95000</v>
      </c>
      <c r="SFD10" s="1548"/>
      <c r="SFE10" s="1547">
        <f t="shared" ref="SFE10" si="6485">SFC10</f>
        <v>95000</v>
      </c>
      <c r="SFF10" s="1548"/>
      <c r="SFG10" s="1547">
        <f t="shared" ref="SFG10" si="6486">SFE10</f>
        <v>95000</v>
      </c>
      <c r="SFH10" s="1548"/>
      <c r="SFI10" s="1547">
        <f t="shared" ref="SFI10" si="6487">SFG10</f>
        <v>95000</v>
      </c>
      <c r="SFJ10" s="1548"/>
      <c r="SFK10" s="1547">
        <f t="shared" ref="SFK10" si="6488">SFI10</f>
        <v>95000</v>
      </c>
      <c r="SFL10" s="1548"/>
      <c r="SFM10" s="1547">
        <f t="shared" ref="SFM10" si="6489">SFK10</f>
        <v>95000</v>
      </c>
      <c r="SFN10" s="1548"/>
      <c r="SFO10" s="1547">
        <f t="shared" ref="SFO10" si="6490">SFM10</f>
        <v>95000</v>
      </c>
      <c r="SFP10" s="1548"/>
      <c r="SFQ10" s="1547">
        <f t="shared" ref="SFQ10" si="6491">SFO10</f>
        <v>95000</v>
      </c>
      <c r="SFR10" s="1548"/>
      <c r="SFS10" s="1547">
        <f t="shared" ref="SFS10" si="6492">SFQ10</f>
        <v>95000</v>
      </c>
      <c r="SFT10" s="1548"/>
      <c r="SFU10" s="1547">
        <f t="shared" ref="SFU10" si="6493">SFS10</f>
        <v>95000</v>
      </c>
      <c r="SFV10" s="1548"/>
      <c r="SFW10" s="1547">
        <f t="shared" ref="SFW10" si="6494">SFU10</f>
        <v>95000</v>
      </c>
      <c r="SFX10" s="1548"/>
      <c r="SFY10" s="1547">
        <f t="shared" ref="SFY10" si="6495">SFW10</f>
        <v>95000</v>
      </c>
      <c r="SFZ10" s="1548"/>
      <c r="SGA10" s="1547">
        <f t="shared" ref="SGA10" si="6496">SFY10</f>
        <v>95000</v>
      </c>
      <c r="SGB10" s="1548"/>
      <c r="SGC10" s="1547">
        <f t="shared" ref="SGC10" si="6497">SGA10</f>
        <v>95000</v>
      </c>
      <c r="SGD10" s="1548"/>
      <c r="SGE10" s="1547">
        <f t="shared" ref="SGE10" si="6498">SGC10</f>
        <v>95000</v>
      </c>
      <c r="SGF10" s="1548"/>
      <c r="SGG10" s="1547">
        <f t="shared" ref="SGG10" si="6499">SGE10</f>
        <v>95000</v>
      </c>
      <c r="SGH10" s="1548"/>
      <c r="SGI10" s="1547">
        <f t="shared" ref="SGI10" si="6500">SGG10</f>
        <v>95000</v>
      </c>
      <c r="SGJ10" s="1548"/>
      <c r="SGK10" s="1547">
        <f t="shared" ref="SGK10" si="6501">SGI10</f>
        <v>95000</v>
      </c>
      <c r="SGL10" s="1548"/>
      <c r="SGM10" s="1547">
        <f t="shared" ref="SGM10" si="6502">SGK10</f>
        <v>95000</v>
      </c>
      <c r="SGN10" s="1548"/>
      <c r="SGO10" s="1547">
        <f t="shared" ref="SGO10" si="6503">SGM10</f>
        <v>95000</v>
      </c>
      <c r="SGP10" s="1548"/>
      <c r="SGQ10" s="1547">
        <f t="shared" ref="SGQ10" si="6504">SGO10</f>
        <v>95000</v>
      </c>
      <c r="SGR10" s="1548"/>
      <c r="SGS10" s="1547">
        <f t="shared" ref="SGS10" si="6505">SGQ10</f>
        <v>95000</v>
      </c>
      <c r="SGT10" s="1548"/>
      <c r="SGU10" s="1547">
        <f t="shared" ref="SGU10" si="6506">SGS10</f>
        <v>95000</v>
      </c>
      <c r="SGV10" s="1548"/>
      <c r="SGW10" s="1547">
        <f t="shared" ref="SGW10" si="6507">SGU10</f>
        <v>95000</v>
      </c>
      <c r="SGX10" s="1548"/>
      <c r="SGY10" s="1547">
        <f t="shared" ref="SGY10" si="6508">SGW10</f>
        <v>95000</v>
      </c>
      <c r="SGZ10" s="1548"/>
      <c r="SHA10" s="1547">
        <f t="shared" ref="SHA10" si="6509">SGY10</f>
        <v>95000</v>
      </c>
      <c r="SHB10" s="1548"/>
      <c r="SHC10" s="1547">
        <f t="shared" ref="SHC10" si="6510">SHA10</f>
        <v>95000</v>
      </c>
      <c r="SHD10" s="1548"/>
      <c r="SHE10" s="1547">
        <f t="shared" ref="SHE10" si="6511">SHC10</f>
        <v>95000</v>
      </c>
      <c r="SHF10" s="1548"/>
      <c r="SHG10" s="1547">
        <f t="shared" ref="SHG10" si="6512">SHE10</f>
        <v>95000</v>
      </c>
      <c r="SHH10" s="1548"/>
      <c r="SHI10" s="1547">
        <f t="shared" ref="SHI10" si="6513">SHG10</f>
        <v>95000</v>
      </c>
      <c r="SHJ10" s="1548"/>
      <c r="SHK10" s="1547">
        <f t="shared" ref="SHK10" si="6514">SHI10</f>
        <v>95000</v>
      </c>
      <c r="SHL10" s="1548"/>
      <c r="SHM10" s="1547">
        <f t="shared" ref="SHM10" si="6515">SHK10</f>
        <v>95000</v>
      </c>
      <c r="SHN10" s="1548"/>
      <c r="SHO10" s="1547">
        <f t="shared" ref="SHO10" si="6516">SHM10</f>
        <v>95000</v>
      </c>
      <c r="SHP10" s="1548"/>
      <c r="SHQ10" s="1547">
        <f t="shared" ref="SHQ10" si="6517">SHO10</f>
        <v>95000</v>
      </c>
      <c r="SHR10" s="1548"/>
      <c r="SHS10" s="1547">
        <f t="shared" ref="SHS10" si="6518">SHQ10</f>
        <v>95000</v>
      </c>
      <c r="SHT10" s="1548"/>
      <c r="SHU10" s="1547">
        <f t="shared" ref="SHU10" si="6519">SHS10</f>
        <v>95000</v>
      </c>
      <c r="SHV10" s="1548"/>
      <c r="SHW10" s="1547">
        <f t="shared" ref="SHW10" si="6520">SHU10</f>
        <v>95000</v>
      </c>
      <c r="SHX10" s="1548"/>
      <c r="SHY10" s="1547">
        <f t="shared" ref="SHY10" si="6521">SHW10</f>
        <v>95000</v>
      </c>
      <c r="SHZ10" s="1548"/>
      <c r="SIA10" s="1547">
        <f t="shared" ref="SIA10" si="6522">SHY10</f>
        <v>95000</v>
      </c>
      <c r="SIB10" s="1548"/>
      <c r="SIC10" s="1547">
        <f t="shared" ref="SIC10" si="6523">SIA10</f>
        <v>95000</v>
      </c>
      <c r="SID10" s="1548"/>
      <c r="SIE10" s="1547">
        <f t="shared" ref="SIE10" si="6524">SIC10</f>
        <v>95000</v>
      </c>
      <c r="SIF10" s="1548"/>
      <c r="SIG10" s="1547">
        <f t="shared" ref="SIG10" si="6525">SIE10</f>
        <v>95000</v>
      </c>
      <c r="SIH10" s="1548"/>
      <c r="SII10" s="1547">
        <f t="shared" ref="SII10" si="6526">SIG10</f>
        <v>95000</v>
      </c>
      <c r="SIJ10" s="1548"/>
      <c r="SIK10" s="1547">
        <f t="shared" ref="SIK10" si="6527">SII10</f>
        <v>95000</v>
      </c>
      <c r="SIL10" s="1548"/>
      <c r="SIM10" s="1547">
        <f t="shared" ref="SIM10" si="6528">SIK10</f>
        <v>95000</v>
      </c>
      <c r="SIN10" s="1548"/>
      <c r="SIO10" s="1547">
        <f t="shared" ref="SIO10" si="6529">SIM10</f>
        <v>95000</v>
      </c>
      <c r="SIP10" s="1548"/>
      <c r="SIQ10" s="1547">
        <f t="shared" ref="SIQ10" si="6530">SIO10</f>
        <v>95000</v>
      </c>
      <c r="SIR10" s="1548"/>
      <c r="SIS10" s="1547">
        <f t="shared" ref="SIS10" si="6531">SIQ10</f>
        <v>95000</v>
      </c>
      <c r="SIT10" s="1548"/>
      <c r="SIU10" s="1547">
        <f t="shared" ref="SIU10" si="6532">SIS10</f>
        <v>95000</v>
      </c>
      <c r="SIV10" s="1548"/>
      <c r="SIW10" s="1547">
        <f t="shared" ref="SIW10" si="6533">SIU10</f>
        <v>95000</v>
      </c>
      <c r="SIX10" s="1548"/>
      <c r="SIY10" s="1547">
        <f t="shared" ref="SIY10" si="6534">SIW10</f>
        <v>95000</v>
      </c>
      <c r="SIZ10" s="1548"/>
      <c r="SJA10" s="1547">
        <f t="shared" ref="SJA10" si="6535">SIY10</f>
        <v>95000</v>
      </c>
      <c r="SJB10" s="1548"/>
      <c r="SJC10" s="1547">
        <f t="shared" ref="SJC10" si="6536">SJA10</f>
        <v>95000</v>
      </c>
      <c r="SJD10" s="1548"/>
      <c r="SJE10" s="1547">
        <f t="shared" ref="SJE10" si="6537">SJC10</f>
        <v>95000</v>
      </c>
      <c r="SJF10" s="1548"/>
      <c r="SJG10" s="1547">
        <f t="shared" ref="SJG10" si="6538">SJE10</f>
        <v>95000</v>
      </c>
      <c r="SJH10" s="1548"/>
      <c r="SJI10" s="1547">
        <f t="shared" ref="SJI10" si="6539">SJG10</f>
        <v>95000</v>
      </c>
      <c r="SJJ10" s="1548"/>
      <c r="SJK10" s="1547">
        <f t="shared" ref="SJK10" si="6540">SJI10</f>
        <v>95000</v>
      </c>
      <c r="SJL10" s="1548"/>
      <c r="SJM10" s="1547">
        <f t="shared" ref="SJM10" si="6541">SJK10</f>
        <v>95000</v>
      </c>
      <c r="SJN10" s="1548"/>
      <c r="SJO10" s="1547">
        <f t="shared" ref="SJO10" si="6542">SJM10</f>
        <v>95000</v>
      </c>
      <c r="SJP10" s="1548"/>
      <c r="SJQ10" s="1547">
        <f t="shared" ref="SJQ10" si="6543">SJO10</f>
        <v>95000</v>
      </c>
      <c r="SJR10" s="1548"/>
      <c r="SJS10" s="1547">
        <f t="shared" ref="SJS10" si="6544">SJQ10</f>
        <v>95000</v>
      </c>
      <c r="SJT10" s="1548"/>
      <c r="SJU10" s="1547">
        <f t="shared" ref="SJU10" si="6545">SJS10</f>
        <v>95000</v>
      </c>
      <c r="SJV10" s="1548"/>
      <c r="SJW10" s="1547">
        <f t="shared" ref="SJW10" si="6546">SJU10</f>
        <v>95000</v>
      </c>
      <c r="SJX10" s="1548"/>
      <c r="SJY10" s="1547">
        <f t="shared" ref="SJY10" si="6547">SJW10</f>
        <v>95000</v>
      </c>
      <c r="SJZ10" s="1548"/>
      <c r="SKA10" s="1547">
        <f t="shared" ref="SKA10" si="6548">SJY10</f>
        <v>95000</v>
      </c>
      <c r="SKB10" s="1548"/>
      <c r="SKC10" s="1547">
        <f t="shared" ref="SKC10" si="6549">SKA10</f>
        <v>95000</v>
      </c>
      <c r="SKD10" s="1548"/>
      <c r="SKE10" s="1547">
        <f t="shared" ref="SKE10" si="6550">SKC10</f>
        <v>95000</v>
      </c>
      <c r="SKF10" s="1548"/>
      <c r="SKG10" s="1547">
        <f t="shared" ref="SKG10" si="6551">SKE10</f>
        <v>95000</v>
      </c>
      <c r="SKH10" s="1548"/>
      <c r="SKI10" s="1547">
        <f t="shared" ref="SKI10" si="6552">SKG10</f>
        <v>95000</v>
      </c>
      <c r="SKJ10" s="1548"/>
      <c r="SKK10" s="1547">
        <f t="shared" ref="SKK10" si="6553">SKI10</f>
        <v>95000</v>
      </c>
      <c r="SKL10" s="1548"/>
      <c r="SKM10" s="1547">
        <f t="shared" ref="SKM10" si="6554">SKK10</f>
        <v>95000</v>
      </c>
      <c r="SKN10" s="1548"/>
      <c r="SKO10" s="1547">
        <f t="shared" ref="SKO10" si="6555">SKM10</f>
        <v>95000</v>
      </c>
      <c r="SKP10" s="1548"/>
      <c r="SKQ10" s="1547">
        <f t="shared" ref="SKQ10" si="6556">SKO10</f>
        <v>95000</v>
      </c>
      <c r="SKR10" s="1548"/>
      <c r="SKS10" s="1547">
        <f t="shared" ref="SKS10" si="6557">SKQ10</f>
        <v>95000</v>
      </c>
      <c r="SKT10" s="1548"/>
      <c r="SKU10" s="1547">
        <f t="shared" ref="SKU10" si="6558">SKS10</f>
        <v>95000</v>
      </c>
      <c r="SKV10" s="1548"/>
      <c r="SKW10" s="1547">
        <f t="shared" ref="SKW10" si="6559">SKU10</f>
        <v>95000</v>
      </c>
      <c r="SKX10" s="1548"/>
      <c r="SKY10" s="1547">
        <f t="shared" ref="SKY10" si="6560">SKW10</f>
        <v>95000</v>
      </c>
      <c r="SKZ10" s="1548"/>
      <c r="SLA10" s="1547">
        <f t="shared" ref="SLA10" si="6561">SKY10</f>
        <v>95000</v>
      </c>
      <c r="SLB10" s="1548"/>
      <c r="SLC10" s="1547">
        <f t="shared" ref="SLC10" si="6562">SLA10</f>
        <v>95000</v>
      </c>
      <c r="SLD10" s="1548"/>
      <c r="SLE10" s="1547">
        <f t="shared" ref="SLE10" si="6563">SLC10</f>
        <v>95000</v>
      </c>
      <c r="SLF10" s="1548"/>
      <c r="SLG10" s="1547">
        <f t="shared" ref="SLG10" si="6564">SLE10</f>
        <v>95000</v>
      </c>
      <c r="SLH10" s="1548"/>
      <c r="SLI10" s="1547">
        <f t="shared" ref="SLI10" si="6565">SLG10</f>
        <v>95000</v>
      </c>
      <c r="SLJ10" s="1548"/>
      <c r="SLK10" s="1547">
        <f t="shared" ref="SLK10" si="6566">SLI10</f>
        <v>95000</v>
      </c>
      <c r="SLL10" s="1548"/>
      <c r="SLM10" s="1547">
        <f t="shared" ref="SLM10" si="6567">SLK10</f>
        <v>95000</v>
      </c>
      <c r="SLN10" s="1548"/>
      <c r="SLO10" s="1547">
        <f t="shared" ref="SLO10" si="6568">SLM10</f>
        <v>95000</v>
      </c>
      <c r="SLP10" s="1548"/>
      <c r="SLQ10" s="1547">
        <f t="shared" ref="SLQ10" si="6569">SLO10</f>
        <v>95000</v>
      </c>
      <c r="SLR10" s="1548"/>
      <c r="SLS10" s="1547">
        <f t="shared" ref="SLS10" si="6570">SLQ10</f>
        <v>95000</v>
      </c>
      <c r="SLT10" s="1548"/>
      <c r="SLU10" s="1547">
        <f t="shared" ref="SLU10" si="6571">SLS10</f>
        <v>95000</v>
      </c>
      <c r="SLV10" s="1548"/>
      <c r="SLW10" s="1547">
        <f t="shared" ref="SLW10" si="6572">SLU10</f>
        <v>95000</v>
      </c>
      <c r="SLX10" s="1548"/>
      <c r="SLY10" s="1547">
        <f t="shared" ref="SLY10" si="6573">SLW10</f>
        <v>95000</v>
      </c>
      <c r="SLZ10" s="1548"/>
      <c r="SMA10" s="1547">
        <f t="shared" ref="SMA10" si="6574">SLY10</f>
        <v>95000</v>
      </c>
      <c r="SMB10" s="1548"/>
      <c r="SMC10" s="1547">
        <f t="shared" ref="SMC10" si="6575">SMA10</f>
        <v>95000</v>
      </c>
      <c r="SMD10" s="1548"/>
      <c r="SME10" s="1547">
        <f t="shared" ref="SME10" si="6576">SMC10</f>
        <v>95000</v>
      </c>
      <c r="SMF10" s="1548"/>
      <c r="SMG10" s="1547">
        <f t="shared" ref="SMG10" si="6577">SME10</f>
        <v>95000</v>
      </c>
      <c r="SMH10" s="1548"/>
      <c r="SMI10" s="1547">
        <f t="shared" ref="SMI10" si="6578">SMG10</f>
        <v>95000</v>
      </c>
      <c r="SMJ10" s="1548"/>
      <c r="SMK10" s="1547">
        <f t="shared" ref="SMK10" si="6579">SMI10</f>
        <v>95000</v>
      </c>
      <c r="SML10" s="1548"/>
      <c r="SMM10" s="1547">
        <f t="shared" ref="SMM10" si="6580">SMK10</f>
        <v>95000</v>
      </c>
      <c r="SMN10" s="1548"/>
      <c r="SMO10" s="1547">
        <f t="shared" ref="SMO10" si="6581">SMM10</f>
        <v>95000</v>
      </c>
      <c r="SMP10" s="1548"/>
      <c r="SMQ10" s="1547">
        <f t="shared" ref="SMQ10" si="6582">SMO10</f>
        <v>95000</v>
      </c>
      <c r="SMR10" s="1548"/>
      <c r="SMS10" s="1547">
        <f t="shared" ref="SMS10" si="6583">SMQ10</f>
        <v>95000</v>
      </c>
      <c r="SMT10" s="1548"/>
      <c r="SMU10" s="1547">
        <f t="shared" ref="SMU10" si="6584">SMS10</f>
        <v>95000</v>
      </c>
      <c r="SMV10" s="1548"/>
      <c r="SMW10" s="1547">
        <f t="shared" ref="SMW10" si="6585">SMU10</f>
        <v>95000</v>
      </c>
      <c r="SMX10" s="1548"/>
      <c r="SMY10" s="1547">
        <f t="shared" ref="SMY10" si="6586">SMW10</f>
        <v>95000</v>
      </c>
      <c r="SMZ10" s="1548"/>
      <c r="SNA10" s="1547">
        <f t="shared" ref="SNA10" si="6587">SMY10</f>
        <v>95000</v>
      </c>
      <c r="SNB10" s="1548"/>
      <c r="SNC10" s="1547">
        <f t="shared" ref="SNC10" si="6588">SNA10</f>
        <v>95000</v>
      </c>
      <c r="SND10" s="1548"/>
      <c r="SNE10" s="1547">
        <f t="shared" ref="SNE10" si="6589">SNC10</f>
        <v>95000</v>
      </c>
      <c r="SNF10" s="1548"/>
      <c r="SNG10" s="1547">
        <f t="shared" ref="SNG10" si="6590">SNE10</f>
        <v>95000</v>
      </c>
      <c r="SNH10" s="1548"/>
      <c r="SNI10" s="1547">
        <f t="shared" ref="SNI10" si="6591">SNG10</f>
        <v>95000</v>
      </c>
      <c r="SNJ10" s="1548"/>
      <c r="SNK10" s="1547">
        <f t="shared" ref="SNK10" si="6592">SNI10</f>
        <v>95000</v>
      </c>
      <c r="SNL10" s="1548"/>
      <c r="SNM10" s="1547">
        <f t="shared" ref="SNM10" si="6593">SNK10</f>
        <v>95000</v>
      </c>
      <c r="SNN10" s="1548"/>
      <c r="SNO10" s="1547">
        <f t="shared" ref="SNO10" si="6594">SNM10</f>
        <v>95000</v>
      </c>
      <c r="SNP10" s="1548"/>
      <c r="SNQ10" s="1547">
        <f t="shared" ref="SNQ10" si="6595">SNO10</f>
        <v>95000</v>
      </c>
      <c r="SNR10" s="1548"/>
      <c r="SNS10" s="1547">
        <f t="shared" ref="SNS10" si="6596">SNQ10</f>
        <v>95000</v>
      </c>
      <c r="SNT10" s="1548"/>
      <c r="SNU10" s="1547">
        <f t="shared" ref="SNU10" si="6597">SNS10</f>
        <v>95000</v>
      </c>
      <c r="SNV10" s="1548"/>
      <c r="SNW10" s="1547">
        <f t="shared" ref="SNW10" si="6598">SNU10</f>
        <v>95000</v>
      </c>
      <c r="SNX10" s="1548"/>
      <c r="SNY10" s="1547">
        <f t="shared" ref="SNY10" si="6599">SNW10</f>
        <v>95000</v>
      </c>
      <c r="SNZ10" s="1548"/>
      <c r="SOA10" s="1547">
        <f t="shared" ref="SOA10" si="6600">SNY10</f>
        <v>95000</v>
      </c>
      <c r="SOB10" s="1548"/>
      <c r="SOC10" s="1547">
        <f t="shared" ref="SOC10" si="6601">SOA10</f>
        <v>95000</v>
      </c>
      <c r="SOD10" s="1548"/>
      <c r="SOE10" s="1547">
        <f t="shared" ref="SOE10" si="6602">SOC10</f>
        <v>95000</v>
      </c>
      <c r="SOF10" s="1548"/>
      <c r="SOG10" s="1547">
        <f t="shared" ref="SOG10" si="6603">SOE10</f>
        <v>95000</v>
      </c>
      <c r="SOH10" s="1548"/>
      <c r="SOI10" s="1547">
        <f t="shared" ref="SOI10" si="6604">SOG10</f>
        <v>95000</v>
      </c>
      <c r="SOJ10" s="1548"/>
      <c r="SOK10" s="1547">
        <f t="shared" ref="SOK10" si="6605">SOI10</f>
        <v>95000</v>
      </c>
      <c r="SOL10" s="1548"/>
      <c r="SOM10" s="1547">
        <f t="shared" ref="SOM10" si="6606">SOK10</f>
        <v>95000</v>
      </c>
      <c r="SON10" s="1548"/>
      <c r="SOO10" s="1547">
        <f t="shared" ref="SOO10" si="6607">SOM10</f>
        <v>95000</v>
      </c>
      <c r="SOP10" s="1548"/>
      <c r="SOQ10" s="1547">
        <f t="shared" ref="SOQ10" si="6608">SOO10</f>
        <v>95000</v>
      </c>
      <c r="SOR10" s="1548"/>
      <c r="SOS10" s="1547">
        <f t="shared" ref="SOS10" si="6609">SOQ10</f>
        <v>95000</v>
      </c>
      <c r="SOT10" s="1548"/>
      <c r="SOU10" s="1547">
        <f t="shared" ref="SOU10" si="6610">SOS10</f>
        <v>95000</v>
      </c>
      <c r="SOV10" s="1548"/>
      <c r="SOW10" s="1547">
        <f t="shared" ref="SOW10" si="6611">SOU10</f>
        <v>95000</v>
      </c>
      <c r="SOX10" s="1548"/>
      <c r="SOY10" s="1547">
        <f t="shared" ref="SOY10" si="6612">SOW10</f>
        <v>95000</v>
      </c>
      <c r="SOZ10" s="1548"/>
      <c r="SPA10" s="1547">
        <f t="shared" ref="SPA10" si="6613">SOY10</f>
        <v>95000</v>
      </c>
      <c r="SPB10" s="1548"/>
      <c r="SPC10" s="1547">
        <f t="shared" ref="SPC10" si="6614">SPA10</f>
        <v>95000</v>
      </c>
      <c r="SPD10" s="1548"/>
      <c r="SPE10" s="1547">
        <f t="shared" ref="SPE10" si="6615">SPC10</f>
        <v>95000</v>
      </c>
      <c r="SPF10" s="1548"/>
      <c r="SPG10" s="1547">
        <f t="shared" ref="SPG10" si="6616">SPE10</f>
        <v>95000</v>
      </c>
      <c r="SPH10" s="1548"/>
      <c r="SPI10" s="1547">
        <f t="shared" ref="SPI10" si="6617">SPG10</f>
        <v>95000</v>
      </c>
      <c r="SPJ10" s="1548"/>
      <c r="SPK10" s="1547">
        <f t="shared" ref="SPK10" si="6618">SPI10</f>
        <v>95000</v>
      </c>
      <c r="SPL10" s="1548"/>
      <c r="SPM10" s="1547">
        <f t="shared" ref="SPM10" si="6619">SPK10</f>
        <v>95000</v>
      </c>
      <c r="SPN10" s="1548"/>
      <c r="SPO10" s="1547">
        <f t="shared" ref="SPO10" si="6620">SPM10</f>
        <v>95000</v>
      </c>
      <c r="SPP10" s="1548"/>
      <c r="SPQ10" s="1547">
        <f t="shared" ref="SPQ10" si="6621">SPO10</f>
        <v>95000</v>
      </c>
      <c r="SPR10" s="1548"/>
      <c r="SPS10" s="1547">
        <f t="shared" ref="SPS10" si="6622">SPQ10</f>
        <v>95000</v>
      </c>
      <c r="SPT10" s="1548"/>
      <c r="SPU10" s="1547">
        <f t="shared" ref="SPU10" si="6623">SPS10</f>
        <v>95000</v>
      </c>
      <c r="SPV10" s="1548"/>
      <c r="SPW10" s="1547">
        <f t="shared" ref="SPW10" si="6624">SPU10</f>
        <v>95000</v>
      </c>
      <c r="SPX10" s="1548"/>
      <c r="SPY10" s="1547">
        <f t="shared" ref="SPY10" si="6625">SPW10</f>
        <v>95000</v>
      </c>
      <c r="SPZ10" s="1548"/>
      <c r="SQA10" s="1547">
        <f t="shared" ref="SQA10" si="6626">SPY10</f>
        <v>95000</v>
      </c>
      <c r="SQB10" s="1548"/>
      <c r="SQC10" s="1547">
        <f t="shared" ref="SQC10" si="6627">SQA10</f>
        <v>95000</v>
      </c>
      <c r="SQD10" s="1548"/>
      <c r="SQE10" s="1547">
        <f t="shared" ref="SQE10" si="6628">SQC10</f>
        <v>95000</v>
      </c>
      <c r="SQF10" s="1548"/>
      <c r="SQG10" s="1547">
        <f t="shared" ref="SQG10" si="6629">SQE10</f>
        <v>95000</v>
      </c>
      <c r="SQH10" s="1548"/>
      <c r="SQI10" s="1547">
        <f t="shared" ref="SQI10" si="6630">SQG10</f>
        <v>95000</v>
      </c>
      <c r="SQJ10" s="1548"/>
      <c r="SQK10" s="1547">
        <f t="shared" ref="SQK10" si="6631">SQI10</f>
        <v>95000</v>
      </c>
      <c r="SQL10" s="1548"/>
      <c r="SQM10" s="1547">
        <f t="shared" ref="SQM10" si="6632">SQK10</f>
        <v>95000</v>
      </c>
      <c r="SQN10" s="1548"/>
      <c r="SQO10" s="1547">
        <f t="shared" ref="SQO10" si="6633">SQM10</f>
        <v>95000</v>
      </c>
      <c r="SQP10" s="1548"/>
      <c r="SQQ10" s="1547">
        <f t="shared" ref="SQQ10" si="6634">SQO10</f>
        <v>95000</v>
      </c>
      <c r="SQR10" s="1548"/>
      <c r="SQS10" s="1547">
        <f t="shared" ref="SQS10" si="6635">SQQ10</f>
        <v>95000</v>
      </c>
      <c r="SQT10" s="1548"/>
      <c r="SQU10" s="1547">
        <f t="shared" ref="SQU10" si="6636">SQS10</f>
        <v>95000</v>
      </c>
      <c r="SQV10" s="1548"/>
      <c r="SQW10" s="1547">
        <f t="shared" ref="SQW10" si="6637">SQU10</f>
        <v>95000</v>
      </c>
      <c r="SQX10" s="1548"/>
      <c r="SQY10" s="1547">
        <f t="shared" ref="SQY10" si="6638">SQW10</f>
        <v>95000</v>
      </c>
      <c r="SQZ10" s="1548"/>
      <c r="SRA10" s="1547">
        <f t="shared" ref="SRA10" si="6639">SQY10</f>
        <v>95000</v>
      </c>
      <c r="SRB10" s="1548"/>
      <c r="SRC10" s="1547">
        <f t="shared" ref="SRC10" si="6640">SRA10</f>
        <v>95000</v>
      </c>
      <c r="SRD10" s="1548"/>
      <c r="SRE10" s="1547">
        <f t="shared" ref="SRE10" si="6641">SRC10</f>
        <v>95000</v>
      </c>
      <c r="SRF10" s="1548"/>
      <c r="SRG10" s="1547">
        <f t="shared" ref="SRG10" si="6642">SRE10</f>
        <v>95000</v>
      </c>
      <c r="SRH10" s="1548"/>
      <c r="SRI10" s="1547">
        <f t="shared" ref="SRI10" si="6643">SRG10</f>
        <v>95000</v>
      </c>
      <c r="SRJ10" s="1548"/>
      <c r="SRK10" s="1547">
        <f t="shared" ref="SRK10" si="6644">SRI10</f>
        <v>95000</v>
      </c>
      <c r="SRL10" s="1548"/>
      <c r="SRM10" s="1547">
        <f t="shared" ref="SRM10" si="6645">SRK10</f>
        <v>95000</v>
      </c>
      <c r="SRN10" s="1548"/>
      <c r="SRO10" s="1547">
        <f t="shared" ref="SRO10" si="6646">SRM10</f>
        <v>95000</v>
      </c>
      <c r="SRP10" s="1548"/>
      <c r="SRQ10" s="1547">
        <f t="shared" ref="SRQ10" si="6647">SRO10</f>
        <v>95000</v>
      </c>
      <c r="SRR10" s="1548"/>
      <c r="SRS10" s="1547">
        <f t="shared" ref="SRS10" si="6648">SRQ10</f>
        <v>95000</v>
      </c>
      <c r="SRT10" s="1548"/>
      <c r="SRU10" s="1547">
        <f t="shared" ref="SRU10" si="6649">SRS10</f>
        <v>95000</v>
      </c>
      <c r="SRV10" s="1548"/>
      <c r="SRW10" s="1547">
        <f t="shared" ref="SRW10" si="6650">SRU10</f>
        <v>95000</v>
      </c>
      <c r="SRX10" s="1548"/>
      <c r="SRY10" s="1547">
        <f t="shared" ref="SRY10" si="6651">SRW10</f>
        <v>95000</v>
      </c>
      <c r="SRZ10" s="1548"/>
      <c r="SSA10" s="1547">
        <f t="shared" ref="SSA10" si="6652">SRY10</f>
        <v>95000</v>
      </c>
      <c r="SSB10" s="1548"/>
      <c r="SSC10" s="1547">
        <f t="shared" ref="SSC10" si="6653">SSA10</f>
        <v>95000</v>
      </c>
      <c r="SSD10" s="1548"/>
      <c r="SSE10" s="1547">
        <f t="shared" ref="SSE10" si="6654">SSC10</f>
        <v>95000</v>
      </c>
      <c r="SSF10" s="1548"/>
      <c r="SSG10" s="1547">
        <f t="shared" ref="SSG10" si="6655">SSE10</f>
        <v>95000</v>
      </c>
      <c r="SSH10" s="1548"/>
      <c r="SSI10" s="1547">
        <f t="shared" ref="SSI10" si="6656">SSG10</f>
        <v>95000</v>
      </c>
      <c r="SSJ10" s="1548"/>
      <c r="SSK10" s="1547">
        <f t="shared" ref="SSK10" si="6657">SSI10</f>
        <v>95000</v>
      </c>
      <c r="SSL10" s="1548"/>
      <c r="SSM10" s="1547">
        <f t="shared" ref="SSM10" si="6658">SSK10</f>
        <v>95000</v>
      </c>
      <c r="SSN10" s="1548"/>
      <c r="SSO10" s="1547">
        <f t="shared" ref="SSO10" si="6659">SSM10</f>
        <v>95000</v>
      </c>
      <c r="SSP10" s="1548"/>
      <c r="SSQ10" s="1547">
        <f t="shared" ref="SSQ10" si="6660">SSO10</f>
        <v>95000</v>
      </c>
      <c r="SSR10" s="1548"/>
      <c r="SSS10" s="1547">
        <f t="shared" ref="SSS10" si="6661">SSQ10</f>
        <v>95000</v>
      </c>
      <c r="SST10" s="1548"/>
      <c r="SSU10" s="1547">
        <f t="shared" ref="SSU10" si="6662">SSS10</f>
        <v>95000</v>
      </c>
      <c r="SSV10" s="1548"/>
      <c r="SSW10" s="1547">
        <f t="shared" ref="SSW10" si="6663">SSU10</f>
        <v>95000</v>
      </c>
      <c r="SSX10" s="1548"/>
      <c r="SSY10" s="1547">
        <f t="shared" ref="SSY10" si="6664">SSW10</f>
        <v>95000</v>
      </c>
      <c r="SSZ10" s="1548"/>
      <c r="STA10" s="1547">
        <f t="shared" ref="STA10" si="6665">SSY10</f>
        <v>95000</v>
      </c>
      <c r="STB10" s="1548"/>
      <c r="STC10" s="1547">
        <f t="shared" ref="STC10" si="6666">STA10</f>
        <v>95000</v>
      </c>
      <c r="STD10" s="1548"/>
      <c r="STE10" s="1547">
        <f t="shared" ref="STE10" si="6667">STC10</f>
        <v>95000</v>
      </c>
      <c r="STF10" s="1548"/>
      <c r="STG10" s="1547">
        <f t="shared" ref="STG10" si="6668">STE10</f>
        <v>95000</v>
      </c>
      <c r="STH10" s="1548"/>
      <c r="STI10" s="1547">
        <f t="shared" ref="STI10" si="6669">STG10</f>
        <v>95000</v>
      </c>
      <c r="STJ10" s="1548"/>
      <c r="STK10" s="1547">
        <f t="shared" ref="STK10" si="6670">STI10</f>
        <v>95000</v>
      </c>
      <c r="STL10" s="1548"/>
      <c r="STM10" s="1547">
        <f t="shared" ref="STM10" si="6671">STK10</f>
        <v>95000</v>
      </c>
      <c r="STN10" s="1548"/>
      <c r="STO10" s="1547">
        <f t="shared" ref="STO10" si="6672">STM10</f>
        <v>95000</v>
      </c>
      <c r="STP10" s="1548"/>
      <c r="STQ10" s="1547">
        <f t="shared" ref="STQ10" si="6673">STO10</f>
        <v>95000</v>
      </c>
      <c r="STR10" s="1548"/>
      <c r="STS10" s="1547">
        <f t="shared" ref="STS10" si="6674">STQ10</f>
        <v>95000</v>
      </c>
      <c r="STT10" s="1548"/>
      <c r="STU10" s="1547">
        <f t="shared" ref="STU10" si="6675">STS10</f>
        <v>95000</v>
      </c>
      <c r="STV10" s="1548"/>
      <c r="STW10" s="1547">
        <f t="shared" ref="STW10" si="6676">STU10</f>
        <v>95000</v>
      </c>
      <c r="STX10" s="1548"/>
      <c r="STY10" s="1547">
        <f t="shared" ref="STY10" si="6677">STW10</f>
        <v>95000</v>
      </c>
      <c r="STZ10" s="1548"/>
      <c r="SUA10" s="1547">
        <f t="shared" ref="SUA10" si="6678">STY10</f>
        <v>95000</v>
      </c>
      <c r="SUB10" s="1548"/>
      <c r="SUC10" s="1547">
        <f t="shared" ref="SUC10" si="6679">SUA10</f>
        <v>95000</v>
      </c>
      <c r="SUD10" s="1548"/>
      <c r="SUE10" s="1547">
        <f t="shared" ref="SUE10" si="6680">SUC10</f>
        <v>95000</v>
      </c>
      <c r="SUF10" s="1548"/>
      <c r="SUG10" s="1547">
        <f t="shared" ref="SUG10" si="6681">SUE10</f>
        <v>95000</v>
      </c>
      <c r="SUH10" s="1548"/>
      <c r="SUI10" s="1547">
        <f t="shared" ref="SUI10" si="6682">SUG10</f>
        <v>95000</v>
      </c>
      <c r="SUJ10" s="1548"/>
      <c r="SUK10" s="1547">
        <f t="shared" ref="SUK10" si="6683">SUI10</f>
        <v>95000</v>
      </c>
      <c r="SUL10" s="1548"/>
      <c r="SUM10" s="1547">
        <f t="shared" ref="SUM10" si="6684">SUK10</f>
        <v>95000</v>
      </c>
      <c r="SUN10" s="1548"/>
      <c r="SUO10" s="1547">
        <f t="shared" ref="SUO10" si="6685">SUM10</f>
        <v>95000</v>
      </c>
      <c r="SUP10" s="1548"/>
      <c r="SUQ10" s="1547">
        <f t="shared" ref="SUQ10" si="6686">SUO10</f>
        <v>95000</v>
      </c>
      <c r="SUR10" s="1548"/>
      <c r="SUS10" s="1547">
        <f t="shared" ref="SUS10" si="6687">SUQ10</f>
        <v>95000</v>
      </c>
      <c r="SUT10" s="1548"/>
      <c r="SUU10" s="1547">
        <f t="shared" ref="SUU10" si="6688">SUS10</f>
        <v>95000</v>
      </c>
      <c r="SUV10" s="1548"/>
      <c r="SUW10" s="1547">
        <f t="shared" ref="SUW10" si="6689">SUU10</f>
        <v>95000</v>
      </c>
      <c r="SUX10" s="1548"/>
      <c r="SUY10" s="1547">
        <f t="shared" ref="SUY10" si="6690">SUW10</f>
        <v>95000</v>
      </c>
      <c r="SUZ10" s="1548"/>
      <c r="SVA10" s="1547">
        <f t="shared" ref="SVA10" si="6691">SUY10</f>
        <v>95000</v>
      </c>
      <c r="SVB10" s="1548"/>
      <c r="SVC10" s="1547">
        <f t="shared" ref="SVC10" si="6692">SVA10</f>
        <v>95000</v>
      </c>
      <c r="SVD10" s="1548"/>
      <c r="SVE10" s="1547">
        <f t="shared" ref="SVE10" si="6693">SVC10</f>
        <v>95000</v>
      </c>
      <c r="SVF10" s="1548"/>
      <c r="SVG10" s="1547">
        <f t="shared" ref="SVG10" si="6694">SVE10</f>
        <v>95000</v>
      </c>
      <c r="SVH10" s="1548"/>
      <c r="SVI10" s="1547">
        <f t="shared" ref="SVI10" si="6695">SVG10</f>
        <v>95000</v>
      </c>
      <c r="SVJ10" s="1548"/>
      <c r="SVK10" s="1547">
        <f t="shared" ref="SVK10" si="6696">SVI10</f>
        <v>95000</v>
      </c>
      <c r="SVL10" s="1548"/>
      <c r="SVM10" s="1547">
        <f t="shared" ref="SVM10" si="6697">SVK10</f>
        <v>95000</v>
      </c>
      <c r="SVN10" s="1548"/>
      <c r="SVO10" s="1547">
        <f t="shared" ref="SVO10" si="6698">SVM10</f>
        <v>95000</v>
      </c>
      <c r="SVP10" s="1548"/>
      <c r="SVQ10" s="1547">
        <f t="shared" ref="SVQ10" si="6699">SVO10</f>
        <v>95000</v>
      </c>
      <c r="SVR10" s="1548"/>
      <c r="SVS10" s="1547">
        <f t="shared" ref="SVS10" si="6700">SVQ10</f>
        <v>95000</v>
      </c>
      <c r="SVT10" s="1548"/>
      <c r="SVU10" s="1547">
        <f t="shared" ref="SVU10" si="6701">SVS10</f>
        <v>95000</v>
      </c>
      <c r="SVV10" s="1548"/>
      <c r="SVW10" s="1547">
        <f t="shared" ref="SVW10" si="6702">SVU10</f>
        <v>95000</v>
      </c>
      <c r="SVX10" s="1548"/>
      <c r="SVY10" s="1547">
        <f t="shared" ref="SVY10" si="6703">SVW10</f>
        <v>95000</v>
      </c>
      <c r="SVZ10" s="1548"/>
      <c r="SWA10" s="1547">
        <f t="shared" ref="SWA10" si="6704">SVY10</f>
        <v>95000</v>
      </c>
      <c r="SWB10" s="1548"/>
      <c r="SWC10" s="1547">
        <f t="shared" ref="SWC10" si="6705">SWA10</f>
        <v>95000</v>
      </c>
      <c r="SWD10" s="1548"/>
      <c r="SWE10" s="1547">
        <f t="shared" ref="SWE10" si="6706">SWC10</f>
        <v>95000</v>
      </c>
      <c r="SWF10" s="1548"/>
      <c r="SWG10" s="1547">
        <f t="shared" ref="SWG10" si="6707">SWE10</f>
        <v>95000</v>
      </c>
      <c r="SWH10" s="1548"/>
      <c r="SWI10" s="1547">
        <f t="shared" ref="SWI10" si="6708">SWG10</f>
        <v>95000</v>
      </c>
      <c r="SWJ10" s="1548"/>
      <c r="SWK10" s="1547">
        <f t="shared" ref="SWK10" si="6709">SWI10</f>
        <v>95000</v>
      </c>
      <c r="SWL10" s="1548"/>
      <c r="SWM10" s="1547">
        <f t="shared" ref="SWM10" si="6710">SWK10</f>
        <v>95000</v>
      </c>
      <c r="SWN10" s="1548"/>
      <c r="SWO10" s="1547">
        <f t="shared" ref="SWO10" si="6711">SWM10</f>
        <v>95000</v>
      </c>
      <c r="SWP10" s="1548"/>
      <c r="SWQ10" s="1547">
        <f t="shared" ref="SWQ10" si="6712">SWO10</f>
        <v>95000</v>
      </c>
      <c r="SWR10" s="1548"/>
      <c r="SWS10" s="1547">
        <f t="shared" ref="SWS10" si="6713">SWQ10</f>
        <v>95000</v>
      </c>
      <c r="SWT10" s="1548"/>
      <c r="SWU10" s="1547">
        <f t="shared" ref="SWU10" si="6714">SWS10</f>
        <v>95000</v>
      </c>
      <c r="SWV10" s="1548"/>
      <c r="SWW10" s="1547">
        <f t="shared" ref="SWW10" si="6715">SWU10</f>
        <v>95000</v>
      </c>
      <c r="SWX10" s="1548"/>
      <c r="SWY10" s="1547">
        <f t="shared" ref="SWY10" si="6716">SWW10</f>
        <v>95000</v>
      </c>
      <c r="SWZ10" s="1548"/>
      <c r="SXA10" s="1547">
        <f t="shared" ref="SXA10" si="6717">SWY10</f>
        <v>95000</v>
      </c>
      <c r="SXB10" s="1548"/>
      <c r="SXC10" s="1547">
        <f t="shared" ref="SXC10" si="6718">SXA10</f>
        <v>95000</v>
      </c>
      <c r="SXD10" s="1548"/>
      <c r="SXE10" s="1547">
        <f t="shared" ref="SXE10" si="6719">SXC10</f>
        <v>95000</v>
      </c>
      <c r="SXF10" s="1548"/>
      <c r="SXG10" s="1547">
        <f t="shared" ref="SXG10" si="6720">SXE10</f>
        <v>95000</v>
      </c>
      <c r="SXH10" s="1548"/>
      <c r="SXI10" s="1547">
        <f t="shared" ref="SXI10" si="6721">SXG10</f>
        <v>95000</v>
      </c>
      <c r="SXJ10" s="1548"/>
      <c r="SXK10" s="1547">
        <f t="shared" ref="SXK10" si="6722">SXI10</f>
        <v>95000</v>
      </c>
      <c r="SXL10" s="1548"/>
      <c r="SXM10" s="1547">
        <f t="shared" ref="SXM10" si="6723">SXK10</f>
        <v>95000</v>
      </c>
      <c r="SXN10" s="1548"/>
      <c r="SXO10" s="1547">
        <f t="shared" ref="SXO10" si="6724">SXM10</f>
        <v>95000</v>
      </c>
      <c r="SXP10" s="1548"/>
      <c r="SXQ10" s="1547">
        <f t="shared" ref="SXQ10" si="6725">SXO10</f>
        <v>95000</v>
      </c>
      <c r="SXR10" s="1548"/>
      <c r="SXS10" s="1547">
        <f t="shared" ref="SXS10" si="6726">SXQ10</f>
        <v>95000</v>
      </c>
      <c r="SXT10" s="1548"/>
      <c r="SXU10" s="1547">
        <f t="shared" ref="SXU10" si="6727">SXS10</f>
        <v>95000</v>
      </c>
      <c r="SXV10" s="1548"/>
      <c r="SXW10" s="1547">
        <f t="shared" ref="SXW10" si="6728">SXU10</f>
        <v>95000</v>
      </c>
      <c r="SXX10" s="1548"/>
      <c r="SXY10" s="1547">
        <f t="shared" ref="SXY10" si="6729">SXW10</f>
        <v>95000</v>
      </c>
      <c r="SXZ10" s="1548"/>
      <c r="SYA10" s="1547">
        <f t="shared" ref="SYA10" si="6730">SXY10</f>
        <v>95000</v>
      </c>
      <c r="SYB10" s="1548"/>
      <c r="SYC10" s="1547">
        <f t="shared" ref="SYC10" si="6731">SYA10</f>
        <v>95000</v>
      </c>
      <c r="SYD10" s="1548"/>
      <c r="SYE10" s="1547">
        <f t="shared" ref="SYE10" si="6732">SYC10</f>
        <v>95000</v>
      </c>
      <c r="SYF10" s="1548"/>
      <c r="SYG10" s="1547">
        <f t="shared" ref="SYG10" si="6733">SYE10</f>
        <v>95000</v>
      </c>
      <c r="SYH10" s="1548"/>
      <c r="SYI10" s="1547">
        <f t="shared" ref="SYI10" si="6734">SYG10</f>
        <v>95000</v>
      </c>
      <c r="SYJ10" s="1548"/>
      <c r="SYK10" s="1547">
        <f t="shared" ref="SYK10" si="6735">SYI10</f>
        <v>95000</v>
      </c>
      <c r="SYL10" s="1548"/>
      <c r="SYM10" s="1547">
        <f t="shared" ref="SYM10" si="6736">SYK10</f>
        <v>95000</v>
      </c>
      <c r="SYN10" s="1548"/>
      <c r="SYO10" s="1547">
        <f t="shared" ref="SYO10" si="6737">SYM10</f>
        <v>95000</v>
      </c>
      <c r="SYP10" s="1548"/>
      <c r="SYQ10" s="1547">
        <f t="shared" ref="SYQ10" si="6738">SYO10</f>
        <v>95000</v>
      </c>
      <c r="SYR10" s="1548"/>
      <c r="SYS10" s="1547">
        <f t="shared" ref="SYS10" si="6739">SYQ10</f>
        <v>95000</v>
      </c>
      <c r="SYT10" s="1548"/>
      <c r="SYU10" s="1547">
        <f t="shared" ref="SYU10" si="6740">SYS10</f>
        <v>95000</v>
      </c>
      <c r="SYV10" s="1548"/>
      <c r="SYW10" s="1547">
        <f t="shared" ref="SYW10" si="6741">SYU10</f>
        <v>95000</v>
      </c>
      <c r="SYX10" s="1548"/>
      <c r="SYY10" s="1547">
        <f t="shared" ref="SYY10" si="6742">SYW10</f>
        <v>95000</v>
      </c>
      <c r="SYZ10" s="1548"/>
      <c r="SZA10" s="1547">
        <f t="shared" ref="SZA10" si="6743">SYY10</f>
        <v>95000</v>
      </c>
      <c r="SZB10" s="1548"/>
      <c r="SZC10" s="1547">
        <f t="shared" ref="SZC10" si="6744">SZA10</f>
        <v>95000</v>
      </c>
      <c r="SZD10" s="1548"/>
      <c r="SZE10" s="1547">
        <f t="shared" ref="SZE10" si="6745">SZC10</f>
        <v>95000</v>
      </c>
      <c r="SZF10" s="1548"/>
      <c r="SZG10" s="1547">
        <f t="shared" ref="SZG10" si="6746">SZE10</f>
        <v>95000</v>
      </c>
      <c r="SZH10" s="1548"/>
      <c r="SZI10" s="1547">
        <f t="shared" ref="SZI10" si="6747">SZG10</f>
        <v>95000</v>
      </c>
      <c r="SZJ10" s="1548"/>
      <c r="SZK10" s="1547">
        <f t="shared" ref="SZK10" si="6748">SZI10</f>
        <v>95000</v>
      </c>
      <c r="SZL10" s="1548"/>
      <c r="SZM10" s="1547">
        <f t="shared" ref="SZM10" si="6749">SZK10</f>
        <v>95000</v>
      </c>
      <c r="SZN10" s="1548"/>
      <c r="SZO10" s="1547">
        <f t="shared" ref="SZO10" si="6750">SZM10</f>
        <v>95000</v>
      </c>
      <c r="SZP10" s="1548"/>
      <c r="SZQ10" s="1547">
        <f t="shared" ref="SZQ10" si="6751">SZO10</f>
        <v>95000</v>
      </c>
      <c r="SZR10" s="1548"/>
      <c r="SZS10" s="1547">
        <f t="shared" ref="SZS10" si="6752">SZQ10</f>
        <v>95000</v>
      </c>
      <c r="SZT10" s="1548"/>
      <c r="SZU10" s="1547">
        <f t="shared" ref="SZU10" si="6753">SZS10</f>
        <v>95000</v>
      </c>
      <c r="SZV10" s="1548"/>
      <c r="SZW10" s="1547">
        <f t="shared" ref="SZW10" si="6754">SZU10</f>
        <v>95000</v>
      </c>
      <c r="SZX10" s="1548"/>
      <c r="SZY10" s="1547">
        <f t="shared" ref="SZY10" si="6755">SZW10</f>
        <v>95000</v>
      </c>
      <c r="SZZ10" s="1548"/>
      <c r="TAA10" s="1547">
        <f t="shared" ref="TAA10" si="6756">SZY10</f>
        <v>95000</v>
      </c>
      <c r="TAB10" s="1548"/>
      <c r="TAC10" s="1547">
        <f t="shared" ref="TAC10" si="6757">TAA10</f>
        <v>95000</v>
      </c>
      <c r="TAD10" s="1548"/>
      <c r="TAE10" s="1547">
        <f t="shared" ref="TAE10" si="6758">TAC10</f>
        <v>95000</v>
      </c>
      <c r="TAF10" s="1548"/>
      <c r="TAG10" s="1547">
        <f t="shared" ref="TAG10" si="6759">TAE10</f>
        <v>95000</v>
      </c>
      <c r="TAH10" s="1548"/>
      <c r="TAI10" s="1547">
        <f t="shared" ref="TAI10" si="6760">TAG10</f>
        <v>95000</v>
      </c>
      <c r="TAJ10" s="1548"/>
      <c r="TAK10" s="1547">
        <f t="shared" ref="TAK10" si="6761">TAI10</f>
        <v>95000</v>
      </c>
      <c r="TAL10" s="1548"/>
      <c r="TAM10" s="1547">
        <f t="shared" ref="TAM10" si="6762">TAK10</f>
        <v>95000</v>
      </c>
      <c r="TAN10" s="1548"/>
      <c r="TAO10" s="1547">
        <f t="shared" ref="TAO10" si="6763">TAM10</f>
        <v>95000</v>
      </c>
      <c r="TAP10" s="1548"/>
      <c r="TAQ10" s="1547">
        <f t="shared" ref="TAQ10" si="6764">TAO10</f>
        <v>95000</v>
      </c>
      <c r="TAR10" s="1548"/>
      <c r="TAS10" s="1547">
        <f t="shared" ref="TAS10" si="6765">TAQ10</f>
        <v>95000</v>
      </c>
      <c r="TAT10" s="1548"/>
      <c r="TAU10" s="1547">
        <f t="shared" ref="TAU10" si="6766">TAS10</f>
        <v>95000</v>
      </c>
      <c r="TAV10" s="1548"/>
      <c r="TAW10" s="1547">
        <f t="shared" ref="TAW10" si="6767">TAU10</f>
        <v>95000</v>
      </c>
      <c r="TAX10" s="1548"/>
      <c r="TAY10" s="1547">
        <f t="shared" ref="TAY10" si="6768">TAW10</f>
        <v>95000</v>
      </c>
      <c r="TAZ10" s="1548"/>
      <c r="TBA10" s="1547">
        <f t="shared" ref="TBA10" si="6769">TAY10</f>
        <v>95000</v>
      </c>
      <c r="TBB10" s="1548"/>
      <c r="TBC10" s="1547">
        <f t="shared" ref="TBC10" si="6770">TBA10</f>
        <v>95000</v>
      </c>
      <c r="TBD10" s="1548"/>
      <c r="TBE10" s="1547">
        <f t="shared" ref="TBE10" si="6771">TBC10</f>
        <v>95000</v>
      </c>
      <c r="TBF10" s="1548"/>
      <c r="TBG10" s="1547">
        <f t="shared" ref="TBG10" si="6772">TBE10</f>
        <v>95000</v>
      </c>
      <c r="TBH10" s="1548"/>
      <c r="TBI10" s="1547">
        <f t="shared" ref="TBI10" si="6773">TBG10</f>
        <v>95000</v>
      </c>
      <c r="TBJ10" s="1548"/>
      <c r="TBK10" s="1547">
        <f t="shared" ref="TBK10" si="6774">TBI10</f>
        <v>95000</v>
      </c>
      <c r="TBL10" s="1548"/>
      <c r="TBM10" s="1547">
        <f t="shared" ref="TBM10" si="6775">TBK10</f>
        <v>95000</v>
      </c>
      <c r="TBN10" s="1548"/>
      <c r="TBO10" s="1547">
        <f t="shared" ref="TBO10" si="6776">TBM10</f>
        <v>95000</v>
      </c>
      <c r="TBP10" s="1548"/>
      <c r="TBQ10" s="1547">
        <f t="shared" ref="TBQ10" si="6777">TBO10</f>
        <v>95000</v>
      </c>
      <c r="TBR10" s="1548"/>
      <c r="TBS10" s="1547">
        <f t="shared" ref="TBS10" si="6778">TBQ10</f>
        <v>95000</v>
      </c>
      <c r="TBT10" s="1548"/>
      <c r="TBU10" s="1547">
        <f t="shared" ref="TBU10" si="6779">TBS10</f>
        <v>95000</v>
      </c>
      <c r="TBV10" s="1548"/>
      <c r="TBW10" s="1547">
        <f t="shared" ref="TBW10" si="6780">TBU10</f>
        <v>95000</v>
      </c>
      <c r="TBX10" s="1548"/>
      <c r="TBY10" s="1547">
        <f t="shared" ref="TBY10" si="6781">TBW10</f>
        <v>95000</v>
      </c>
      <c r="TBZ10" s="1548"/>
      <c r="TCA10" s="1547">
        <f t="shared" ref="TCA10" si="6782">TBY10</f>
        <v>95000</v>
      </c>
      <c r="TCB10" s="1548"/>
      <c r="TCC10" s="1547">
        <f t="shared" ref="TCC10" si="6783">TCA10</f>
        <v>95000</v>
      </c>
      <c r="TCD10" s="1548"/>
      <c r="TCE10" s="1547">
        <f t="shared" ref="TCE10" si="6784">TCC10</f>
        <v>95000</v>
      </c>
      <c r="TCF10" s="1548"/>
      <c r="TCG10" s="1547">
        <f t="shared" ref="TCG10" si="6785">TCE10</f>
        <v>95000</v>
      </c>
      <c r="TCH10" s="1548"/>
      <c r="TCI10" s="1547">
        <f t="shared" ref="TCI10" si="6786">TCG10</f>
        <v>95000</v>
      </c>
      <c r="TCJ10" s="1548"/>
      <c r="TCK10" s="1547">
        <f t="shared" ref="TCK10" si="6787">TCI10</f>
        <v>95000</v>
      </c>
      <c r="TCL10" s="1548"/>
      <c r="TCM10" s="1547">
        <f t="shared" ref="TCM10" si="6788">TCK10</f>
        <v>95000</v>
      </c>
      <c r="TCN10" s="1548"/>
      <c r="TCO10" s="1547">
        <f t="shared" ref="TCO10" si="6789">TCM10</f>
        <v>95000</v>
      </c>
      <c r="TCP10" s="1548"/>
      <c r="TCQ10" s="1547">
        <f t="shared" ref="TCQ10" si="6790">TCO10</f>
        <v>95000</v>
      </c>
      <c r="TCR10" s="1548"/>
      <c r="TCS10" s="1547">
        <f t="shared" ref="TCS10" si="6791">TCQ10</f>
        <v>95000</v>
      </c>
      <c r="TCT10" s="1548"/>
      <c r="TCU10" s="1547">
        <f t="shared" ref="TCU10" si="6792">TCS10</f>
        <v>95000</v>
      </c>
      <c r="TCV10" s="1548"/>
      <c r="TCW10" s="1547">
        <f t="shared" ref="TCW10" si="6793">TCU10</f>
        <v>95000</v>
      </c>
      <c r="TCX10" s="1548"/>
      <c r="TCY10" s="1547">
        <f t="shared" ref="TCY10" si="6794">TCW10</f>
        <v>95000</v>
      </c>
      <c r="TCZ10" s="1548"/>
      <c r="TDA10" s="1547">
        <f t="shared" ref="TDA10" si="6795">TCY10</f>
        <v>95000</v>
      </c>
      <c r="TDB10" s="1548"/>
      <c r="TDC10" s="1547">
        <f t="shared" ref="TDC10" si="6796">TDA10</f>
        <v>95000</v>
      </c>
      <c r="TDD10" s="1548"/>
      <c r="TDE10" s="1547">
        <f t="shared" ref="TDE10" si="6797">TDC10</f>
        <v>95000</v>
      </c>
      <c r="TDF10" s="1548"/>
      <c r="TDG10" s="1547">
        <f t="shared" ref="TDG10" si="6798">TDE10</f>
        <v>95000</v>
      </c>
      <c r="TDH10" s="1548"/>
      <c r="TDI10" s="1547">
        <f t="shared" ref="TDI10" si="6799">TDG10</f>
        <v>95000</v>
      </c>
      <c r="TDJ10" s="1548"/>
      <c r="TDK10" s="1547">
        <f t="shared" ref="TDK10" si="6800">TDI10</f>
        <v>95000</v>
      </c>
      <c r="TDL10" s="1548"/>
      <c r="TDM10" s="1547">
        <f t="shared" ref="TDM10" si="6801">TDK10</f>
        <v>95000</v>
      </c>
      <c r="TDN10" s="1548"/>
      <c r="TDO10" s="1547">
        <f t="shared" ref="TDO10" si="6802">TDM10</f>
        <v>95000</v>
      </c>
      <c r="TDP10" s="1548"/>
      <c r="TDQ10" s="1547">
        <f t="shared" ref="TDQ10" si="6803">TDO10</f>
        <v>95000</v>
      </c>
      <c r="TDR10" s="1548"/>
      <c r="TDS10" s="1547">
        <f t="shared" ref="TDS10" si="6804">TDQ10</f>
        <v>95000</v>
      </c>
      <c r="TDT10" s="1548"/>
      <c r="TDU10" s="1547">
        <f t="shared" ref="TDU10" si="6805">TDS10</f>
        <v>95000</v>
      </c>
      <c r="TDV10" s="1548"/>
      <c r="TDW10" s="1547">
        <f t="shared" ref="TDW10" si="6806">TDU10</f>
        <v>95000</v>
      </c>
      <c r="TDX10" s="1548"/>
      <c r="TDY10" s="1547">
        <f t="shared" ref="TDY10" si="6807">TDW10</f>
        <v>95000</v>
      </c>
      <c r="TDZ10" s="1548"/>
      <c r="TEA10" s="1547">
        <f t="shared" ref="TEA10" si="6808">TDY10</f>
        <v>95000</v>
      </c>
      <c r="TEB10" s="1548"/>
      <c r="TEC10" s="1547">
        <f t="shared" ref="TEC10" si="6809">TEA10</f>
        <v>95000</v>
      </c>
      <c r="TED10" s="1548"/>
      <c r="TEE10" s="1547">
        <f t="shared" ref="TEE10" si="6810">TEC10</f>
        <v>95000</v>
      </c>
      <c r="TEF10" s="1548"/>
      <c r="TEG10" s="1547">
        <f t="shared" ref="TEG10" si="6811">TEE10</f>
        <v>95000</v>
      </c>
      <c r="TEH10" s="1548"/>
      <c r="TEI10" s="1547">
        <f t="shared" ref="TEI10" si="6812">TEG10</f>
        <v>95000</v>
      </c>
      <c r="TEJ10" s="1548"/>
      <c r="TEK10" s="1547">
        <f t="shared" ref="TEK10" si="6813">TEI10</f>
        <v>95000</v>
      </c>
      <c r="TEL10" s="1548"/>
      <c r="TEM10" s="1547">
        <f t="shared" ref="TEM10" si="6814">TEK10</f>
        <v>95000</v>
      </c>
      <c r="TEN10" s="1548"/>
      <c r="TEO10" s="1547">
        <f t="shared" ref="TEO10" si="6815">TEM10</f>
        <v>95000</v>
      </c>
      <c r="TEP10" s="1548"/>
      <c r="TEQ10" s="1547">
        <f t="shared" ref="TEQ10" si="6816">TEO10</f>
        <v>95000</v>
      </c>
      <c r="TER10" s="1548"/>
      <c r="TES10" s="1547">
        <f t="shared" ref="TES10" si="6817">TEQ10</f>
        <v>95000</v>
      </c>
      <c r="TET10" s="1548"/>
      <c r="TEU10" s="1547">
        <f t="shared" ref="TEU10" si="6818">TES10</f>
        <v>95000</v>
      </c>
      <c r="TEV10" s="1548"/>
      <c r="TEW10" s="1547">
        <f t="shared" ref="TEW10" si="6819">TEU10</f>
        <v>95000</v>
      </c>
      <c r="TEX10" s="1548"/>
      <c r="TEY10" s="1547">
        <f t="shared" ref="TEY10" si="6820">TEW10</f>
        <v>95000</v>
      </c>
      <c r="TEZ10" s="1548"/>
      <c r="TFA10" s="1547">
        <f t="shared" ref="TFA10" si="6821">TEY10</f>
        <v>95000</v>
      </c>
      <c r="TFB10" s="1548"/>
      <c r="TFC10" s="1547">
        <f t="shared" ref="TFC10" si="6822">TFA10</f>
        <v>95000</v>
      </c>
      <c r="TFD10" s="1548"/>
      <c r="TFE10" s="1547">
        <f t="shared" ref="TFE10" si="6823">TFC10</f>
        <v>95000</v>
      </c>
      <c r="TFF10" s="1548"/>
      <c r="TFG10" s="1547">
        <f t="shared" ref="TFG10" si="6824">TFE10</f>
        <v>95000</v>
      </c>
      <c r="TFH10" s="1548"/>
      <c r="TFI10" s="1547">
        <f t="shared" ref="TFI10" si="6825">TFG10</f>
        <v>95000</v>
      </c>
      <c r="TFJ10" s="1548"/>
      <c r="TFK10" s="1547">
        <f t="shared" ref="TFK10" si="6826">TFI10</f>
        <v>95000</v>
      </c>
      <c r="TFL10" s="1548"/>
      <c r="TFM10" s="1547">
        <f t="shared" ref="TFM10" si="6827">TFK10</f>
        <v>95000</v>
      </c>
      <c r="TFN10" s="1548"/>
      <c r="TFO10" s="1547">
        <f t="shared" ref="TFO10" si="6828">TFM10</f>
        <v>95000</v>
      </c>
      <c r="TFP10" s="1548"/>
      <c r="TFQ10" s="1547">
        <f t="shared" ref="TFQ10" si="6829">TFO10</f>
        <v>95000</v>
      </c>
      <c r="TFR10" s="1548"/>
      <c r="TFS10" s="1547">
        <f t="shared" ref="TFS10" si="6830">TFQ10</f>
        <v>95000</v>
      </c>
      <c r="TFT10" s="1548"/>
      <c r="TFU10" s="1547">
        <f t="shared" ref="TFU10" si="6831">TFS10</f>
        <v>95000</v>
      </c>
      <c r="TFV10" s="1548"/>
      <c r="TFW10" s="1547">
        <f t="shared" ref="TFW10" si="6832">TFU10</f>
        <v>95000</v>
      </c>
      <c r="TFX10" s="1548"/>
      <c r="TFY10" s="1547">
        <f t="shared" ref="TFY10" si="6833">TFW10</f>
        <v>95000</v>
      </c>
      <c r="TFZ10" s="1548"/>
      <c r="TGA10" s="1547">
        <f t="shared" ref="TGA10" si="6834">TFY10</f>
        <v>95000</v>
      </c>
      <c r="TGB10" s="1548"/>
      <c r="TGC10" s="1547">
        <f t="shared" ref="TGC10" si="6835">TGA10</f>
        <v>95000</v>
      </c>
      <c r="TGD10" s="1548"/>
      <c r="TGE10" s="1547">
        <f t="shared" ref="TGE10" si="6836">TGC10</f>
        <v>95000</v>
      </c>
      <c r="TGF10" s="1548"/>
      <c r="TGG10" s="1547">
        <f t="shared" ref="TGG10" si="6837">TGE10</f>
        <v>95000</v>
      </c>
      <c r="TGH10" s="1548"/>
      <c r="TGI10" s="1547">
        <f t="shared" ref="TGI10" si="6838">TGG10</f>
        <v>95000</v>
      </c>
      <c r="TGJ10" s="1548"/>
      <c r="TGK10" s="1547">
        <f t="shared" ref="TGK10" si="6839">TGI10</f>
        <v>95000</v>
      </c>
      <c r="TGL10" s="1548"/>
      <c r="TGM10" s="1547">
        <f t="shared" ref="TGM10" si="6840">TGK10</f>
        <v>95000</v>
      </c>
      <c r="TGN10" s="1548"/>
      <c r="TGO10" s="1547">
        <f t="shared" ref="TGO10" si="6841">TGM10</f>
        <v>95000</v>
      </c>
      <c r="TGP10" s="1548"/>
      <c r="TGQ10" s="1547">
        <f t="shared" ref="TGQ10" si="6842">TGO10</f>
        <v>95000</v>
      </c>
      <c r="TGR10" s="1548"/>
      <c r="TGS10" s="1547">
        <f t="shared" ref="TGS10" si="6843">TGQ10</f>
        <v>95000</v>
      </c>
      <c r="TGT10" s="1548"/>
      <c r="TGU10" s="1547">
        <f t="shared" ref="TGU10" si="6844">TGS10</f>
        <v>95000</v>
      </c>
      <c r="TGV10" s="1548"/>
      <c r="TGW10" s="1547">
        <f t="shared" ref="TGW10" si="6845">TGU10</f>
        <v>95000</v>
      </c>
      <c r="TGX10" s="1548"/>
      <c r="TGY10" s="1547">
        <f t="shared" ref="TGY10" si="6846">TGW10</f>
        <v>95000</v>
      </c>
      <c r="TGZ10" s="1548"/>
      <c r="THA10" s="1547">
        <f t="shared" ref="THA10" si="6847">TGY10</f>
        <v>95000</v>
      </c>
      <c r="THB10" s="1548"/>
      <c r="THC10" s="1547">
        <f t="shared" ref="THC10" si="6848">THA10</f>
        <v>95000</v>
      </c>
      <c r="THD10" s="1548"/>
      <c r="THE10" s="1547">
        <f t="shared" ref="THE10" si="6849">THC10</f>
        <v>95000</v>
      </c>
      <c r="THF10" s="1548"/>
      <c r="THG10" s="1547">
        <f t="shared" ref="THG10" si="6850">THE10</f>
        <v>95000</v>
      </c>
      <c r="THH10" s="1548"/>
      <c r="THI10" s="1547">
        <f t="shared" ref="THI10" si="6851">THG10</f>
        <v>95000</v>
      </c>
      <c r="THJ10" s="1548"/>
      <c r="THK10" s="1547">
        <f t="shared" ref="THK10" si="6852">THI10</f>
        <v>95000</v>
      </c>
      <c r="THL10" s="1548"/>
      <c r="THM10" s="1547">
        <f t="shared" ref="THM10" si="6853">THK10</f>
        <v>95000</v>
      </c>
      <c r="THN10" s="1548"/>
      <c r="THO10" s="1547">
        <f t="shared" ref="THO10" si="6854">THM10</f>
        <v>95000</v>
      </c>
      <c r="THP10" s="1548"/>
      <c r="THQ10" s="1547">
        <f t="shared" ref="THQ10" si="6855">THO10</f>
        <v>95000</v>
      </c>
      <c r="THR10" s="1548"/>
      <c r="THS10" s="1547">
        <f t="shared" ref="THS10" si="6856">THQ10</f>
        <v>95000</v>
      </c>
      <c r="THT10" s="1548"/>
      <c r="THU10" s="1547">
        <f t="shared" ref="THU10" si="6857">THS10</f>
        <v>95000</v>
      </c>
      <c r="THV10" s="1548"/>
      <c r="THW10" s="1547">
        <f t="shared" ref="THW10" si="6858">THU10</f>
        <v>95000</v>
      </c>
      <c r="THX10" s="1548"/>
      <c r="THY10" s="1547">
        <f t="shared" ref="THY10" si="6859">THW10</f>
        <v>95000</v>
      </c>
      <c r="THZ10" s="1548"/>
      <c r="TIA10" s="1547">
        <f t="shared" ref="TIA10" si="6860">THY10</f>
        <v>95000</v>
      </c>
      <c r="TIB10" s="1548"/>
      <c r="TIC10" s="1547">
        <f t="shared" ref="TIC10" si="6861">TIA10</f>
        <v>95000</v>
      </c>
      <c r="TID10" s="1548"/>
      <c r="TIE10" s="1547">
        <f t="shared" ref="TIE10" si="6862">TIC10</f>
        <v>95000</v>
      </c>
      <c r="TIF10" s="1548"/>
      <c r="TIG10" s="1547">
        <f t="shared" ref="TIG10" si="6863">TIE10</f>
        <v>95000</v>
      </c>
      <c r="TIH10" s="1548"/>
      <c r="TII10" s="1547">
        <f t="shared" ref="TII10" si="6864">TIG10</f>
        <v>95000</v>
      </c>
      <c r="TIJ10" s="1548"/>
      <c r="TIK10" s="1547">
        <f t="shared" ref="TIK10" si="6865">TII10</f>
        <v>95000</v>
      </c>
      <c r="TIL10" s="1548"/>
      <c r="TIM10" s="1547">
        <f t="shared" ref="TIM10" si="6866">TIK10</f>
        <v>95000</v>
      </c>
      <c r="TIN10" s="1548"/>
      <c r="TIO10" s="1547">
        <f t="shared" ref="TIO10" si="6867">TIM10</f>
        <v>95000</v>
      </c>
      <c r="TIP10" s="1548"/>
      <c r="TIQ10" s="1547">
        <f t="shared" ref="TIQ10" si="6868">TIO10</f>
        <v>95000</v>
      </c>
      <c r="TIR10" s="1548"/>
      <c r="TIS10" s="1547">
        <f t="shared" ref="TIS10" si="6869">TIQ10</f>
        <v>95000</v>
      </c>
      <c r="TIT10" s="1548"/>
      <c r="TIU10" s="1547">
        <f t="shared" ref="TIU10" si="6870">TIS10</f>
        <v>95000</v>
      </c>
      <c r="TIV10" s="1548"/>
      <c r="TIW10" s="1547">
        <f t="shared" ref="TIW10" si="6871">TIU10</f>
        <v>95000</v>
      </c>
      <c r="TIX10" s="1548"/>
      <c r="TIY10" s="1547">
        <f t="shared" ref="TIY10" si="6872">TIW10</f>
        <v>95000</v>
      </c>
      <c r="TIZ10" s="1548"/>
      <c r="TJA10" s="1547">
        <f t="shared" ref="TJA10" si="6873">TIY10</f>
        <v>95000</v>
      </c>
      <c r="TJB10" s="1548"/>
      <c r="TJC10" s="1547">
        <f t="shared" ref="TJC10" si="6874">TJA10</f>
        <v>95000</v>
      </c>
      <c r="TJD10" s="1548"/>
      <c r="TJE10" s="1547">
        <f t="shared" ref="TJE10" si="6875">TJC10</f>
        <v>95000</v>
      </c>
      <c r="TJF10" s="1548"/>
      <c r="TJG10" s="1547">
        <f t="shared" ref="TJG10" si="6876">TJE10</f>
        <v>95000</v>
      </c>
      <c r="TJH10" s="1548"/>
      <c r="TJI10" s="1547">
        <f t="shared" ref="TJI10" si="6877">TJG10</f>
        <v>95000</v>
      </c>
      <c r="TJJ10" s="1548"/>
      <c r="TJK10" s="1547">
        <f t="shared" ref="TJK10" si="6878">TJI10</f>
        <v>95000</v>
      </c>
      <c r="TJL10" s="1548"/>
      <c r="TJM10" s="1547">
        <f t="shared" ref="TJM10" si="6879">TJK10</f>
        <v>95000</v>
      </c>
      <c r="TJN10" s="1548"/>
      <c r="TJO10" s="1547">
        <f t="shared" ref="TJO10" si="6880">TJM10</f>
        <v>95000</v>
      </c>
      <c r="TJP10" s="1548"/>
      <c r="TJQ10" s="1547">
        <f t="shared" ref="TJQ10" si="6881">TJO10</f>
        <v>95000</v>
      </c>
      <c r="TJR10" s="1548"/>
      <c r="TJS10" s="1547">
        <f t="shared" ref="TJS10" si="6882">TJQ10</f>
        <v>95000</v>
      </c>
      <c r="TJT10" s="1548"/>
      <c r="TJU10" s="1547">
        <f t="shared" ref="TJU10" si="6883">TJS10</f>
        <v>95000</v>
      </c>
      <c r="TJV10" s="1548"/>
      <c r="TJW10" s="1547">
        <f t="shared" ref="TJW10" si="6884">TJU10</f>
        <v>95000</v>
      </c>
      <c r="TJX10" s="1548"/>
      <c r="TJY10" s="1547">
        <f t="shared" ref="TJY10" si="6885">TJW10</f>
        <v>95000</v>
      </c>
      <c r="TJZ10" s="1548"/>
      <c r="TKA10" s="1547">
        <f t="shared" ref="TKA10" si="6886">TJY10</f>
        <v>95000</v>
      </c>
      <c r="TKB10" s="1548"/>
      <c r="TKC10" s="1547">
        <f t="shared" ref="TKC10" si="6887">TKA10</f>
        <v>95000</v>
      </c>
      <c r="TKD10" s="1548"/>
      <c r="TKE10" s="1547">
        <f t="shared" ref="TKE10" si="6888">TKC10</f>
        <v>95000</v>
      </c>
      <c r="TKF10" s="1548"/>
      <c r="TKG10" s="1547">
        <f t="shared" ref="TKG10" si="6889">TKE10</f>
        <v>95000</v>
      </c>
      <c r="TKH10" s="1548"/>
      <c r="TKI10" s="1547">
        <f t="shared" ref="TKI10" si="6890">TKG10</f>
        <v>95000</v>
      </c>
      <c r="TKJ10" s="1548"/>
      <c r="TKK10" s="1547">
        <f t="shared" ref="TKK10" si="6891">TKI10</f>
        <v>95000</v>
      </c>
      <c r="TKL10" s="1548"/>
      <c r="TKM10" s="1547">
        <f t="shared" ref="TKM10" si="6892">TKK10</f>
        <v>95000</v>
      </c>
      <c r="TKN10" s="1548"/>
      <c r="TKO10" s="1547">
        <f t="shared" ref="TKO10" si="6893">TKM10</f>
        <v>95000</v>
      </c>
      <c r="TKP10" s="1548"/>
      <c r="TKQ10" s="1547">
        <f t="shared" ref="TKQ10" si="6894">TKO10</f>
        <v>95000</v>
      </c>
      <c r="TKR10" s="1548"/>
      <c r="TKS10" s="1547">
        <f t="shared" ref="TKS10" si="6895">TKQ10</f>
        <v>95000</v>
      </c>
      <c r="TKT10" s="1548"/>
      <c r="TKU10" s="1547">
        <f t="shared" ref="TKU10" si="6896">TKS10</f>
        <v>95000</v>
      </c>
      <c r="TKV10" s="1548"/>
      <c r="TKW10" s="1547">
        <f t="shared" ref="TKW10" si="6897">TKU10</f>
        <v>95000</v>
      </c>
      <c r="TKX10" s="1548"/>
      <c r="TKY10" s="1547">
        <f t="shared" ref="TKY10" si="6898">TKW10</f>
        <v>95000</v>
      </c>
      <c r="TKZ10" s="1548"/>
      <c r="TLA10" s="1547">
        <f t="shared" ref="TLA10" si="6899">TKY10</f>
        <v>95000</v>
      </c>
      <c r="TLB10" s="1548"/>
      <c r="TLC10" s="1547">
        <f t="shared" ref="TLC10" si="6900">TLA10</f>
        <v>95000</v>
      </c>
      <c r="TLD10" s="1548"/>
      <c r="TLE10" s="1547">
        <f t="shared" ref="TLE10" si="6901">TLC10</f>
        <v>95000</v>
      </c>
      <c r="TLF10" s="1548"/>
      <c r="TLG10" s="1547">
        <f t="shared" ref="TLG10" si="6902">TLE10</f>
        <v>95000</v>
      </c>
      <c r="TLH10" s="1548"/>
      <c r="TLI10" s="1547">
        <f t="shared" ref="TLI10" si="6903">TLG10</f>
        <v>95000</v>
      </c>
      <c r="TLJ10" s="1548"/>
      <c r="TLK10" s="1547">
        <f t="shared" ref="TLK10" si="6904">TLI10</f>
        <v>95000</v>
      </c>
      <c r="TLL10" s="1548"/>
      <c r="TLM10" s="1547">
        <f t="shared" ref="TLM10" si="6905">TLK10</f>
        <v>95000</v>
      </c>
      <c r="TLN10" s="1548"/>
      <c r="TLO10" s="1547">
        <f t="shared" ref="TLO10" si="6906">TLM10</f>
        <v>95000</v>
      </c>
      <c r="TLP10" s="1548"/>
      <c r="TLQ10" s="1547">
        <f t="shared" ref="TLQ10" si="6907">TLO10</f>
        <v>95000</v>
      </c>
      <c r="TLR10" s="1548"/>
      <c r="TLS10" s="1547">
        <f t="shared" ref="TLS10" si="6908">TLQ10</f>
        <v>95000</v>
      </c>
      <c r="TLT10" s="1548"/>
      <c r="TLU10" s="1547">
        <f t="shared" ref="TLU10" si="6909">TLS10</f>
        <v>95000</v>
      </c>
      <c r="TLV10" s="1548"/>
      <c r="TLW10" s="1547">
        <f t="shared" ref="TLW10" si="6910">TLU10</f>
        <v>95000</v>
      </c>
      <c r="TLX10" s="1548"/>
      <c r="TLY10" s="1547">
        <f t="shared" ref="TLY10" si="6911">TLW10</f>
        <v>95000</v>
      </c>
      <c r="TLZ10" s="1548"/>
      <c r="TMA10" s="1547">
        <f t="shared" ref="TMA10" si="6912">TLY10</f>
        <v>95000</v>
      </c>
      <c r="TMB10" s="1548"/>
      <c r="TMC10" s="1547">
        <f t="shared" ref="TMC10" si="6913">TMA10</f>
        <v>95000</v>
      </c>
      <c r="TMD10" s="1548"/>
      <c r="TME10" s="1547">
        <f t="shared" ref="TME10" si="6914">TMC10</f>
        <v>95000</v>
      </c>
      <c r="TMF10" s="1548"/>
      <c r="TMG10" s="1547">
        <f t="shared" ref="TMG10" si="6915">TME10</f>
        <v>95000</v>
      </c>
      <c r="TMH10" s="1548"/>
      <c r="TMI10" s="1547">
        <f t="shared" ref="TMI10" si="6916">TMG10</f>
        <v>95000</v>
      </c>
      <c r="TMJ10" s="1548"/>
      <c r="TMK10" s="1547">
        <f t="shared" ref="TMK10" si="6917">TMI10</f>
        <v>95000</v>
      </c>
      <c r="TML10" s="1548"/>
      <c r="TMM10" s="1547">
        <f t="shared" ref="TMM10" si="6918">TMK10</f>
        <v>95000</v>
      </c>
      <c r="TMN10" s="1548"/>
      <c r="TMO10" s="1547">
        <f t="shared" ref="TMO10" si="6919">TMM10</f>
        <v>95000</v>
      </c>
      <c r="TMP10" s="1548"/>
      <c r="TMQ10" s="1547">
        <f t="shared" ref="TMQ10" si="6920">TMO10</f>
        <v>95000</v>
      </c>
      <c r="TMR10" s="1548"/>
      <c r="TMS10" s="1547">
        <f t="shared" ref="TMS10" si="6921">TMQ10</f>
        <v>95000</v>
      </c>
      <c r="TMT10" s="1548"/>
      <c r="TMU10" s="1547">
        <f t="shared" ref="TMU10" si="6922">TMS10</f>
        <v>95000</v>
      </c>
      <c r="TMV10" s="1548"/>
      <c r="TMW10" s="1547">
        <f t="shared" ref="TMW10" si="6923">TMU10</f>
        <v>95000</v>
      </c>
      <c r="TMX10" s="1548"/>
      <c r="TMY10" s="1547">
        <f t="shared" ref="TMY10" si="6924">TMW10</f>
        <v>95000</v>
      </c>
      <c r="TMZ10" s="1548"/>
      <c r="TNA10" s="1547">
        <f t="shared" ref="TNA10" si="6925">TMY10</f>
        <v>95000</v>
      </c>
      <c r="TNB10" s="1548"/>
      <c r="TNC10" s="1547">
        <f t="shared" ref="TNC10" si="6926">TNA10</f>
        <v>95000</v>
      </c>
      <c r="TND10" s="1548"/>
      <c r="TNE10" s="1547">
        <f t="shared" ref="TNE10" si="6927">TNC10</f>
        <v>95000</v>
      </c>
      <c r="TNF10" s="1548"/>
      <c r="TNG10" s="1547">
        <f t="shared" ref="TNG10" si="6928">TNE10</f>
        <v>95000</v>
      </c>
      <c r="TNH10" s="1548"/>
      <c r="TNI10" s="1547">
        <f t="shared" ref="TNI10" si="6929">TNG10</f>
        <v>95000</v>
      </c>
      <c r="TNJ10" s="1548"/>
      <c r="TNK10" s="1547">
        <f t="shared" ref="TNK10" si="6930">TNI10</f>
        <v>95000</v>
      </c>
      <c r="TNL10" s="1548"/>
      <c r="TNM10" s="1547">
        <f t="shared" ref="TNM10" si="6931">TNK10</f>
        <v>95000</v>
      </c>
      <c r="TNN10" s="1548"/>
      <c r="TNO10" s="1547">
        <f t="shared" ref="TNO10" si="6932">TNM10</f>
        <v>95000</v>
      </c>
      <c r="TNP10" s="1548"/>
      <c r="TNQ10" s="1547">
        <f t="shared" ref="TNQ10" si="6933">TNO10</f>
        <v>95000</v>
      </c>
      <c r="TNR10" s="1548"/>
      <c r="TNS10" s="1547">
        <f t="shared" ref="TNS10" si="6934">TNQ10</f>
        <v>95000</v>
      </c>
      <c r="TNT10" s="1548"/>
      <c r="TNU10" s="1547">
        <f t="shared" ref="TNU10" si="6935">TNS10</f>
        <v>95000</v>
      </c>
      <c r="TNV10" s="1548"/>
      <c r="TNW10" s="1547">
        <f t="shared" ref="TNW10" si="6936">TNU10</f>
        <v>95000</v>
      </c>
      <c r="TNX10" s="1548"/>
      <c r="TNY10" s="1547">
        <f t="shared" ref="TNY10" si="6937">TNW10</f>
        <v>95000</v>
      </c>
      <c r="TNZ10" s="1548"/>
      <c r="TOA10" s="1547">
        <f t="shared" ref="TOA10" si="6938">TNY10</f>
        <v>95000</v>
      </c>
      <c r="TOB10" s="1548"/>
      <c r="TOC10" s="1547">
        <f t="shared" ref="TOC10" si="6939">TOA10</f>
        <v>95000</v>
      </c>
      <c r="TOD10" s="1548"/>
      <c r="TOE10" s="1547">
        <f t="shared" ref="TOE10" si="6940">TOC10</f>
        <v>95000</v>
      </c>
      <c r="TOF10" s="1548"/>
      <c r="TOG10" s="1547">
        <f t="shared" ref="TOG10" si="6941">TOE10</f>
        <v>95000</v>
      </c>
      <c r="TOH10" s="1548"/>
      <c r="TOI10" s="1547">
        <f t="shared" ref="TOI10" si="6942">TOG10</f>
        <v>95000</v>
      </c>
      <c r="TOJ10" s="1548"/>
      <c r="TOK10" s="1547">
        <f t="shared" ref="TOK10" si="6943">TOI10</f>
        <v>95000</v>
      </c>
      <c r="TOL10" s="1548"/>
      <c r="TOM10" s="1547">
        <f t="shared" ref="TOM10" si="6944">TOK10</f>
        <v>95000</v>
      </c>
      <c r="TON10" s="1548"/>
      <c r="TOO10" s="1547">
        <f t="shared" ref="TOO10" si="6945">TOM10</f>
        <v>95000</v>
      </c>
      <c r="TOP10" s="1548"/>
      <c r="TOQ10" s="1547">
        <f t="shared" ref="TOQ10" si="6946">TOO10</f>
        <v>95000</v>
      </c>
      <c r="TOR10" s="1548"/>
      <c r="TOS10" s="1547">
        <f t="shared" ref="TOS10" si="6947">TOQ10</f>
        <v>95000</v>
      </c>
      <c r="TOT10" s="1548"/>
      <c r="TOU10" s="1547">
        <f t="shared" ref="TOU10" si="6948">TOS10</f>
        <v>95000</v>
      </c>
      <c r="TOV10" s="1548"/>
      <c r="TOW10" s="1547">
        <f t="shared" ref="TOW10" si="6949">TOU10</f>
        <v>95000</v>
      </c>
      <c r="TOX10" s="1548"/>
      <c r="TOY10" s="1547">
        <f t="shared" ref="TOY10" si="6950">TOW10</f>
        <v>95000</v>
      </c>
      <c r="TOZ10" s="1548"/>
      <c r="TPA10" s="1547">
        <f t="shared" ref="TPA10" si="6951">TOY10</f>
        <v>95000</v>
      </c>
      <c r="TPB10" s="1548"/>
      <c r="TPC10" s="1547">
        <f t="shared" ref="TPC10" si="6952">TPA10</f>
        <v>95000</v>
      </c>
      <c r="TPD10" s="1548"/>
      <c r="TPE10" s="1547">
        <f t="shared" ref="TPE10" si="6953">TPC10</f>
        <v>95000</v>
      </c>
      <c r="TPF10" s="1548"/>
      <c r="TPG10" s="1547">
        <f t="shared" ref="TPG10" si="6954">TPE10</f>
        <v>95000</v>
      </c>
      <c r="TPH10" s="1548"/>
      <c r="TPI10" s="1547">
        <f t="shared" ref="TPI10" si="6955">TPG10</f>
        <v>95000</v>
      </c>
      <c r="TPJ10" s="1548"/>
      <c r="TPK10" s="1547">
        <f t="shared" ref="TPK10" si="6956">TPI10</f>
        <v>95000</v>
      </c>
      <c r="TPL10" s="1548"/>
      <c r="TPM10" s="1547">
        <f t="shared" ref="TPM10" si="6957">TPK10</f>
        <v>95000</v>
      </c>
      <c r="TPN10" s="1548"/>
      <c r="TPO10" s="1547">
        <f t="shared" ref="TPO10" si="6958">TPM10</f>
        <v>95000</v>
      </c>
      <c r="TPP10" s="1548"/>
      <c r="TPQ10" s="1547">
        <f t="shared" ref="TPQ10" si="6959">TPO10</f>
        <v>95000</v>
      </c>
      <c r="TPR10" s="1548"/>
      <c r="TPS10" s="1547">
        <f t="shared" ref="TPS10" si="6960">TPQ10</f>
        <v>95000</v>
      </c>
      <c r="TPT10" s="1548"/>
      <c r="TPU10" s="1547">
        <f t="shared" ref="TPU10" si="6961">TPS10</f>
        <v>95000</v>
      </c>
      <c r="TPV10" s="1548"/>
      <c r="TPW10" s="1547">
        <f t="shared" ref="TPW10" si="6962">TPU10</f>
        <v>95000</v>
      </c>
      <c r="TPX10" s="1548"/>
      <c r="TPY10" s="1547">
        <f t="shared" ref="TPY10" si="6963">TPW10</f>
        <v>95000</v>
      </c>
      <c r="TPZ10" s="1548"/>
      <c r="TQA10" s="1547">
        <f t="shared" ref="TQA10" si="6964">TPY10</f>
        <v>95000</v>
      </c>
      <c r="TQB10" s="1548"/>
      <c r="TQC10" s="1547">
        <f t="shared" ref="TQC10" si="6965">TQA10</f>
        <v>95000</v>
      </c>
      <c r="TQD10" s="1548"/>
      <c r="TQE10" s="1547">
        <f t="shared" ref="TQE10" si="6966">TQC10</f>
        <v>95000</v>
      </c>
      <c r="TQF10" s="1548"/>
      <c r="TQG10" s="1547">
        <f t="shared" ref="TQG10" si="6967">TQE10</f>
        <v>95000</v>
      </c>
      <c r="TQH10" s="1548"/>
      <c r="TQI10" s="1547">
        <f t="shared" ref="TQI10" si="6968">TQG10</f>
        <v>95000</v>
      </c>
      <c r="TQJ10" s="1548"/>
      <c r="TQK10" s="1547">
        <f t="shared" ref="TQK10" si="6969">TQI10</f>
        <v>95000</v>
      </c>
      <c r="TQL10" s="1548"/>
      <c r="TQM10" s="1547">
        <f t="shared" ref="TQM10" si="6970">TQK10</f>
        <v>95000</v>
      </c>
      <c r="TQN10" s="1548"/>
      <c r="TQO10" s="1547">
        <f t="shared" ref="TQO10" si="6971">TQM10</f>
        <v>95000</v>
      </c>
      <c r="TQP10" s="1548"/>
      <c r="TQQ10" s="1547">
        <f t="shared" ref="TQQ10" si="6972">TQO10</f>
        <v>95000</v>
      </c>
      <c r="TQR10" s="1548"/>
      <c r="TQS10" s="1547">
        <f t="shared" ref="TQS10" si="6973">TQQ10</f>
        <v>95000</v>
      </c>
      <c r="TQT10" s="1548"/>
      <c r="TQU10" s="1547">
        <f t="shared" ref="TQU10" si="6974">TQS10</f>
        <v>95000</v>
      </c>
      <c r="TQV10" s="1548"/>
      <c r="TQW10" s="1547">
        <f t="shared" ref="TQW10" si="6975">TQU10</f>
        <v>95000</v>
      </c>
      <c r="TQX10" s="1548"/>
      <c r="TQY10" s="1547">
        <f t="shared" ref="TQY10" si="6976">TQW10</f>
        <v>95000</v>
      </c>
      <c r="TQZ10" s="1548"/>
      <c r="TRA10" s="1547">
        <f t="shared" ref="TRA10" si="6977">TQY10</f>
        <v>95000</v>
      </c>
      <c r="TRB10" s="1548"/>
      <c r="TRC10" s="1547">
        <f t="shared" ref="TRC10" si="6978">TRA10</f>
        <v>95000</v>
      </c>
      <c r="TRD10" s="1548"/>
      <c r="TRE10" s="1547">
        <f t="shared" ref="TRE10" si="6979">TRC10</f>
        <v>95000</v>
      </c>
      <c r="TRF10" s="1548"/>
      <c r="TRG10" s="1547">
        <f t="shared" ref="TRG10" si="6980">TRE10</f>
        <v>95000</v>
      </c>
      <c r="TRH10" s="1548"/>
      <c r="TRI10" s="1547">
        <f t="shared" ref="TRI10" si="6981">TRG10</f>
        <v>95000</v>
      </c>
      <c r="TRJ10" s="1548"/>
      <c r="TRK10" s="1547">
        <f t="shared" ref="TRK10" si="6982">TRI10</f>
        <v>95000</v>
      </c>
      <c r="TRL10" s="1548"/>
      <c r="TRM10" s="1547">
        <f t="shared" ref="TRM10" si="6983">TRK10</f>
        <v>95000</v>
      </c>
      <c r="TRN10" s="1548"/>
      <c r="TRO10" s="1547">
        <f t="shared" ref="TRO10" si="6984">TRM10</f>
        <v>95000</v>
      </c>
      <c r="TRP10" s="1548"/>
      <c r="TRQ10" s="1547">
        <f t="shared" ref="TRQ10" si="6985">TRO10</f>
        <v>95000</v>
      </c>
      <c r="TRR10" s="1548"/>
      <c r="TRS10" s="1547">
        <f t="shared" ref="TRS10" si="6986">TRQ10</f>
        <v>95000</v>
      </c>
      <c r="TRT10" s="1548"/>
      <c r="TRU10" s="1547">
        <f t="shared" ref="TRU10" si="6987">TRS10</f>
        <v>95000</v>
      </c>
      <c r="TRV10" s="1548"/>
      <c r="TRW10" s="1547">
        <f t="shared" ref="TRW10" si="6988">TRU10</f>
        <v>95000</v>
      </c>
      <c r="TRX10" s="1548"/>
      <c r="TRY10" s="1547">
        <f t="shared" ref="TRY10" si="6989">TRW10</f>
        <v>95000</v>
      </c>
      <c r="TRZ10" s="1548"/>
      <c r="TSA10" s="1547">
        <f t="shared" ref="TSA10" si="6990">TRY10</f>
        <v>95000</v>
      </c>
      <c r="TSB10" s="1548"/>
      <c r="TSC10" s="1547">
        <f t="shared" ref="TSC10" si="6991">TSA10</f>
        <v>95000</v>
      </c>
      <c r="TSD10" s="1548"/>
      <c r="TSE10" s="1547">
        <f t="shared" ref="TSE10" si="6992">TSC10</f>
        <v>95000</v>
      </c>
      <c r="TSF10" s="1548"/>
      <c r="TSG10" s="1547">
        <f t="shared" ref="TSG10" si="6993">TSE10</f>
        <v>95000</v>
      </c>
      <c r="TSH10" s="1548"/>
      <c r="TSI10" s="1547">
        <f t="shared" ref="TSI10" si="6994">TSG10</f>
        <v>95000</v>
      </c>
      <c r="TSJ10" s="1548"/>
      <c r="TSK10" s="1547">
        <f t="shared" ref="TSK10" si="6995">TSI10</f>
        <v>95000</v>
      </c>
      <c r="TSL10" s="1548"/>
      <c r="TSM10" s="1547">
        <f t="shared" ref="TSM10" si="6996">TSK10</f>
        <v>95000</v>
      </c>
      <c r="TSN10" s="1548"/>
      <c r="TSO10" s="1547">
        <f t="shared" ref="TSO10" si="6997">TSM10</f>
        <v>95000</v>
      </c>
      <c r="TSP10" s="1548"/>
      <c r="TSQ10" s="1547">
        <f t="shared" ref="TSQ10" si="6998">TSO10</f>
        <v>95000</v>
      </c>
      <c r="TSR10" s="1548"/>
      <c r="TSS10" s="1547">
        <f t="shared" ref="TSS10" si="6999">TSQ10</f>
        <v>95000</v>
      </c>
      <c r="TST10" s="1548"/>
      <c r="TSU10" s="1547">
        <f t="shared" ref="TSU10" si="7000">TSS10</f>
        <v>95000</v>
      </c>
      <c r="TSV10" s="1548"/>
      <c r="TSW10" s="1547">
        <f t="shared" ref="TSW10" si="7001">TSU10</f>
        <v>95000</v>
      </c>
      <c r="TSX10" s="1548"/>
      <c r="TSY10" s="1547">
        <f t="shared" ref="TSY10" si="7002">TSW10</f>
        <v>95000</v>
      </c>
      <c r="TSZ10" s="1548"/>
      <c r="TTA10" s="1547">
        <f t="shared" ref="TTA10" si="7003">TSY10</f>
        <v>95000</v>
      </c>
      <c r="TTB10" s="1548"/>
      <c r="TTC10" s="1547">
        <f t="shared" ref="TTC10" si="7004">TTA10</f>
        <v>95000</v>
      </c>
      <c r="TTD10" s="1548"/>
      <c r="TTE10" s="1547">
        <f t="shared" ref="TTE10" si="7005">TTC10</f>
        <v>95000</v>
      </c>
      <c r="TTF10" s="1548"/>
      <c r="TTG10" s="1547">
        <f t="shared" ref="TTG10" si="7006">TTE10</f>
        <v>95000</v>
      </c>
      <c r="TTH10" s="1548"/>
      <c r="TTI10" s="1547">
        <f t="shared" ref="TTI10" si="7007">TTG10</f>
        <v>95000</v>
      </c>
      <c r="TTJ10" s="1548"/>
      <c r="TTK10" s="1547">
        <f t="shared" ref="TTK10" si="7008">TTI10</f>
        <v>95000</v>
      </c>
      <c r="TTL10" s="1548"/>
      <c r="TTM10" s="1547">
        <f t="shared" ref="TTM10" si="7009">TTK10</f>
        <v>95000</v>
      </c>
      <c r="TTN10" s="1548"/>
      <c r="TTO10" s="1547">
        <f t="shared" ref="TTO10" si="7010">TTM10</f>
        <v>95000</v>
      </c>
      <c r="TTP10" s="1548"/>
      <c r="TTQ10" s="1547">
        <f t="shared" ref="TTQ10" si="7011">TTO10</f>
        <v>95000</v>
      </c>
      <c r="TTR10" s="1548"/>
      <c r="TTS10" s="1547">
        <f t="shared" ref="TTS10" si="7012">TTQ10</f>
        <v>95000</v>
      </c>
      <c r="TTT10" s="1548"/>
      <c r="TTU10" s="1547">
        <f t="shared" ref="TTU10" si="7013">TTS10</f>
        <v>95000</v>
      </c>
      <c r="TTV10" s="1548"/>
      <c r="TTW10" s="1547">
        <f t="shared" ref="TTW10" si="7014">TTU10</f>
        <v>95000</v>
      </c>
      <c r="TTX10" s="1548"/>
      <c r="TTY10" s="1547">
        <f t="shared" ref="TTY10" si="7015">TTW10</f>
        <v>95000</v>
      </c>
      <c r="TTZ10" s="1548"/>
      <c r="TUA10" s="1547">
        <f t="shared" ref="TUA10" si="7016">TTY10</f>
        <v>95000</v>
      </c>
      <c r="TUB10" s="1548"/>
      <c r="TUC10" s="1547">
        <f t="shared" ref="TUC10" si="7017">TUA10</f>
        <v>95000</v>
      </c>
      <c r="TUD10" s="1548"/>
      <c r="TUE10" s="1547">
        <f t="shared" ref="TUE10" si="7018">TUC10</f>
        <v>95000</v>
      </c>
      <c r="TUF10" s="1548"/>
      <c r="TUG10" s="1547">
        <f t="shared" ref="TUG10" si="7019">TUE10</f>
        <v>95000</v>
      </c>
      <c r="TUH10" s="1548"/>
      <c r="TUI10" s="1547">
        <f t="shared" ref="TUI10" si="7020">TUG10</f>
        <v>95000</v>
      </c>
      <c r="TUJ10" s="1548"/>
      <c r="TUK10" s="1547">
        <f t="shared" ref="TUK10" si="7021">TUI10</f>
        <v>95000</v>
      </c>
      <c r="TUL10" s="1548"/>
      <c r="TUM10" s="1547">
        <f t="shared" ref="TUM10" si="7022">TUK10</f>
        <v>95000</v>
      </c>
      <c r="TUN10" s="1548"/>
      <c r="TUO10" s="1547">
        <f t="shared" ref="TUO10" si="7023">TUM10</f>
        <v>95000</v>
      </c>
      <c r="TUP10" s="1548"/>
      <c r="TUQ10" s="1547">
        <f t="shared" ref="TUQ10" si="7024">TUO10</f>
        <v>95000</v>
      </c>
      <c r="TUR10" s="1548"/>
      <c r="TUS10" s="1547">
        <f t="shared" ref="TUS10" si="7025">TUQ10</f>
        <v>95000</v>
      </c>
      <c r="TUT10" s="1548"/>
      <c r="TUU10" s="1547">
        <f t="shared" ref="TUU10" si="7026">TUS10</f>
        <v>95000</v>
      </c>
      <c r="TUV10" s="1548"/>
      <c r="TUW10" s="1547">
        <f t="shared" ref="TUW10" si="7027">TUU10</f>
        <v>95000</v>
      </c>
      <c r="TUX10" s="1548"/>
      <c r="TUY10" s="1547">
        <f t="shared" ref="TUY10" si="7028">TUW10</f>
        <v>95000</v>
      </c>
      <c r="TUZ10" s="1548"/>
      <c r="TVA10" s="1547">
        <f t="shared" ref="TVA10" si="7029">TUY10</f>
        <v>95000</v>
      </c>
      <c r="TVB10" s="1548"/>
      <c r="TVC10" s="1547">
        <f t="shared" ref="TVC10" si="7030">TVA10</f>
        <v>95000</v>
      </c>
      <c r="TVD10" s="1548"/>
      <c r="TVE10" s="1547">
        <f t="shared" ref="TVE10" si="7031">TVC10</f>
        <v>95000</v>
      </c>
      <c r="TVF10" s="1548"/>
      <c r="TVG10" s="1547">
        <f t="shared" ref="TVG10" si="7032">TVE10</f>
        <v>95000</v>
      </c>
      <c r="TVH10" s="1548"/>
      <c r="TVI10" s="1547">
        <f t="shared" ref="TVI10" si="7033">TVG10</f>
        <v>95000</v>
      </c>
      <c r="TVJ10" s="1548"/>
      <c r="TVK10" s="1547">
        <f t="shared" ref="TVK10" si="7034">TVI10</f>
        <v>95000</v>
      </c>
      <c r="TVL10" s="1548"/>
      <c r="TVM10" s="1547">
        <f t="shared" ref="TVM10" si="7035">TVK10</f>
        <v>95000</v>
      </c>
      <c r="TVN10" s="1548"/>
      <c r="TVO10" s="1547">
        <f t="shared" ref="TVO10" si="7036">TVM10</f>
        <v>95000</v>
      </c>
      <c r="TVP10" s="1548"/>
      <c r="TVQ10" s="1547">
        <f t="shared" ref="TVQ10" si="7037">TVO10</f>
        <v>95000</v>
      </c>
      <c r="TVR10" s="1548"/>
      <c r="TVS10" s="1547">
        <f t="shared" ref="TVS10" si="7038">TVQ10</f>
        <v>95000</v>
      </c>
      <c r="TVT10" s="1548"/>
      <c r="TVU10" s="1547">
        <f t="shared" ref="TVU10" si="7039">TVS10</f>
        <v>95000</v>
      </c>
      <c r="TVV10" s="1548"/>
      <c r="TVW10" s="1547">
        <f t="shared" ref="TVW10" si="7040">TVU10</f>
        <v>95000</v>
      </c>
      <c r="TVX10" s="1548"/>
      <c r="TVY10" s="1547">
        <f t="shared" ref="TVY10" si="7041">TVW10</f>
        <v>95000</v>
      </c>
      <c r="TVZ10" s="1548"/>
      <c r="TWA10" s="1547">
        <f t="shared" ref="TWA10" si="7042">TVY10</f>
        <v>95000</v>
      </c>
      <c r="TWB10" s="1548"/>
      <c r="TWC10" s="1547">
        <f t="shared" ref="TWC10" si="7043">TWA10</f>
        <v>95000</v>
      </c>
      <c r="TWD10" s="1548"/>
      <c r="TWE10" s="1547">
        <f t="shared" ref="TWE10" si="7044">TWC10</f>
        <v>95000</v>
      </c>
      <c r="TWF10" s="1548"/>
      <c r="TWG10" s="1547">
        <f t="shared" ref="TWG10" si="7045">TWE10</f>
        <v>95000</v>
      </c>
      <c r="TWH10" s="1548"/>
      <c r="TWI10" s="1547">
        <f t="shared" ref="TWI10" si="7046">TWG10</f>
        <v>95000</v>
      </c>
      <c r="TWJ10" s="1548"/>
      <c r="TWK10" s="1547">
        <f t="shared" ref="TWK10" si="7047">TWI10</f>
        <v>95000</v>
      </c>
      <c r="TWL10" s="1548"/>
      <c r="TWM10" s="1547">
        <f t="shared" ref="TWM10" si="7048">TWK10</f>
        <v>95000</v>
      </c>
      <c r="TWN10" s="1548"/>
      <c r="TWO10" s="1547">
        <f t="shared" ref="TWO10" si="7049">TWM10</f>
        <v>95000</v>
      </c>
      <c r="TWP10" s="1548"/>
      <c r="TWQ10" s="1547">
        <f t="shared" ref="TWQ10" si="7050">TWO10</f>
        <v>95000</v>
      </c>
      <c r="TWR10" s="1548"/>
      <c r="TWS10" s="1547">
        <f t="shared" ref="TWS10" si="7051">TWQ10</f>
        <v>95000</v>
      </c>
      <c r="TWT10" s="1548"/>
      <c r="TWU10" s="1547">
        <f t="shared" ref="TWU10" si="7052">TWS10</f>
        <v>95000</v>
      </c>
      <c r="TWV10" s="1548"/>
      <c r="TWW10" s="1547">
        <f t="shared" ref="TWW10" si="7053">TWU10</f>
        <v>95000</v>
      </c>
      <c r="TWX10" s="1548"/>
      <c r="TWY10" s="1547">
        <f t="shared" ref="TWY10" si="7054">TWW10</f>
        <v>95000</v>
      </c>
      <c r="TWZ10" s="1548"/>
      <c r="TXA10" s="1547">
        <f t="shared" ref="TXA10" si="7055">TWY10</f>
        <v>95000</v>
      </c>
      <c r="TXB10" s="1548"/>
      <c r="TXC10" s="1547">
        <f t="shared" ref="TXC10" si="7056">TXA10</f>
        <v>95000</v>
      </c>
      <c r="TXD10" s="1548"/>
      <c r="TXE10" s="1547">
        <f t="shared" ref="TXE10" si="7057">TXC10</f>
        <v>95000</v>
      </c>
      <c r="TXF10" s="1548"/>
      <c r="TXG10" s="1547">
        <f t="shared" ref="TXG10" si="7058">TXE10</f>
        <v>95000</v>
      </c>
      <c r="TXH10" s="1548"/>
      <c r="TXI10" s="1547">
        <f t="shared" ref="TXI10" si="7059">TXG10</f>
        <v>95000</v>
      </c>
      <c r="TXJ10" s="1548"/>
      <c r="TXK10" s="1547">
        <f t="shared" ref="TXK10" si="7060">TXI10</f>
        <v>95000</v>
      </c>
      <c r="TXL10" s="1548"/>
      <c r="TXM10" s="1547">
        <f t="shared" ref="TXM10" si="7061">TXK10</f>
        <v>95000</v>
      </c>
      <c r="TXN10" s="1548"/>
      <c r="TXO10" s="1547">
        <f t="shared" ref="TXO10" si="7062">TXM10</f>
        <v>95000</v>
      </c>
      <c r="TXP10" s="1548"/>
      <c r="TXQ10" s="1547">
        <f t="shared" ref="TXQ10" si="7063">TXO10</f>
        <v>95000</v>
      </c>
      <c r="TXR10" s="1548"/>
      <c r="TXS10" s="1547">
        <f t="shared" ref="TXS10" si="7064">TXQ10</f>
        <v>95000</v>
      </c>
      <c r="TXT10" s="1548"/>
      <c r="TXU10" s="1547">
        <f t="shared" ref="TXU10" si="7065">TXS10</f>
        <v>95000</v>
      </c>
      <c r="TXV10" s="1548"/>
      <c r="TXW10" s="1547">
        <f t="shared" ref="TXW10" si="7066">TXU10</f>
        <v>95000</v>
      </c>
      <c r="TXX10" s="1548"/>
      <c r="TXY10" s="1547">
        <f t="shared" ref="TXY10" si="7067">TXW10</f>
        <v>95000</v>
      </c>
      <c r="TXZ10" s="1548"/>
      <c r="TYA10" s="1547">
        <f t="shared" ref="TYA10" si="7068">TXY10</f>
        <v>95000</v>
      </c>
      <c r="TYB10" s="1548"/>
      <c r="TYC10" s="1547">
        <f t="shared" ref="TYC10" si="7069">TYA10</f>
        <v>95000</v>
      </c>
      <c r="TYD10" s="1548"/>
      <c r="TYE10" s="1547">
        <f t="shared" ref="TYE10" si="7070">TYC10</f>
        <v>95000</v>
      </c>
      <c r="TYF10" s="1548"/>
      <c r="TYG10" s="1547">
        <f t="shared" ref="TYG10" si="7071">TYE10</f>
        <v>95000</v>
      </c>
      <c r="TYH10" s="1548"/>
      <c r="TYI10" s="1547">
        <f t="shared" ref="TYI10" si="7072">TYG10</f>
        <v>95000</v>
      </c>
      <c r="TYJ10" s="1548"/>
      <c r="TYK10" s="1547">
        <f t="shared" ref="TYK10" si="7073">TYI10</f>
        <v>95000</v>
      </c>
      <c r="TYL10" s="1548"/>
      <c r="TYM10" s="1547">
        <f t="shared" ref="TYM10" si="7074">TYK10</f>
        <v>95000</v>
      </c>
      <c r="TYN10" s="1548"/>
      <c r="TYO10" s="1547">
        <f t="shared" ref="TYO10" si="7075">TYM10</f>
        <v>95000</v>
      </c>
      <c r="TYP10" s="1548"/>
      <c r="TYQ10" s="1547">
        <f t="shared" ref="TYQ10" si="7076">TYO10</f>
        <v>95000</v>
      </c>
      <c r="TYR10" s="1548"/>
      <c r="TYS10" s="1547">
        <f t="shared" ref="TYS10" si="7077">TYQ10</f>
        <v>95000</v>
      </c>
      <c r="TYT10" s="1548"/>
      <c r="TYU10" s="1547">
        <f t="shared" ref="TYU10" si="7078">TYS10</f>
        <v>95000</v>
      </c>
      <c r="TYV10" s="1548"/>
      <c r="TYW10" s="1547">
        <f t="shared" ref="TYW10" si="7079">TYU10</f>
        <v>95000</v>
      </c>
      <c r="TYX10" s="1548"/>
      <c r="TYY10" s="1547">
        <f t="shared" ref="TYY10" si="7080">TYW10</f>
        <v>95000</v>
      </c>
      <c r="TYZ10" s="1548"/>
      <c r="TZA10" s="1547">
        <f t="shared" ref="TZA10" si="7081">TYY10</f>
        <v>95000</v>
      </c>
      <c r="TZB10" s="1548"/>
      <c r="TZC10" s="1547">
        <f t="shared" ref="TZC10" si="7082">TZA10</f>
        <v>95000</v>
      </c>
      <c r="TZD10" s="1548"/>
      <c r="TZE10" s="1547">
        <f t="shared" ref="TZE10" si="7083">TZC10</f>
        <v>95000</v>
      </c>
      <c r="TZF10" s="1548"/>
      <c r="TZG10" s="1547">
        <f t="shared" ref="TZG10" si="7084">TZE10</f>
        <v>95000</v>
      </c>
      <c r="TZH10" s="1548"/>
      <c r="TZI10" s="1547">
        <f t="shared" ref="TZI10" si="7085">TZG10</f>
        <v>95000</v>
      </c>
      <c r="TZJ10" s="1548"/>
      <c r="TZK10" s="1547">
        <f t="shared" ref="TZK10" si="7086">TZI10</f>
        <v>95000</v>
      </c>
      <c r="TZL10" s="1548"/>
      <c r="TZM10" s="1547">
        <f t="shared" ref="TZM10" si="7087">TZK10</f>
        <v>95000</v>
      </c>
      <c r="TZN10" s="1548"/>
      <c r="TZO10" s="1547">
        <f t="shared" ref="TZO10" si="7088">TZM10</f>
        <v>95000</v>
      </c>
      <c r="TZP10" s="1548"/>
      <c r="TZQ10" s="1547">
        <f t="shared" ref="TZQ10" si="7089">TZO10</f>
        <v>95000</v>
      </c>
      <c r="TZR10" s="1548"/>
      <c r="TZS10" s="1547">
        <f t="shared" ref="TZS10" si="7090">TZQ10</f>
        <v>95000</v>
      </c>
      <c r="TZT10" s="1548"/>
      <c r="TZU10" s="1547">
        <f t="shared" ref="TZU10" si="7091">TZS10</f>
        <v>95000</v>
      </c>
      <c r="TZV10" s="1548"/>
      <c r="TZW10" s="1547">
        <f t="shared" ref="TZW10" si="7092">TZU10</f>
        <v>95000</v>
      </c>
      <c r="TZX10" s="1548"/>
      <c r="TZY10" s="1547">
        <f t="shared" ref="TZY10" si="7093">TZW10</f>
        <v>95000</v>
      </c>
      <c r="TZZ10" s="1548"/>
      <c r="UAA10" s="1547">
        <f t="shared" ref="UAA10" si="7094">TZY10</f>
        <v>95000</v>
      </c>
      <c r="UAB10" s="1548"/>
      <c r="UAC10" s="1547">
        <f t="shared" ref="UAC10" si="7095">UAA10</f>
        <v>95000</v>
      </c>
      <c r="UAD10" s="1548"/>
      <c r="UAE10" s="1547">
        <f t="shared" ref="UAE10" si="7096">UAC10</f>
        <v>95000</v>
      </c>
      <c r="UAF10" s="1548"/>
      <c r="UAG10" s="1547">
        <f t="shared" ref="UAG10" si="7097">UAE10</f>
        <v>95000</v>
      </c>
      <c r="UAH10" s="1548"/>
      <c r="UAI10" s="1547">
        <f t="shared" ref="UAI10" si="7098">UAG10</f>
        <v>95000</v>
      </c>
      <c r="UAJ10" s="1548"/>
      <c r="UAK10" s="1547">
        <f t="shared" ref="UAK10" si="7099">UAI10</f>
        <v>95000</v>
      </c>
      <c r="UAL10" s="1548"/>
      <c r="UAM10" s="1547">
        <f t="shared" ref="UAM10" si="7100">UAK10</f>
        <v>95000</v>
      </c>
      <c r="UAN10" s="1548"/>
      <c r="UAO10" s="1547">
        <f t="shared" ref="UAO10" si="7101">UAM10</f>
        <v>95000</v>
      </c>
      <c r="UAP10" s="1548"/>
      <c r="UAQ10" s="1547">
        <f t="shared" ref="UAQ10" si="7102">UAO10</f>
        <v>95000</v>
      </c>
      <c r="UAR10" s="1548"/>
      <c r="UAS10" s="1547">
        <f t="shared" ref="UAS10" si="7103">UAQ10</f>
        <v>95000</v>
      </c>
      <c r="UAT10" s="1548"/>
      <c r="UAU10" s="1547">
        <f t="shared" ref="UAU10" si="7104">UAS10</f>
        <v>95000</v>
      </c>
      <c r="UAV10" s="1548"/>
      <c r="UAW10" s="1547">
        <f t="shared" ref="UAW10" si="7105">UAU10</f>
        <v>95000</v>
      </c>
      <c r="UAX10" s="1548"/>
      <c r="UAY10" s="1547">
        <f t="shared" ref="UAY10" si="7106">UAW10</f>
        <v>95000</v>
      </c>
      <c r="UAZ10" s="1548"/>
      <c r="UBA10" s="1547">
        <f t="shared" ref="UBA10" si="7107">UAY10</f>
        <v>95000</v>
      </c>
      <c r="UBB10" s="1548"/>
      <c r="UBC10" s="1547">
        <f t="shared" ref="UBC10" si="7108">UBA10</f>
        <v>95000</v>
      </c>
      <c r="UBD10" s="1548"/>
      <c r="UBE10" s="1547">
        <f t="shared" ref="UBE10" si="7109">UBC10</f>
        <v>95000</v>
      </c>
      <c r="UBF10" s="1548"/>
      <c r="UBG10" s="1547">
        <f t="shared" ref="UBG10" si="7110">UBE10</f>
        <v>95000</v>
      </c>
      <c r="UBH10" s="1548"/>
      <c r="UBI10" s="1547">
        <f t="shared" ref="UBI10" si="7111">UBG10</f>
        <v>95000</v>
      </c>
      <c r="UBJ10" s="1548"/>
      <c r="UBK10" s="1547">
        <f t="shared" ref="UBK10" si="7112">UBI10</f>
        <v>95000</v>
      </c>
      <c r="UBL10" s="1548"/>
      <c r="UBM10" s="1547">
        <f t="shared" ref="UBM10" si="7113">UBK10</f>
        <v>95000</v>
      </c>
      <c r="UBN10" s="1548"/>
      <c r="UBO10" s="1547">
        <f t="shared" ref="UBO10" si="7114">UBM10</f>
        <v>95000</v>
      </c>
      <c r="UBP10" s="1548"/>
      <c r="UBQ10" s="1547">
        <f t="shared" ref="UBQ10" si="7115">UBO10</f>
        <v>95000</v>
      </c>
      <c r="UBR10" s="1548"/>
      <c r="UBS10" s="1547">
        <f t="shared" ref="UBS10" si="7116">UBQ10</f>
        <v>95000</v>
      </c>
      <c r="UBT10" s="1548"/>
      <c r="UBU10" s="1547">
        <f t="shared" ref="UBU10" si="7117">UBS10</f>
        <v>95000</v>
      </c>
      <c r="UBV10" s="1548"/>
      <c r="UBW10" s="1547">
        <f t="shared" ref="UBW10" si="7118">UBU10</f>
        <v>95000</v>
      </c>
      <c r="UBX10" s="1548"/>
      <c r="UBY10" s="1547">
        <f t="shared" ref="UBY10" si="7119">UBW10</f>
        <v>95000</v>
      </c>
      <c r="UBZ10" s="1548"/>
      <c r="UCA10" s="1547">
        <f t="shared" ref="UCA10" si="7120">UBY10</f>
        <v>95000</v>
      </c>
      <c r="UCB10" s="1548"/>
      <c r="UCC10" s="1547">
        <f t="shared" ref="UCC10" si="7121">UCA10</f>
        <v>95000</v>
      </c>
      <c r="UCD10" s="1548"/>
      <c r="UCE10" s="1547">
        <f t="shared" ref="UCE10" si="7122">UCC10</f>
        <v>95000</v>
      </c>
      <c r="UCF10" s="1548"/>
      <c r="UCG10" s="1547">
        <f t="shared" ref="UCG10" si="7123">UCE10</f>
        <v>95000</v>
      </c>
      <c r="UCH10" s="1548"/>
      <c r="UCI10" s="1547">
        <f t="shared" ref="UCI10" si="7124">UCG10</f>
        <v>95000</v>
      </c>
      <c r="UCJ10" s="1548"/>
      <c r="UCK10" s="1547">
        <f t="shared" ref="UCK10" si="7125">UCI10</f>
        <v>95000</v>
      </c>
      <c r="UCL10" s="1548"/>
      <c r="UCM10" s="1547">
        <f t="shared" ref="UCM10" si="7126">UCK10</f>
        <v>95000</v>
      </c>
      <c r="UCN10" s="1548"/>
      <c r="UCO10" s="1547">
        <f t="shared" ref="UCO10" si="7127">UCM10</f>
        <v>95000</v>
      </c>
      <c r="UCP10" s="1548"/>
      <c r="UCQ10" s="1547">
        <f t="shared" ref="UCQ10" si="7128">UCO10</f>
        <v>95000</v>
      </c>
      <c r="UCR10" s="1548"/>
      <c r="UCS10" s="1547">
        <f t="shared" ref="UCS10" si="7129">UCQ10</f>
        <v>95000</v>
      </c>
      <c r="UCT10" s="1548"/>
      <c r="UCU10" s="1547">
        <f t="shared" ref="UCU10" si="7130">UCS10</f>
        <v>95000</v>
      </c>
      <c r="UCV10" s="1548"/>
      <c r="UCW10" s="1547">
        <f t="shared" ref="UCW10" si="7131">UCU10</f>
        <v>95000</v>
      </c>
      <c r="UCX10" s="1548"/>
      <c r="UCY10" s="1547">
        <f t="shared" ref="UCY10" si="7132">UCW10</f>
        <v>95000</v>
      </c>
      <c r="UCZ10" s="1548"/>
      <c r="UDA10" s="1547">
        <f t="shared" ref="UDA10" si="7133">UCY10</f>
        <v>95000</v>
      </c>
      <c r="UDB10" s="1548"/>
      <c r="UDC10" s="1547">
        <f t="shared" ref="UDC10" si="7134">UDA10</f>
        <v>95000</v>
      </c>
      <c r="UDD10" s="1548"/>
      <c r="UDE10" s="1547">
        <f t="shared" ref="UDE10" si="7135">UDC10</f>
        <v>95000</v>
      </c>
      <c r="UDF10" s="1548"/>
      <c r="UDG10" s="1547">
        <f t="shared" ref="UDG10" si="7136">UDE10</f>
        <v>95000</v>
      </c>
      <c r="UDH10" s="1548"/>
      <c r="UDI10" s="1547">
        <f t="shared" ref="UDI10" si="7137">UDG10</f>
        <v>95000</v>
      </c>
      <c r="UDJ10" s="1548"/>
      <c r="UDK10" s="1547">
        <f t="shared" ref="UDK10" si="7138">UDI10</f>
        <v>95000</v>
      </c>
      <c r="UDL10" s="1548"/>
      <c r="UDM10" s="1547">
        <f t="shared" ref="UDM10" si="7139">UDK10</f>
        <v>95000</v>
      </c>
      <c r="UDN10" s="1548"/>
      <c r="UDO10" s="1547">
        <f t="shared" ref="UDO10" si="7140">UDM10</f>
        <v>95000</v>
      </c>
      <c r="UDP10" s="1548"/>
      <c r="UDQ10" s="1547">
        <f t="shared" ref="UDQ10" si="7141">UDO10</f>
        <v>95000</v>
      </c>
      <c r="UDR10" s="1548"/>
      <c r="UDS10" s="1547">
        <f t="shared" ref="UDS10" si="7142">UDQ10</f>
        <v>95000</v>
      </c>
      <c r="UDT10" s="1548"/>
      <c r="UDU10" s="1547">
        <f t="shared" ref="UDU10" si="7143">UDS10</f>
        <v>95000</v>
      </c>
      <c r="UDV10" s="1548"/>
      <c r="UDW10" s="1547">
        <f t="shared" ref="UDW10" si="7144">UDU10</f>
        <v>95000</v>
      </c>
      <c r="UDX10" s="1548"/>
      <c r="UDY10" s="1547">
        <f t="shared" ref="UDY10" si="7145">UDW10</f>
        <v>95000</v>
      </c>
      <c r="UDZ10" s="1548"/>
      <c r="UEA10" s="1547">
        <f t="shared" ref="UEA10" si="7146">UDY10</f>
        <v>95000</v>
      </c>
      <c r="UEB10" s="1548"/>
      <c r="UEC10" s="1547">
        <f t="shared" ref="UEC10" si="7147">UEA10</f>
        <v>95000</v>
      </c>
      <c r="UED10" s="1548"/>
      <c r="UEE10" s="1547">
        <f t="shared" ref="UEE10" si="7148">UEC10</f>
        <v>95000</v>
      </c>
      <c r="UEF10" s="1548"/>
      <c r="UEG10" s="1547">
        <f t="shared" ref="UEG10" si="7149">UEE10</f>
        <v>95000</v>
      </c>
      <c r="UEH10" s="1548"/>
      <c r="UEI10" s="1547">
        <f t="shared" ref="UEI10" si="7150">UEG10</f>
        <v>95000</v>
      </c>
      <c r="UEJ10" s="1548"/>
      <c r="UEK10" s="1547">
        <f t="shared" ref="UEK10" si="7151">UEI10</f>
        <v>95000</v>
      </c>
      <c r="UEL10" s="1548"/>
      <c r="UEM10" s="1547">
        <f t="shared" ref="UEM10" si="7152">UEK10</f>
        <v>95000</v>
      </c>
      <c r="UEN10" s="1548"/>
      <c r="UEO10" s="1547">
        <f t="shared" ref="UEO10" si="7153">UEM10</f>
        <v>95000</v>
      </c>
      <c r="UEP10" s="1548"/>
      <c r="UEQ10" s="1547">
        <f t="shared" ref="UEQ10" si="7154">UEO10</f>
        <v>95000</v>
      </c>
      <c r="UER10" s="1548"/>
      <c r="UES10" s="1547">
        <f t="shared" ref="UES10" si="7155">UEQ10</f>
        <v>95000</v>
      </c>
      <c r="UET10" s="1548"/>
      <c r="UEU10" s="1547">
        <f t="shared" ref="UEU10" si="7156">UES10</f>
        <v>95000</v>
      </c>
      <c r="UEV10" s="1548"/>
      <c r="UEW10" s="1547">
        <f t="shared" ref="UEW10" si="7157">UEU10</f>
        <v>95000</v>
      </c>
      <c r="UEX10" s="1548"/>
      <c r="UEY10" s="1547">
        <f t="shared" ref="UEY10" si="7158">UEW10</f>
        <v>95000</v>
      </c>
      <c r="UEZ10" s="1548"/>
      <c r="UFA10" s="1547">
        <f t="shared" ref="UFA10" si="7159">UEY10</f>
        <v>95000</v>
      </c>
      <c r="UFB10" s="1548"/>
      <c r="UFC10" s="1547">
        <f t="shared" ref="UFC10" si="7160">UFA10</f>
        <v>95000</v>
      </c>
      <c r="UFD10" s="1548"/>
      <c r="UFE10" s="1547">
        <f t="shared" ref="UFE10" si="7161">UFC10</f>
        <v>95000</v>
      </c>
      <c r="UFF10" s="1548"/>
      <c r="UFG10" s="1547">
        <f t="shared" ref="UFG10" si="7162">UFE10</f>
        <v>95000</v>
      </c>
      <c r="UFH10" s="1548"/>
      <c r="UFI10" s="1547">
        <f t="shared" ref="UFI10" si="7163">UFG10</f>
        <v>95000</v>
      </c>
      <c r="UFJ10" s="1548"/>
      <c r="UFK10" s="1547">
        <f t="shared" ref="UFK10" si="7164">UFI10</f>
        <v>95000</v>
      </c>
      <c r="UFL10" s="1548"/>
      <c r="UFM10" s="1547">
        <f t="shared" ref="UFM10" si="7165">UFK10</f>
        <v>95000</v>
      </c>
      <c r="UFN10" s="1548"/>
      <c r="UFO10" s="1547">
        <f t="shared" ref="UFO10" si="7166">UFM10</f>
        <v>95000</v>
      </c>
      <c r="UFP10" s="1548"/>
      <c r="UFQ10" s="1547">
        <f t="shared" ref="UFQ10" si="7167">UFO10</f>
        <v>95000</v>
      </c>
      <c r="UFR10" s="1548"/>
      <c r="UFS10" s="1547">
        <f t="shared" ref="UFS10" si="7168">UFQ10</f>
        <v>95000</v>
      </c>
      <c r="UFT10" s="1548"/>
      <c r="UFU10" s="1547">
        <f t="shared" ref="UFU10" si="7169">UFS10</f>
        <v>95000</v>
      </c>
      <c r="UFV10" s="1548"/>
      <c r="UFW10" s="1547">
        <f t="shared" ref="UFW10" si="7170">UFU10</f>
        <v>95000</v>
      </c>
      <c r="UFX10" s="1548"/>
      <c r="UFY10" s="1547">
        <f t="shared" ref="UFY10" si="7171">UFW10</f>
        <v>95000</v>
      </c>
      <c r="UFZ10" s="1548"/>
      <c r="UGA10" s="1547">
        <f t="shared" ref="UGA10" si="7172">UFY10</f>
        <v>95000</v>
      </c>
      <c r="UGB10" s="1548"/>
      <c r="UGC10" s="1547">
        <f t="shared" ref="UGC10" si="7173">UGA10</f>
        <v>95000</v>
      </c>
      <c r="UGD10" s="1548"/>
      <c r="UGE10" s="1547">
        <f t="shared" ref="UGE10" si="7174">UGC10</f>
        <v>95000</v>
      </c>
      <c r="UGF10" s="1548"/>
      <c r="UGG10" s="1547">
        <f t="shared" ref="UGG10" si="7175">UGE10</f>
        <v>95000</v>
      </c>
      <c r="UGH10" s="1548"/>
      <c r="UGI10" s="1547">
        <f t="shared" ref="UGI10" si="7176">UGG10</f>
        <v>95000</v>
      </c>
      <c r="UGJ10" s="1548"/>
      <c r="UGK10" s="1547">
        <f t="shared" ref="UGK10" si="7177">UGI10</f>
        <v>95000</v>
      </c>
      <c r="UGL10" s="1548"/>
      <c r="UGM10" s="1547">
        <f t="shared" ref="UGM10" si="7178">UGK10</f>
        <v>95000</v>
      </c>
      <c r="UGN10" s="1548"/>
      <c r="UGO10" s="1547">
        <f t="shared" ref="UGO10" si="7179">UGM10</f>
        <v>95000</v>
      </c>
      <c r="UGP10" s="1548"/>
      <c r="UGQ10" s="1547">
        <f t="shared" ref="UGQ10" si="7180">UGO10</f>
        <v>95000</v>
      </c>
      <c r="UGR10" s="1548"/>
      <c r="UGS10" s="1547">
        <f t="shared" ref="UGS10" si="7181">UGQ10</f>
        <v>95000</v>
      </c>
      <c r="UGT10" s="1548"/>
      <c r="UGU10" s="1547">
        <f t="shared" ref="UGU10" si="7182">UGS10</f>
        <v>95000</v>
      </c>
      <c r="UGV10" s="1548"/>
      <c r="UGW10" s="1547">
        <f t="shared" ref="UGW10" si="7183">UGU10</f>
        <v>95000</v>
      </c>
      <c r="UGX10" s="1548"/>
      <c r="UGY10" s="1547">
        <f t="shared" ref="UGY10" si="7184">UGW10</f>
        <v>95000</v>
      </c>
      <c r="UGZ10" s="1548"/>
      <c r="UHA10" s="1547">
        <f t="shared" ref="UHA10" si="7185">UGY10</f>
        <v>95000</v>
      </c>
      <c r="UHB10" s="1548"/>
      <c r="UHC10" s="1547">
        <f t="shared" ref="UHC10" si="7186">UHA10</f>
        <v>95000</v>
      </c>
      <c r="UHD10" s="1548"/>
      <c r="UHE10" s="1547">
        <f t="shared" ref="UHE10" si="7187">UHC10</f>
        <v>95000</v>
      </c>
      <c r="UHF10" s="1548"/>
      <c r="UHG10" s="1547">
        <f t="shared" ref="UHG10" si="7188">UHE10</f>
        <v>95000</v>
      </c>
      <c r="UHH10" s="1548"/>
      <c r="UHI10" s="1547">
        <f t="shared" ref="UHI10" si="7189">UHG10</f>
        <v>95000</v>
      </c>
      <c r="UHJ10" s="1548"/>
      <c r="UHK10" s="1547">
        <f t="shared" ref="UHK10" si="7190">UHI10</f>
        <v>95000</v>
      </c>
      <c r="UHL10" s="1548"/>
      <c r="UHM10" s="1547">
        <f t="shared" ref="UHM10" si="7191">UHK10</f>
        <v>95000</v>
      </c>
      <c r="UHN10" s="1548"/>
      <c r="UHO10" s="1547">
        <f t="shared" ref="UHO10" si="7192">UHM10</f>
        <v>95000</v>
      </c>
      <c r="UHP10" s="1548"/>
      <c r="UHQ10" s="1547">
        <f t="shared" ref="UHQ10" si="7193">UHO10</f>
        <v>95000</v>
      </c>
      <c r="UHR10" s="1548"/>
      <c r="UHS10" s="1547">
        <f t="shared" ref="UHS10" si="7194">UHQ10</f>
        <v>95000</v>
      </c>
      <c r="UHT10" s="1548"/>
      <c r="UHU10" s="1547">
        <f t="shared" ref="UHU10" si="7195">UHS10</f>
        <v>95000</v>
      </c>
      <c r="UHV10" s="1548"/>
      <c r="UHW10" s="1547">
        <f t="shared" ref="UHW10" si="7196">UHU10</f>
        <v>95000</v>
      </c>
      <c r="UHX10" s="1548"/>
      <c r="UHY10" s="1547">
        <f t="shared" ref="UHY10" si="7197">UHW10</f>
        <v>95000</v>
      </c>
      <c r="UHZ10" s="1548"/>
      <c r="UIA10" s="1547">
        <f t="shared" ref="UIA10" si="7198">UHY10</f>
        <v>95000</v>
      </c>
      <c r="UIB10" s="1548"/>
      <c r="UIC10" s="1547">
        <f t="shared" ref="UIC10" si="7199">UIA10</f>
        <v>95000</v>
      </c>
      <c r="UID10" s="1548"/>
      <c r="UIE10" s="1547">
        <f t="shared" ref="UIE10" si="7200">UIC10</f>
        <v>95000</v>
      </c>
      <c r="UIF10" s="1548"/>
      <c r="UIG10" s="1547">
        <f t="shared" ref="UIG10" si="7201">UIE10</f>
        <v>95000</v>
      </c>
      <c r="UIH10" s="1548"/>
      <c r="UII10" s="1547">
        <f t="shared" ref="UII10" si="7202">UIG10</f>
        <v>95000</v>
      </c>
      <c r="UIJ10" s="1548"/>
      <c r="UIK10" s="1547">
        <f t="shared" ref="UIK10" si="7203">UII10</f>
        <v>95000</v>
      </c>
      <c r="UIL10" s="1548"/>
      <c r="UIM10" s="1547">
        <f t="shared" ref="UIM10" si="7204">UIK10</f>
        <v>95000</v>
      </c>
      <c r="UIN10" s="1548"/>
      <c r="UIO10" s="1547">
        <f t="shared" ref="UIO10" si="7205">UIM10</f>
        <v>95000</v>
      </c>
      <c r="UIP10" s="1548"/>
      <c r="UIQ10" s="1547">
        <f t="shared" ref="UIQ10" si="7206">UIO10</f>
        <v>95000</v>
      </c>
      <c r="UIR10" s="1548"/>
      <c r="UIS10" s="1547">
        <f t="shared" ref="UIS10" si="7207">UIQ10</f>
        <v>95000</v>
      </c>
      <c r="UIT10" s="1548"/>
      <c r="UIU10" s="1547">
        <f t="shared" ref="UIU10" si="7208">UIS10</f>
        <v>95000</v>
      </c>
      <c r="UIV10" s="1548"/>
      <c r="UIW10" s="1547">
        <f t="shared" ref="UIW10" si="7209">UIU10</f>
        <v>95000</v>
      </c>
      <c r="UIX10" s="1548"/>
      <c r="UIY10" s="1547">
        <f t="shared" ref="UIY10" si="7210">UIW10</f>
        <v>95000</v>
      </c>
      <c r="UIZ10" s="1548"/>
      <c r="UJA10" s="1547">
        <f t="shared" ref="UJA10" si="7211">UIY10</f>
        <v>95000</v>
      </c>
      <c r="UJB10" s="1548"/>
      <c r="UJC10" s="1547">
        <f t="shared" ref="UJC10" si="7212">UJA10</f>
        <v>95000</v>
      </c>
      <c r="UJD10" s="1548"/>
      <c r="UJE10" s="1547">
        <f t="shared" ref="UJE10" si="7213">UJC10</f>
        <v>95000</v>
      </c>
      <c r="UJF10" s="1548"/>
      <c r="UJG10" s="1547">
        <f t="shared" ref="UJG10" si="7214">UJE10</f>
        <v>95000</v>
      </c>
      <c r="UJH10" s="1548"/>
      <c r="UJI10" s="1547">
        <f t="shared" ref="UJI10" si="7215">UJG10</f>
        <v>95000</v>
      </c>
      <c r="UJJ10" s="1548"/>
      <c r="UJK10" s="1547">
        <f t="shared" ref="UJK10" si="7216">UJI10</f>
        <v>95000</v>
      </c>
      <c r="UJL10" s="1548"/>
      <c r="UJM10" s="1547">
        <f t="shared" ref="UJM10" si="7217">UJK10</f>
        <v>95000</v>
      </c>
      <c r="UJN10" s="1548"/>
      <c r="UJO10" s="1547">
        <f t="shared" ref="UJO10" si="7218">UJM10</f>
        <v>95000</v>
      </c>
      <c r="UJP10" s="1548"/>
      <c r="UJQ10" s="1547">
        <f t="shared" ref="UJQ10" si="7219">UJO10</f>
        <v>95000</v>
      </c>
      <c r="UJR10" s="1548"/>
      <c r="UJS10" s="1547">
        <f t="shared" ref="UJS10" si="7220">UJQ10</f>
        <v>95000</v>
      </c>
      <c r="UJT10" s="1548"/>
      <c r="UJU10" s="1547">
        <f t="shared" ref="UJU10" si="7221">UJS10</f>
        <v>95000</v>
      </c>
      <c r="UJV10" s="1548"/>
      <c r="UJW10" s="1547">
        <f t="shared" ref="UJW10" si="7222">UJU10</f>
        <v>95000</v>
      </c>
      <c r="UJX10" s="1548"/>
      <c r="UJY10" s="1547">
        <f t="shared" ref="UJY10" si="7223">UJW10</f>
        <v>95000</v>
      </c>
      <c r="UJZ10" s="1548"/>
      <c r="UKA10" s="1547">
        <f t="shared" ref="UKA10" si="7224">UJY10</f>
        <v>95000</v>
      </c>
      <c r="UKB10" s="1548"/>
      <c r="UKC10" s="1547">
        <f t="shared" ref="UKC10" si="7225">UKA10</f>
        <v>95000</v>
      </c>
      <c r="UKD10" s="1548"/>
      <c r="UKE10" s="1547">
        <f t="shared" ref="UKE10" si="7226">UKC10</f>
        <v>95000</v>
      </c>
      <c r="UKF10" s="1548"/>
      <c r="UKG10" s="1547">
        <f t="shared" ref="UKG10" si="7227">UKE10</f>
        <v>95000</v>
      </c>
      <c r="UKH10" s="1548"/>
      <c r="UKI10" s="1547">
        <f t="shared" ref="UKI10" si="7228">UKG10</f>
        <v>95000</v>
      </c>
      <c r="UKJ10" s="1548"/>
      <c r="UKK10" s="1547">
        <f t="shared" ref="UKK10" si="7229">UKI10</f>
        <v>95000</v>
      </c>
      <c r="UKL10" s="1548"/>
      <c r="UKM10" s="1547">
        <f t="shared" ref="UKM10" si="7230">UKK10</f>
        <v>95000</v>
      </c>
      <c r="UKN10" s="1548"/>
      <c r="UKO10" s="1547">
        <f t="shared" ref="UKO10" si="7231">UKM10</f>
        <v>95000</v>
      </c>
      <c r="UKP10" s="1548"/>
      <c r="UKQ10" s="1547">
        <f t="shared" ref="UKQ10" si="7232">UKO10</f>
        <v>95000</v>
      </c>
      <c r="UKR10" s="1548"/>
      <c r="UKS10" s="1547">
        <f t="shared" ref="UKS10" si="7233">UKQ10</f>
        <v>95000</v>
      </c>
      <c r="UKT10" s="1548"/>
      <c r="UKU10" s="1547">
        <f t="shared" ref="UKU10" si="7234">UKS10</f>
        <v>95000</v>
      </c>
      <c r="UKV10" s="1548"/>
      <c r="UKW10" s="1547">
        <f t="shared" ref="UKW10" si="7235">UKU10</f>
        <v>95000</v>
      </c>
      <c r="UKX10" s="1548"/>
      <c r="UKY10" s="1547">
        <f t="shared" ref="UKY10" si="7236">UKW10</f>
        <v>95000</v>
      </c>
      <c r="UKZ10" s="1548"/>
      <c r="ULA10" s="1547">
        <f t="shared" ref="ULA10" si="7237">UKY10</f>
        <v>95000</v>
      </c>
      <c r="ULB10" s="1548"/>
      <c r="ULC10" s="1547">
        <f t="shared" ref="ULC10" si="7238">ULA10</f>
        <v>95000</v>
      </c>
      <c r="ULD10" s="1548"/>
      <c r="ULE10" s="1547">
        <f t="shared" ref="ULE10" si="7239">ULC10</f>
        <v>95000</v>
      </c>
      <c r="ULF10" s="1548"/>
      <c r="ULG10" s="1547">
        <f t="shared" ref="ULG10" si="7240">ULE10</f>
        <v>95000</v>
      </c>
      <c r="ULH10" s="1548"/>
      <c r="ULI10" s="1547">
        <f t="shared" ref="ULI10" si="7241">ULG10</f>
        <v>95000</v>
      </c>
      <c r="ULJ10" s="1548"/>
      <c r="ULK10" s="1547">
        <f t="shared" ref="ULK10" si="7242">ULI10</f>
        <v>95000</v>
      </c>
      <c r="ULL10" s="1548"/>
      <c r="ULM10" s="1547">
        <f t="shared" ref="ULM10" si="7243">ULK10</f>
        <v>95000</v>
      </c>
      <c r="ULN10" s="1548"/>
      <c r="ULO10" s="1547">
        <f t="shared" ref="ULO10" si="7244">ULM10</f>
        <v>95000</v>
      </c>
      <c r="ULP10" s="1548"/>
      <c r="ULQ10" s="1547">
        <f t="shared" ref="ULQ10" si="7245">ULO10</f>
        <v>95000</v>
      </c>
      <c r="ULR10" s="1548"/>
      <c r="ULS10" s="1547">
        <f t="shared" ref="ULS10" si="7246">ULQ10</f>
        <v>95000</v>
      </c>
      <c r="ULT10" s="1548"/>
      <c r="ULU10" s="1547">
        <f t="shared" ref="ULU10" si="7247">ULS10</f>
        <v>95000</v>
      </c>
      <c r="ULV10" s="1548"/>
      <c r="ULW10" s="1547">
        <f t="shared" ref="ULW10" si="7248">ULU10</f>
        <v>95000</v>
      </c>
      <c r="ULX10" s="1548"/>
      <c r="ULY10" s="1547">
        <f t="shared" ref="ULY10" si="7249">ULW10</f>
        <v>95000</v>
      </c>
      <c r="ULZ10" s="1548"/>
      <c r="UMA10" s="1547">
        <f t="shared" ref="UMA10" si="7250">ULY10</f>
        <v>95000</v>
      </c>
      <c r="UMB10" s="1548"/>
      <c r="UMC10" s="1547">
        <f t="shared" ref="UMC10" si="7251">UMA10</f>
        <v>95000</v>
      </c>
      <c r="UMD10" s="1548"/>
      <c r="UME10" s="1547">
        <f t="shared" ref="UME10" si="7252">UMC10</f>
        <v>95000</v>
      </c>
      <c r="UMF10" s="1548"/>
      <c r="UMG10" s="1547">
        <f t="shared" ref="UMG10" si="7253">UME10</f>
        <v>95000</v>
      </c>
      <c r="UMH10" s="1548"/>
      <c r="UMI10" s="1547">
        <f t="shared" ref="UMI10" si="7254">UMG10</f>
        <v>95000</v>
      </c>
      <c r="UMJ10" s="1548"/>
      <c r="UMK10" s="1547">
        <f t="shared" ref="UMK10" si="7255">UMI10</f>
        <v>95000</v>
      </c>
      <c r="UML10" s="1548"/>
      <c r="UMM10" s="1547">
        <f t="shared" ref="UMM10" si="7256">UMK10</f>
        <v>95000</v>
      </c>
      <c r="UMN10" s="1548"/>
      <c r="UMO10" s="1547">
        <f t="shared" ref="UMO10" si="7257">UMM10</f>
        <v>95000</v>
      </c>
      <c r="UMP10" s="1548"/>
      <c r="UMQ10" s="1547">
        <f t="shared" ref="UMQ10" si="7258">UMO10</f>
        <v>95000</v>
      </c>
      <c r="UMR10" s="1548"/>
      <c r="UMS10" s="1547">
        <f t="shared" ref="UMS10" si="7259">UMQ10</f>
        <v>95000</v>
      </c>
      <c r="UMT10" s="1548"/>
      <c r="UMU10" s="1547">
        <f t="shared" ref="UMU10" si="7260">UMS10</f>
        <v>95000</v>
      </c>
      <c r="UMV10" s="1548"/>
      <c r="UMW10" s="1547">
        <f t="shared" ref="UMW10" si="7261">UMU10</f>
        <v>95000</v>
      </c>
      <c r="UMX10" s="1548"/>
      <c r="UMY10" s="1547">
        <f t="shared" ref="UMY10" si="7262">UMW10</f>
        <v>95000</v>
      </c>
      <c r="UMZ10" s="1548"/>
      <c r="UNA10" s="1547">
        <f t="shared" ref="UNA10" si="7263">UMY10</f>
        <v>95000</v>
      </c>
      <c r="UNB10" s="1548"/>
      <c r="UNC10" s="1547">
        <f t="shared" ref="UNC10" si="7264">UNA10</f>
        <v>95000</v>
      </c>
      <c r="UND10" s="1548"/>
      <c r="UNE10" s="1547">
        <f t="shared" ref="UNE10" si="7265">UNC10</f>
        <v>95000</v>
      </c>
      <c r="UNF10" s="1548"/>
      <c r="UNG10" s="1547">
        <f t="shared" ref="UNG10" si="7266">UNE10</f>
        <v>95000</v>
      </c>
      <c r="UNH10" s="1548"/>
      <c r="UNI10" s="1547">
        <f t="shared" ref="UNI10" si="7267">UNG10</f>
        <v>95000</v>
      </c>
      <c r="UNJ10" s="1548"/>
      <c r="UNK10" s="1547">
        <f t="shared" ref="UNK10" si="7268">UNI10</f>
        <v>95000</v>
      </c>
      <c r="UNL10" s="1548"/>
      <c r="UNM10" s="1547">
        <f t="shared" ref="UNM10" si="7269">UNK10</f>
        <v>95000</v>
      </c>
      <c r="UNN10" s="1548"/>
      <c r="UNO10" s="1547">
        <f t="shared" ref="UNO10" si="7270">UNM10</f>
        <v>95000</v>
      </c>
      <c r="UNP10" s="1548"/>
      <c r="UNQ10" s="1547">
        <f t="shared" ref="UNQ10" si="7271">UNO10</f>
        <v>95000</v>
      </c>
      <c r="UNR10" s="1548"/>
      <c r="UNS10" s="1547">
        <f t="shared" ref="UNS10" si="7272">UNQ10</f>
        <v>95000</v>
      </c>
      <c r="UNT10" s="1548"/>
      <c r="UNU10" s="1547">
        <f t="shared" ref="UNU10" si="7273">UNS10</f>
        <v>95000</v>
      </c>
      <c r="UNV10" s="1548"/>
      <c r="UNW10" s="1547">
        <f t="shared" ref="UNW10" si="7274">UNU10</f>
        <v>95000</v>
      </c>
      <c r="UNX10" s="1548"/>
      <c r="UNY10" s="1547">
        <f t="shared" ref="UNY10" si="7275">UNW10</f>
        <v>95000</v>
      </c>
      <c r="UNZ10" s="1548"/>
      <c r="UOA10" s="1547">
        <f t="shared" ref="UOA10" si="7276">UNY10</f>
        <v>95000</v>
      </c>
      <c r="UOB10" s="1548"/>
      <c r="UOC10" s="1547">
        <f t="shared" ref="UOC10" si="7277">UOA10</f>
        <v>95000</v>
      </c>
      <c r="UOD10" s="1548"/>
      <c r="UOE10" s="1547">
        <f t="shared" ref="UOE10" si="7278">UOC10</f>
        <v>95000</v>
      </c>
      <c r="UOF10" s="1548"/>
      <c r="UOG10" s="1547">
        <f t="shared" ref="UOG10" si="7279">UOE10</f>
        <v>95000</v>
      </c>
      <c r="UOH10" s="1548"/>
      <c r="UOI10" s="1547">
        <f t="shared" ref="UOI10" si="7280">UOG10</f>
        <v>95000</v>
      </c>
      <c r="UOJ10" s="1548"/>
      <c r="UOK10" s="1547">
        <f t="shared" ref="UOK10" si="7281">UOI10</f>
        <v>95000</v>
      </c>
      <c r="UOL10" s="1548"/>
      <c r="UOM10" s="1547">
        <f t="shared" ref="UOM10" si="7282">UOK10</f>
        <v>95000</v>
      </c>
      <c r="UON10" s="1548"/>
      <c r="UOO10" s="1547">
        <f t="shared" ref="UOO10" si="7283">UOM10</f>
        <v>95000</v>
      </c>
      <c r="UOP10" s="1548"/>
      <c r="UOQ10" s="1547">
        <f t="shared" ref="UOQ10" si="7284">UOO10</f>
        <v>95000</v>
      </c>
      <c r="UOR10" s="1548"/>
      <c r="UOS10" s="1547">
        <f t="shared" ref="UOS10" si="7285">UOQ10</f>
        <v>95000</v>
      </c>
      <c r="UOT10" s="1548"/>
      <c r="UOU10" s="1547">
        <f t="shared" ref="UOU10" si="7286">UOS10</f>
        <v>95000</v>
      </c>
      <c r="UOV10" s="1548"/>
      <c r="UOW10" s="1547">
        <f t="shared" ref="UOW10" si="7287">UOU10</f>
        <v>95000</v>
      </c>
      <c r="UOX10" s="1548"/>
      <c r="UOY10" s="1547">
        <f t="shared" ref="UOY10" si="7288">UOW10</f>
        <v>95000</v>
      </c>
      <c r="UOZ10" s="1548"/>
      <c r="UPA10" s="1547">
        <f t="shared" ref="UPA10" si="7289">UOY10</f>
        <v>95000</v>
      </c>
      <c r="UPB10" s="1548"/>
      <c r="UPC10" s="1547">
        <f t="shared" ref="UPC10" si="7290">UPA10</f>
        <v>95000</v>
      </c>
      <c r="UPD10" s="1548"/>
      <c r="UPE10" s="1547">
        <f t="shared" ref="UPE10" si="7291">UPC10</f>
        <v>95000</v>
      </c>
      <c r="UPF10" s="1548"/>
      <c r="UPG10" s="1547">
        <f t="shared" ref="UPG10" si="7292">UPE10</f>
        <v>95000</v>
      </c>
      <c r="UPH10" s="1548"/>
      <c r="UPI10" s="1547">
        <f t="shared" ref="UPI10" si="7293">UPG10</f>
        <v>95000</v>
      </c>
      <c r="UPJ10" s="1548"/>
      <c r="UPK10" s="1547">
        <f t="shared" ref="UPK10" si="7294">UPI10</f>
        <v>95000</v>
      </c>
      <c r="UPL10" s="1548"/>
      <c r="UPM10" s="1547">
        <f t="shared" ref="UPM10" si="7295">UPK10</f>
        <v>95000</v>
      </c>
      <c r="UPN10" s="1548"/>
      <c r="UPO10" s="1547">
        <f t="shared" ref="UPO10" si="7296">UPM10</f>
        <v>95000</v>
      </c>
      <c r="UPP10" s="1548"/>
      <c r="UPQ10" s="1547">
        <f t="shared" ref="UPQ10" si="7297">UPO10</f>
        <v>95000</v>
      </c>
      <c r="UPR10" s="1548"/>
      <c r="UPS10" s="1547">
        <f t="shared" ref="UPS10" si="7298">UPQ10</f>
        <v>95000</v>
      </c>
      <c r="UPT10" s="1548"/>
      <c r="UPU10" s="1547">
        <f t="shared" ref="UPU10" si="7299">UPS10</f>
        <v>95000</v>
      </c>
      <c r="UPV10" s="1548"/>
      <c r="UPW10" s="1547">
        <f t="shared" ref="UPW10" si="7300">UPU10</f>
        <v>95000</v>
      </c>
      <c r="UPX10" s="1548"/>
      <c r="UPY10" s="1547">
        <f t="shared" ref="UPY10" si="7301">UPW10</f>
        <v>95000</v>
      </c>
      <c r="UPZ10" s="1548"/>
      <c r="UQA10" s="1547">
        <f t="shared" ref="UQA10" si="7302">UPY10</f>
        <v>95000</v>
      </c>
      <c r="UQB10" s="1548"/>
      <c r="UQC10" s="1547">
        <f t="shared" ref="UQC10" si="7303">UQA10</f>
        <v>95000</v>
      </c>
      <c r="UQD10" s="1548"/>
      <c r="UQE10" s="1547">
        <f t="shared" ref="UQE10" si="7304">UQC10</f>
        <v>95000</v>
      </c>
      <c r="UQF10" s="1548"/>
      <c r="UQG10" s="1547">
        <f t="shared" ref="UQG10" si="7305">UQE10</f>
        <v>95000</v>
      </c>
      <c r="UQH10" s="1548"/>
      <c r="UQI10" s="1547">
        <f t="shared" ref="UQI10" si="7306">UQG10</f>
        <v>95000</v>
      </c>
      <c r="UQJ10" s="1548"/>
      <c r="UQK10" s="1547">
        <f t="shared" ref="UQK10" si="7307">UQI10</f>
        <v>95000</v>
      </c>
      <c r="UQL10" s="1548"/>
      <c r="UQM10" s="1547">
        <f t="shared" ref="UQM10" si="7308">UQK10</f>
        <v>95000</v>
      </c>
      <c r="UQN10" s="1548"/>
      <c r="UQO10" s="1547">
        <f t="shared" ref="UQO10" si="7309">UQM10</f>
        <v>95000</v>
      </c>
      <c r="UQP10" s="1548"/>
      <c r="UQQ10" s="1547">
        <f t="shared" ref="UQQ10" si="7310">UQO10</f>
        <v>95000</v>
      </c>
      <c r="UQR10" s="1548"/>
      <c r="UQS10" s="1547">
        <f t="shared" ref="UQS10" si="7311">UQQ10</f>
        <v>95000</v>
      </c>
      <c r="UQT10" s="1548"/>
      <c r="UQU10" s="1547">
        <f t="shared" ref="UQU10" si="7312">UQS10</f>
        <v>95000</v>
      </c>
      <c r="UQV10" s="1548"/>
      <c r="UQW10" s="1547">
        <f t="shared" ref="UQW10" si="7313">UQU10</f>
        <v>95000</v>
      </c>
      <c r="UQX10" s="1548"/>
      <c r="UQY10" s="1547">
        <f t="shared" ref="UQY10" si="7314">UQW10</f>
        <v>95000</v>
      </c>
      <c r="UQZ10" s="1548"/>
      <c r="URA10" s="1547">
        <f t="shared" ref="URA10" si="7315">UQY10</f>
        <v>95000</v>
      </c>
      <c r="URB10" s="1548"/>
      <c r="URC10" s="1547">
        <f t="shared" ref="URC10" si="7316">URA10</f>
        <v>95000</v>
      </c>
      <c r="URD10" s="1548"/>
      <c r="URE10" s="1547">
        <f t="shared" ref="URE10" si="7317">URC10</f>
        <v>95000</v>
      </c>
      <c r="URF10" s="1548"/>
      <c r="URG10" s="1547">
        <f t="shared" ref="URG10" si="7318">URE10</f>
        <v>95000</v>
      </c>
      <c r="URH10" s="1548"/>
      <c r="URI10" s="1547">
        <f t="shared" ref="URI10" si="7319">URG10</f>
        <v>95000</v>
      </c>
      <c r="URJ10" s="1548"/>
      <c r="URK10" s="1547">
        <f t="shared" ref="URK10" si="7320">URI10</f>
        <v>95000</v>
      </c>
      <c r="URL10" s="1548"/>
      <c r="URM10" s="1547">
        <f t="shared" ref="URM10" si="7321">URK10</f>
        <v>95000</v>
      </c>
      <c r="URN10" s="1548"/>
      <c r="URO10" s="1547">
        <f t="shared" ref="URO10" si="7322">URM10</f>
        <v>95000</v>
      </c>
      <c r="URP10" s="1548"/>
      <c r="URQ10" s="1547">
        <f t="shared" ref="URQ10" si="7323">URO10</f>
        <v>95000</v>
      </c>
      <c r="URR10" s="1548"/>
      <c r="URS10" s="1547">
        <f t="shared" ref="URS10" si="7324">URQ10</f>
        <v>95000</v>
      </c>
      <c r="URT10" s="1548"/>
      <c r="URU10" s="1547">
        <f t="shared" ref="URU10" si="7325">URS10</f>
        <v>95000</v>
      </c>
      <c r="URV10" s="1548"/>
      <c r="URW10" s="1547">
        <f t="shared" ref="URW10" si="7326">URU10</f>
        <v>95000</v>
      </c>
      <c r="URX10" s="1548"/>
      <c r="URY10" s="1547">
        <f t="shared" ref="URY10" si="7327">URW10</f>
        <v>95000</v>
      </c>
      <c r="URZ10" s="1548"/>
      <c r="USA10" s="1547">
        <f t="shared" ref="USA10" si="7328">URY10</f>
        <v>95000</v>
      </c>
      <c r="USB10" s="1548"/>
      <c r="USC10" s="1547">
        <f t="shared" ref="USC10" si="7329">USA10</f>
        <v>95000</v>
      </c>
      <c r="USD10" s="1548"/>
      <c r="USE10" s="1547">
        <f t="shared" ref="USE10" si="7330">USC10</f>
        <v>95000</v>
      </c>
      <c r="USF10" s="1548"/>
      <c r="USG10" s="1547">
        <f t="shared" ref="USG10" si="7331">USE10</f>
        <v>95000</v>
      </c>
      <c r="USH10" s="1548"/>
      <c r="USI10" s="1547">
        <f t="shared" ref="USI10" si="7332">USG10</f>
        <v>95000</v>
      </c>
      <c r="USJ10" s="1548"/>
      <c r="USK10" s="1547">
        <f t="shared" ref="USK10" si="7333">USI10</f>
        <v>95000</v>
      </c>
      <c r="USL10" s="1548"/>
      <c r="USM10" s="1547">
        <f t="shared" ref="USM10" si="7334">USK10</f>
        <v>95000</v>
      </c>
      <c r="USN10" s="1548"/>
      <c r="USO10" s="1547">
        <f t="shared" ref="USO10" si="7335">USM10</f>
        <v>95000</v>
      </c>
      <c r="USP10" s="1548"/>
      <c r="USQ10" s="1547">
        <f t="shared" ref="USQ10" si="7336">USO10</f>
        <v>95000</v>
      </c>
      <c r="USR10" s="1548"/>
      <c r="USS10" s="1547">
        <f t="shared" ref="USS10" si="7337">USQ10</f>
        <v>95000</v>
      </c>
      <c r="UST10" s="1548"/>
      <c r="USU10" s="1547">
        <f t="shared" ref="USU10" si="7338">USS10</f>
        <v>95000</v>
      </c>
      <c r="USV10" s="1548"/>
      <c r="USW10" s="1547">
        <f t="shared" ref="USW10" si="7339">USU10</f>
        <v>95000</v>
      </c>
      <c r="USX10" s="1548"/>
      <c r="USY10" s="1547">
        <f t="shared" ref="USY10" si="7340">USW10</f>
        <v>95000</v>
      </c>
      <c r="USZ10" s="1548"/>
      <c r="UTA10" s="1547">
        <f t="shared" ref="UTA10" si="7341">USY10</f>
        <v>95000</v>
      </c>
      <c r="UTB10" s="1548"/>
      <c r="UTC10" s="1547">
        <f t="shared" ref="UTC10" si="7342">UTA10</f>
        <v>95000</v>
      </c>
      <c r="UTD10" s="1548"/>
      <c r="UTE10" s="1547">
        <f t="shared" ref="UTE10" si="7343">UTC10</f>
        <v>95000</v>
      </c>
      <c r="UTF10" s="1548"/>
      <c r="UTG10" s="1547">
        <f t="shared" ref="UTG10" si="7344">UTE10</f>
        <v>95000</v>
      </c>
      <c r="UTH10" s="1548"/>
      <c r="UTI10" s="1547">
        <f t="shared" ref="UTI10" si="7345">UTG10</f>
        <v>95000</v>
      </c>
      <c r="UTJ10" s="1548"/>
      <c r="UTK10" s="1547">
        <f t="shared" ref="UTK10" si="7346">UTI10</f>
        <v>95000</v>
      </c>
      <c r="UTL10" s="1548"/>
      <c r="UTM10" s="1547">
        <f t="shared" ref="UTM10" si="7347">UTK10</f>
        <v>95000</v>
      </c>
      <c r="UTN10" s="1548"/>
      <c r="UTO10" s="1547">
        <f t="shared" ref="UTO10" si="7348">UTM10</f>
        <v>95000</v>
      </c>
      <c r="UTP10" s="1548"/>
      <c r="UTQ10" s="1547">
        <f t="shared" ref="UTQ10" si="7349">UTO10</f>
        <v>95000</v>
      </c>
      <c r="UTR10" s="1548"/>
      <c r="UTS10" s="1547">
        <f t="shared" ref="UTS10" si="7350">UTQ10</f>
        <v>95000</v>
      </c>
      <c r="UTT10" s="1548"/>
      <c r="UTU10" s="1547">
        <f t="shared" ref="UTU10" si="7351">UTS10</f>
        <v>95000</v>
      </c>
      <c r="UTV10" s="1548"/>
      <c r="UTW10" s="1547">
        <f t="shared" ref="UTW10" si="7352">UTU10</f>
        <v>95000</v>
      </c>
      <c r="UTX10" s="1548"/>
      <c r="UTY10" s="1547">
        <f t="shared" ref="UTY10" si="7353">UTW10</f>
        <v>95000</v>
      </c>
      <c r="UTZ10" s="1548"/>
      <c r="UUA10" s="1547">
        <f t="shared" ref="UUA10" si="7354">UTY10</f>
        <v>95000</v>
      </c>
      <c r="UUB10" s="1548"/>
      <c r="UUC10" s="1547">
        <f t="shared" ref="UUC10" si="7355">UUA10</f>
        <v>95000</v>
      </c>
      <c r="UUD10" s="1548"/>
      <c r="UUE10" s="1547">
        <f t="shared" ref="UUE10" si="7356">UUC10</f>
        <v>95000</v>
      </c>
      <c r="UUF10" s="1548"/>
      <c r="UUG10" s="1547">
        <f t="shared" ref="UUG10" si="7357">UUE10</f>
        <v>95000</v>
      </c>
      <c r="UUH10" s="1548"/>
      <c r="UUI10" s="1547">
        <f t="shared" ref="UUI10" si="7358">UUG10</f>
        <v>95000</v>
      </c>
      <c r="UUJ10" s="1548"/>
      <c r="UUK10" s="1547">
        <f t="shared" ref="UUK10" si="7359">UUI10</f>
        <v>95000</v>
      </c>
      <c r="UUL10" s="1548"/>
      <c r="UUM10" s="1547">
        <f t="shared" ref="UUM10" si="7360">UUK10</f>
        <v>95000</v>
      </c>
      <c r="UUN10" s="1548"/>
      <c r="UUO10" s="1547">
        <f t="shared" ref="UUO10" si="7361">UUM10</f>
        <v>95000</v>
      </c>
      <c r="UUP10" s="1548"/>
      <c r="UUQ10" s="1547">
        <f t="shared" ref="UUQ10" si="7362">UUO10</f>
        <v>95000</v>
      </c>
      <c r="UUR10" s="1548"/>
      <c r="UUS10" s="1547">
        <f t="shared" ref="UUS10" si="7363">UUQ10</f>
        <v>95000</v>
      </c>
      <c r="UUT10" s="1548"/>
      <c r="UUU10" s="1547">
        <f t="shared" ref="UUU10" si="7364">UUS10</f>
        <v>95000</v>
      </c>
      <c r="UUV10" s="1548"/>
      <c r="UUW10" s="1547">
        <f t="shared" ref="UUW10" si="7365">UUU10</f>
        <v>95000</v>
      </c>
      <c r="UUX10" s="1548"/>
      <c r="UUY10" s="1547">
        <f t="shared" ref="UUY10" si="7366">UUW10</f>
        <v>95000</v>
      </c>
      <c r="UUZ10" s="1548"/>
      <c r="UVA10" s="1547">
        <f t="shared" ref="UVA10" si="7367">UUY10</f>
        <v>95000</v>
      </c>
      <c r="UVB10" s="1548"/>
      <c r="UVC10" s="1547">
        <f t="shared" ref="UVC10" si="7368">UVA10</f>
        <v>95000</v>
      </c>
      <c r="UVD10" s="1548"/>
      <c r="UVE10" s="1547">
        <f t="shared" ref="UVE10" si="7369">UVC10</f>
        <v>95000</v>
      </c>
      <c r="UVF10" s="1548"/>
      <c r="UVG10" s="1547">
        <f t="shared" ref="UVG10" si="7370">UVE10</f>
        <v>95000</v>
      </c>
      <c r="UVH10" s="1548"/>
      <c r="UVI10" s="1547">
        <f t="shared" ref="UVI10" si="7371">UVG10</f>
        <v>95000</v>
      </c>
      <c r="UVJ10" s="1548"/>
      <c r="UVK10" s="1547">
        <f t="shared" ref="UVK10" si="7372">UVI10</f>
        <v>95000</v>
      </c>
      <c r="UVL10" s="1548"/>
      <c r="UVM10" s="1547">
        <f t="shared" ref="UVM10" si="7373">UVK10</f>
        <v>95000</v>
      </c>
      <c r="UVN10" s="1548"/>
      <c r="UVO10" s="1547">
        <f t="shared" ref="UVO10" si="7374">UVM10</f>
        <v>95000</v>
      </c>
      <c r="UVP10" s="1548"/>
      <c r="UVQ10" s="1547">
        <f t="shared" ref="UVQ10" si="7375">UVO10</f>
        <v>95000</v>
      </c>
      <c r="UVR10" s="1548"/>
      <c r="UVS10" s="1547">
        <f t="shared" ref="UVS10" si="7376">UVQ10</f>
        <v>95000</v>
      </c>
      <c r="UVT10" s="1548"/>
      <c r="UVU10" s="1547">
        <f t="shared" ref="UVU10" si="7377">UVS10</f>
        <v>95000</v>
      </c>
      <c r="UVV10" s="1548"/>
      <c r="UVW10" s="1547">
        <f t="shared" ref="UVW10" si="7378">UVU10</f>
        <v>95000</v>
      </c>
      <c r="UVX10" s="1548"/>
      <c r="UVY10" s="1547">
        <f t="shared" ref="UVY10" si="7379">UVW10</f>
        <v>95000</v>
      </c>
      <c r="UVZ10" s="1548"/>
      <c r="UWA10" s="1547">
        <f t="shared" ref="UWA10" si="7380">UVY10</f>
        <v>95000</v>
      </c>
      <c r="UWB10" s="1548"/>
      <c r="UWC10" s="1547">
        <f t="shared" ref="UWC10" si="7381">UWA10</f>
        <v>95000</v>
      </c>
      <c r="UWD10" s="1548"/>
      <c r="UWE10" s="1547">
        <f t="shared" ref="UWE10" si="7382">UWC10</f>
        <v>95000</v>
      </c>
      <c r="UWF10" s="1548"/>
      <c r="UWG10" s="1547">
        <f t="shared" ref="UWG10" si="7383">UWE10</f>
        <v>95000</v>
      </c>
      <c r="UWH10" s="1548"/>
      <c r="UWI10" s="1547">
        <f t="shared" ref="UWI10" si="7384">UWG10</f>
        <v>95000</v>
      </c>
      <c r="UWJ10" s="1548"/>
      <c r="UWK10" s="1547">
        <f t="shared" ref="UWK10" si="7385">UWI10</f>
        <v>95000</v>
      </c>
      <c r="UWL10" s="1548"/>
      <c r="UWM10" s="1547">
        <f t="shared" ref="UWM10" si="7386">UWK10</f>
        <v>95000</v>
      </c>
      <c r="UWN10" s="1548"/>
      <c r="UWO10" s="1547">
        <f t="shared" ref="UWO10" si="7387">UWM10</f>
        <v>95000</v>
      </c>
      <c r="UWP10" s="1548"/>
      <c r="UWQ10" s="1547">
        <f t="shared" ref="UWQ10" si="7388">UWO10</f>
        <v>95000</v>
      </c>
      <c r="UWR10" s="1548"/>
      <c r="UWS10" s="1547">
        <f t="shared" ref="UWS10" si="7389">UWQ10</f>
        <v>95000</v>
      </c>
      <c r="UWT10" s="1548"/>
      <c r="UWU10" s="1547">
        <f t="shared" ref="UWU10" si="7390">UWS10</f>
        <v>95000</v>
      </c>
      <c r="UWV10" s="1548"/>
      <c r="UWW10" s="1547">
        <f t="shared" ref="UWW10" si="7391">UWU10</f>
        <v>95000</v>
      </c>
      <c r="UWX10" s="1548"/>
      <c r="UWY10" s="1547">
        <f t="shared" ref="UWY10" si="7392">UWW10</f>
        <v>95000</v>
      </c>
      <c r="UWZ10" s="1548"/>
      <c r="UXA10" s="1547">
        <f t="shared" ref="UXA10" si="7393">UWY10</f>
        <v>95000</v>
      </c>
      <c r="UXB10" s="1548"/>
      <c r="UXC10" s="1547">
        <f t="shared" ref="UXC10" si="7394">UXA10</f>
        <v>95000</v>
      </c>
      <c r="UXD10" s="1548"/>
      <c r="UXE10" s="1547">
        <f t="shared" ref="UXE10" si="7395">UXC10</f>
        <v>95000</v>
      </c>
      <c r="UXF10" s="1548"/>
      <c r="UXG10" s="1547">
        <f t="shared" ref="UXG10" si="7396">UXE10</f>
        <v>95000</v>
      </c>
      <c r="UXH10" s="1548"/>
      <c r="UXI10" s="1547">
        <f t="shared" ref="UXI10" si="7397">UXG10</f>
        <v>95000</v>
      </c>
      <c r="UXJ10" s="1548"/>
      <c r="UXK10" s="1547">
        <f t="shared" ref="UXK10" si="7398">UXI10</f>
        <v>95000</v>
      </c>
      <c r="UXL10" s="1548"/>
      <c r="UXM10" s="1547">
        <f t="shared" ref="UXM10" si="7399">UXK10</f>
        <v>95000</v>
      </c>
      <c r="UXN10" s="1548"/>
      <c r="UXO10" s="1547">
        <f t="shared" ref="UXO10" si="7400">UXM10</f>
        <v>95000</v>
      </c>
      <c r="UXP10" s="1548"/>
      <c r="UXQ10" s="1547">
        <f t="shared" ref="UXQ10" si="7401">UXO10</f>
        <v>95000</v>
      </c>
      <c r="UXR10" s="1548"/>
      <c r="UXS10" s="1547">
        <f t="shared" ref="UXS10" si="7402">UXQ10</f>
        <v>95000</v>
      </c>
      <c r="UXT10" s="1548"/>
      <c r="UXU10" s="1547">
        <f t="shared" ref="UXU10" si="7403">UXS10</f>
        <v>95000</v>
      </c>
      <c r="UXV10" s="1548"/>
      <c r="UXW10" s="1547">
        <f t="shared" ref="UXW10" si="7404">UXU10</f>
        <v>95000</v>
      </c>
      <c r="UXX10" s="1548"/>
      <c r="UXY10" s="1547">
        <f t="shared" ref="UXY10" si="7405">UXW10</f>
        <v>95000</v>
      </c>
      <c r="UXZ10" s="1548"/>
      <c r="UYA10" s="1547">
        <f t="shared" ref="UYA10" si="7406">UXY10</f>
        <v>95000</v>
      </c>
      <c r="UYB10" s="1548"/>
      <c r="UYC10" s="1547">
        <f t="shared" ref="UYC10" si="7407">UYA10</f>
        <v>95000</v>
      </c>
      <c r="UYD10" s="1548"/>
      <c r="UYE10" s="1547">
        <f t="shared" ref="UYE10" si="7408">UYC10</f>
        <v>95000</v>
      </c>
      <c r="UYF10" s="1548"/>
      <c r="UYG10" s="1547">
        <f t="shared" ref="UYG10" si="7409">UYE10</f>
        <v>95000</v>
      </c>
      <c r="UYH10" s="1548"/>
      <c r="UYI10" s="1547">
        <f t="shared" ref="UYI10" si="7410">UYG10</f>
        <v>95000</v>
      </c>
      <c r="UYJ10" s="1548"/>
      <c r="UYK10" s="1547">
        <f t="shared" ref="UYK10" si="7411">UYI10</f>
        <v>95000</v>
      </c>
      <c r="UYL10" s="1548"/>
      <c r="UYM10" s="1547">
        <f t="shared" ref="UYM10" si="7412">UYK10</f>
        <v>95000</v>
      </c>
      <c r="UYN10" s="1548"/>
      <c r="UYO10" s="1547">
        <f t="shared" ref="UYO10" si="7413">UYM10</f>
        <v>95000</v>
      </c>
      <c r="UYP10" s="1548"/>
      <c r="UYQ10" s="1547">
        <f t="shared" ref="UYQ10" si="7414">UYO10</f>
        <v>95000</v>
      </c>
      <c r="UYR10" s="1548"/>
      <c r="UYS10" s="1547">
        <f t="shared" ref="UYS10" si="7415">UYQ10</f>
        <v>95000</v>
      </c>
      <c r="UYT10" s="1548"/>
      <c r="UYU10" s="1547">
        <f t="shared" ref="UYU10" si="7416">UYS10</f>
        <v>95000</v>
      </c>
      <c r="UYV10" s="1548"/>
      <c r="UYW10" s="1547">
        <f t="shared" ref="UYW10" si="7417">UYU10</f>
        <v>95000</v>
      </c>
      <c r="UYX10" s="1548"/>
      <c r="UYY10" s="1547">
        <f t="shared" ref="UYY10" si="7418">UYW10</f>
        <v>95000</v>
      </c>
      <c r="UYZ10" s="1548"/>
      <c r="UZA10" s="1547">
        <f t="shared" ref="UZA10" si="7419">UYY10</f>
        <v>95000</v>
      </c>
      <c r="UZB10" s="1548"/>
      <c r="UZC10" s="1547">
        <f t="shared" ref="UZC10" si="7420">UZA10</f>
        <v>95000</v>
      </c>
      <c r="UZD10" s="1548"/>
      <c r="UZE10" s="1547">
        <f t="shared" ref="UZE10" si="7421">UZC10</f>
        <v>95000</v>
      </c>
      <c r="UZF10" s="1548"/>
      <c r="UZG10" s="1547">
        <f t="shared" ref="UZG10" si="7422">UZE10</f>
        <v>95000</v>
      </c>
      <c r="UZH10" s="1548"/>
      <c r="UZI10" s="1547">
        <f t="shared" ref="UZI10" si="7423">UZG10</f>
        <v>95000</v>
      </c>
      <c r="UZJ10" s="1548"/>
      <c r="UZK10" s="1547">
        <f t="shared" ref="UZK10" si="7424">UZI10</f>
        <v>95000</v>
      </c>
      <c r="UZL10" s="1548"/>
      <c r="UZM10" s="1547">
        <f t="shared" ref="UZM10" si="7425">UZK10</f>
        <v>95000</v>
      </c>
      <c r="UZN10" s="1548"/>
      <c r="UZO10" s="1547">
        <f t="shared" ref="UZO10" si="7426">UZM10</f>
        <v>95000</v>
      </c>
      <c r="UZP10" s="1548"/>
      <c r="UZQ10" s="1547">
        <f t="shared" ref="UZQ10" si="7427">UZO10</f>
        <v>95000</v>
      </c>
      <c r="UZR10" s="1548"/>
      <c r="UZS10" s="1547">
        <f t="shared" ref="UZS10" si="7428">UZQ10</f>
        <v>95000</v>
      </c>
      <c r="UZT10" s="1548"/>
      <c r="UZU10" s="1547">
        <f t="shared" ref="UZU10" si="7429">UZS10</f>
        <v>95000</v>
      </c>
      <c r="UZV10" s="1548"/>
      <c r="UZW10" s="1547">
        <f t="shared" ref="UZW10" si="7430">UZU10</f>
        <v>95000</v>
      </c>
      <c r="UZX10" s="1548"/>
      <c r="UZY10" s="1547">
        <f t="shared" ref="UZY10" si="7431">UZW10</f>
        <v>95000</v>
      </c>
      <c r="UZZ10" s="1548"/>
      <c r="VAA10" s="1547">
        <f t="shared" ref="VAA10" si="7432">UZY10</f>
        <v>95000</v>
      </c>
      <c r="VAB10" s="1548"/>
      <c r="VAC10" s="1547">
        <f t="shared" ref="VAC10" si="7433">VAA10</f>
        <v>95000</v>
      </c>
      <c r="VAD10" s="1548"/>
      <c r="VAE10" s="1547">
        <f t="shared" ref="VAE10" si="7434">VAC10</f>
        <v>95000</v>
      </c>
      <c r="VAF10" s="1548"/>
      <c r="VAG10" s="1547">
        <f t="shared" ref="VAG10" si="7435">VAE10</f>
        <v>95000</v>
      </c>
      <c r="VAH10" s="1548"/>
      <c r="VAI10" s="1547">
        <f t="shared" ref="VAI10" si="7436">VAG10</f>
        <v>95000</v>
      </c>
      <c r="VAJ10" s="1548"/>
      <c r="VAK10" s="1547">
        <f t="shared" ref="VAK10" si="7437">VAI10</f>
        <v>95000</v>
      </c>
      <c r="VAL10" s="1548"/>
      <c r="VAM10" s="1547">
        <f t="shared" ref="VAM10" si="7438">VAK10</f>
        <v>95000</v>
      </c>
      <c r="VAN10" s="1548"/>
      <c r="VAO10" s="1547">
        <f t="shared" ref="VAO10" si="7439">VAM10</f>
        <v>95000</v>
      </c>
      <c r="VAP10" s="1548"/>
      <c r="VAQ10" s="1547">
        <f t="shared" ref="VAQ10" si="7440">VAO10</f>
        <v>95000</v>
      </c>
      <c r="VAR10" s="1548"/>
      <c r="VAS10" s="1547">
        <f t="shared" ref="VAS10" si="7441">VAQ10</f>
        <v>95000</v>
      </c>
      <c r="VAT10" s="1548"/>
      <c r="VAU10" s="1547">
        <f t="shared" ref="VAU10" si="7442">VAS10</f>
        <v>95000</v>
      </c>
      <c r="VAV10" s="1548"/>
      <c r="VAW10" s="1547">
        <f t="shared" ref="VAW10" si="7443">VAU10</f>
        <v>95000</v>
      </c>
      <c r="VAX10" s="1548"/>
      <c r="VAY10" s="1547">
        <f t="shared" ref="VAY10" si="7444">VAW10</f>
        <v>95000</v>
      </c>
      <c r="VAZ10" s="1548"/>
      <c r="VBA10" s="1547">
        <f t="shared" ref="VBA10" si="7445">VAY10</f>
        <v>95000</v>
      </c>
      <c r="VBB10" s="1548"/>
      <c r="VBC10" s="1547">
        <f t="shared" ref="VBC10" si="7446">VBA10</f>
        <v>95000</v>
      </c>
      <c r="VBD10" s="1548"/>
      <c r="VBE10" s="1547">
        <f t="shared" ref="VBE10" si="7447">VBC10</f>
        <v>95000</v>
      </c>
      <c r="VBF10" s="1548"/>
      <c r="VBG10" s="1547">
        <f t="shared" ref="VBG10" si="7448">VBE10</f>
        <v>95000</v>
      </c>
      <c r="VBH10" s="1548"/>
      <c r="VBI10" s="1547">
        <f t="shared" ref="VBI10" si="7449">VBG10</f>
        <v>95000</v>
      </c>
      <c r="VBJ10" s="1548"/>
      <c r="VBK10" s="1547">
        <f t="shared" ref="VBK10" si="7450">VBI10</f>
        <v>95000</v>
      </c>
      <c r="VBL10" s="1548"/>
      <c r="VBM10" s="1547">
        <f t="shared" ref="VBM10" si="7451">VBK10</f>
        <v>95000</v>
      </c>
      <c r="VBN10" s="1548"/>
      <c r="VBO10" s="1547">
        <f t="shared" ref="VBO10" si="7452">VBM10</f>
        <v>95000</v>
      </c>
      <c r="VBP10" s="1548"/>
      <c r="VBQ10" s="1547">
        <f t="shared" ref="VBQ10" si="7453">VBO10</f>
        <v>95000</v>
      </c>
      <c r="VBR10" s="1548"/>
      <c r="VBS10" s="1547">
        <f t="shared" ref="VBS10" si="7454">VBQ10</f>
        <v>95000</v>
      </c>
      <c r="VBT10" s="1548"/>
      <c r="VBU10" s="1547">
        <f t="shared" ref="VBU10" si="7455">VBS10</f>
        <v>95000</v>
      </c>
      <c r="VBV10" s="1548"/>
      <c r="VBW10" s="1547">
        <f t="shared" ref="VBW10" si="7456">VBU10</f>
        <v>95000</v>
      </c>
      <c r="VBX10" s="1548"/>
      <c r="VBY10" s="1547">
        <f t="shared" ref="VBY10" si="7457">VBW10</f>
        <v>95000</v>
      </c>
      <c r="VBZ10" s="1548"/>
      <c r="VCA10" s="1547">
        <f t="shared" ref="VCA10" si="7458">VBY10</f>
        <v>95000</v>
      </c>
      <c r="VCB10" s="1548"/>
      <c r="VCC10" s="1547">
        <f t="shared" ref="VCC10" si="7459">VCA10</f>
        <v>95000</v>
      </c>
      <c r="VCD10" s="1548"/>
      <c r="VCE10" s="1547">
        <f t="shared" ref="VCE10" si="7460">VCC10</f>
        <v>95000</v>
      </c>
      <c r="VCF10" s="1548"/>
      <c r="VCG10" s="1547">
        <f t="shared" ref="VCG10" si="7461">VCE10</f>
        <v>95000</v>
      </c>
      <c r="VCH10" s="1548"/>
      <c r="VCI10" s="1547">
        <f t="shared" ref="VCI10" si="7462">VCG10</f>
        <v>95000</v>
      </c>
      <c r="VCJ10" s="1548"/>
      <c r="VCK10" s="1547">
        <f t="shared" ref="VCK10" si="7463">VCI10</f>
        <v>95000</v>
      </c>
      <c r="VCL10" s="1548"/>
      <c r="VCM10" s="1547">
        <f t="shared" ref="VCM10" si="7464">VCK10</f>
        <v>95000</v>
      </c>
      <c r="VCN10" s="1548"/>
      <c r="VCO10" s="1547">
        <f t="shared" ref="VCO10" si="7465">VCM10</f>
        <v>95000</v>
      </c>
      <c r="VCP10" s="1548"/>
      <c r="VCQ10" s="1547">
        <f t="shared" ref="VCQ10" si="7466">VCO10</f>
        <v>95000</v>
      </c>
      <c r="VCR10" s="1548"/>
      <c r="VCS10" s="1547">
        <f t="shared" ref="VCS10" si="7467">VCQ10</f>
        <v>95000</v>
      </c>
      <c r="VCT10" s="1548"/>
      <c r="VCU10" s="1547">
        <f t="shared" ref="VCU10" si="7468">VCS10</f>
        <v>95000</v>
      </c>
      <c r="VCV10" s="1548"/>
      <c r="VCW10" s="1547">
        <f t="shared" ref="VCW10" si="7469">VCU10</f>
        <v>95000</v>
      </c>
      <c r="VCX10" s="1548"/>
      <c r="VCY10" s="1547">
        <f t="shared" ref="VCY10" si="7470">VCW10</f>
        <v>95000</v>
      </c>
      <c r="VCZ10" s="1548"/>
      <c r="VDA10" s="1547">
        <f t="shared" ref="VDA10" si="7471">VCY10</f>
        <v>95000</v>
      </c>
      <c r="VDB10" s="1548"/>
      <c r="VDC10" s="1547">
        <f t="shared" ref="VDC10" si="7472">VDA10</f>
        <v>95000</v>
      </c>
      <c r="VDD10" s="1548"/>
      <c r="VDE10" s="1547">
        <f t="shared" ref="VDE10" si="7473">VDC10</f>
        <v>95000</v>
      </c>
      <c r="VDF10" s="1548"/>
      <c r="VDG10" s="1547">
        <f t="shared" ref="VDG10" si="7474">VDE10</f>
        <v>95000</v>
      </c>
      <c r="VDH10" s="1548"/>
      <c r="VDI10" s="1547">
        <f t="shared" ref="VDI10" si="7475">VDG10</f>
        <v>95000</v>
      </c>
      <c r="VDJ10" s="1548"/>
      <c r="VDK10" s="1547">
        <f t="shared" ref="VDK10" si="7476">VDI10</f>
        <v>95000</v>
      </c>
      <c r="VDL10" s="1548"/>
      <c r="VDM10" s="1547">
        <f t="shared" ref="VDM10" si="7477">VDK10</f>
        <v>95000</v>
      </c>
      <c r="VDN10" s="1548"/>
      <c r="VDO10" s="1547">
        <f t="shared" ref="VDO10" si="7478">VDM10</f>
        <v>95000</v>
      </c>
      <c r="VDP10" s="1548"/>
      <c r="VDQ10" s="1547">
        <f t="shared" ref="VDQ10" si="7479">VDO10</f>
        <v>95000</v>
      </c>
      <c r="VDR10" s="1548"/>
      <c r="VDS10" s="1547">
        <f t="shared" ref="VDS10" si="7480">VDQ10</f>
        <v>95000</v>
      </c>
      <c r="VDT10" s="1548"/>
      <c r="VDU10" s="1547">
        <f t="shared" ref="VDU10" si="7481">VDS10</f>
        <v>95000</v>
      </c>
      <c r="VDV10" s="1548"/>
      <c r="VDW10" s="1547">
        <f t="shared" ref="VDW10" si="7482">VDU10</f>
        <v>95000</v>
      </c>
      <c r="VDX10" s="1548"/>
      <c r="VDY10" s="1547">
        <f t="shared" ref="VDY10" si="7483">VDW10</f>
        <v>95000</v>
      </c>
      <c r="VDZ10" s="1548"/>
      <c r="VEA10" s="1547">
        <f t="shared" ref="VEA10" si="7484">VDY10</f>
        <v>95000</v>
      </c>
      <c r="VEB10" s="1548"/>
      <c r="VEC10" s="1547">
        <f t="shared" ref="VEC10" si="7485">VEA10</f>
        <v>95000</v>
      </c>
      <c r="VED10" s="1548"/>
      <c r="VEE10" s="1547">
        <f t="shared" ref="VEE10" si="7486">VEC10</f>
        <v>95000</v>
      </c>
      <c r="VEF10" s="1548"/>
      <c r="VEG10" s="1547">
        <f t="shared" ref="VEG10" si="7487">VEE10</f>
        <v>95000</v>
      </c>
      <c r="VEH10" s="1548"/>
      <c r="VEI10" s="1547">
        <f t="shared" ref="VEI10" si="7488">VEG10</f>
        <v>95000</v>
      </c>
      <c r="VEJ10" s="1548"/>
      <c r="VEK10" s="1547">
        <f t="shared" ref="VEK10" si="7489">VEI10</f>
        <v>95000</v>
      </c>
      <c r="VEL10" s="1548"/>
      <c r="VEM10" s="1547">
        <f t="shared" ref="VEM10" si="7490">VEK10</f>
        <v>95000</v>
      </c>
      <c r="VEN10" s="1548"/>
      <c r="VEO10" s="1547">
        <f t="shared" ref="VEO10" si="7491">VEM10</f>
        <v>95000</v>
      </c>
      <c r="VEP10" s="1548"/>
      <c r="VEQ10" s="1547">
        <f t="shared" ref="VEQ10" si="7492">VEO10</f>
        <v>95000</v>
      </c>
      <c r="VER10" s="1548"/>
      <c r="VES10" s="1547">
        <f t="shared" ref="VES10" si="7493">VEQ10</f>
        <v>95000</v>
      </c>
      <c r="VET10" s="1548"/>
      <c r="VEU10" s="1547">
        <f t="shared" ref="VEU10" si="7494">VES10</f>
        <v>95000</v>
      </c>
      <c r="VEV10" s="1548"/>
      <c r="VEW10" s="1547">
        <f t="shared" ref="VEW10" si="7495">VEU10</f>
        <v>95000</v>
      </c>
      <c r="VEX10" s="1548"/>
      <c r="VEY10" s="1547">
        <f t="shared" ref="VEY10" si="7496">VEW10</f>
        <v>95000</v>
      </c>
      <c r="VEZ10" s="1548"/>
      <c r="VFA10" s="1547">
        <f t="shared" ref="VFA10" si="7497">VEY10</f>
        <v>95000</v>
      </c>
      <c r="VFB10" s="1548"/>
      <c r="VFC10" s="1547">
        <f t="shared" ref="VFC10" si="7498">VFA10</f>
        <v>95000</v>
      </c>
      <c r="VFD10" s="1548"/>
      <c r="VFE10" s="1547">
        <f t="shared" ref="VFE10" si="7499">VFC10</f>
        <v>95000</v>
      </c>
      <c r="VFF10" s="1548"/>
      <c r="VFG10" s="1547">
        <f t="shared" ref="VFG10" si="7500">VFE10</f>
        <v>95000</v>
      </c>
      <c r="VFH10" s="1548"/>
      <c r="VFI10" s="1547">
        <f t="shared" ref="VFI10" si="7501">VFG10</f>
        <v>95000</v>
      </c>
      <c r="VFJ10" s="1548"/>
      <c r="VFK10" s="1547">
        <f t="shared" ref="VFK10" si="7502">VFI10</f>
        <v>95000</v>
      </c>
      <c r="VFL10" s="1548"/>
      <c r="VFM10" s="1547">
        <f t="shared" ref="VFM10" si="7503">VFK10</f>
        <v>95000</v>
      </c>
      <c r="VFN10" s="1548"/>
      <c r="VFO10" s="1547">
        <f t="shared" ref="VFO10" si="7504">VFM10</f>
        <v>95000</v>
      </c>
      <c r="VFP10" s="1548"/>
      <c r="VFQ10" s="1547">
        <f t="shared" ref="VFQ10" si="7505">VFO10</f>
        <v>95000</v>
      </c>
      <c r="VFR10" s="1548"/>
      <c r="VFS10" s="1547">
        <f t="shared" ref="VFS10" si="7506">VFQ10</f>
        <v>95000</v>
      </c>
      <c r="VFT10" s="1548"/>
      <c r="VFU10" s="1547">
        <f t="shared" ref="VFU10" si="7507">VFS10</f>
        <v>95000</v>
      </c>
      <c r="VFV10" s="1548"/>
      <c r="VFW10" s="1547">
        <f t="shared" ref="VFW10" si="7508">VFU10</f>
        <v>95000</v>
      </c>
      <c r="VFX10" s="1548"/>
      <c r="VFY10" s="1547">
        <f t="shared" ref="VFY10" si="7509">VFW10</f>
        <v>95000</v>
      </c>
      <c r="VFZ10" s="1548"/>
      <c r="VGA10" s="1547">
        <f t="shared" ref="VGA10" si="7510">VFY10</f>
        <v>95000</v>
      </c>
      <c r="VGB10" s="1548"/>
      <c r="VGC10" s="1547">
        <f t="shared" ref="VGC10" si="7511">VGA10</f>
        <v>95000</v>
      </c>
      <c r="VGD10" s="1548"/>
      <c r="VGE10" s="1547">
        <f t="shared" ref="VGE10" si="7512">VGC10</f>
        <v>95000</v>
      </c>
      <c r="VGF10" s="1548"/>
      <c r="VGG10" s="1547">
        <f t="shared" ref="VGG10" si="7513">VGE10</f>
        <v>95000</v>
      </c>
      <c r="VGH10" s="1548"/>
      <c r="VGI10" s="1547">
        <f t="shared" ref="VGI10" si="7514">VGG10</f>
        <v>95000</v>
      </c>
      <c r="VGJ10" s="1548"/>
      <c r="VGK10" s="1547">
        <f t="shared" ref="VGK10" si="7515">VGI10</f>
        <v>95000</v>
      </c>
      <c r="VGL10" s="1548"/>
      <c r="VGM10" s="1547">
        <f t="shared" ref="VGM10" si="7516">VGK10</f>
        <v>95000</v>
      </c>
      <c r="VGN10" s="1548"/>
      <c r="VGO10" s="1547">
        <f t="shared" ref="VGO10" si="7517">VGM10</f>
        <v>95000</v>
      </c>
      <c r="VGP10" s="1548"/>
      <c r="VGQ10" s="1547">
        <f t="shared" ref="VGQ10" si="7518">VGO10</f>
        <v>95000</v>
      </c>
      <c r="VGR10" s="1548"/>
      <c r="VGS10" s="1547">
        <f t="shared" ref="VGS10" si="7519">VGQ10</f>
        <v>95000</v>
      </c>
      <c r="VGT10" s="1548"/>
      <c r="VGU10" s="1547">
        <f t="shared" ref="VGU10" si="7520">VGS10</f>
        <v>95000</v>
      </c>
      <c r="VGV10" s="1548"/>
      <c r="VGW10" s="1547">
        <f t="shared" ref="VGW10" si="7521">VGU10</f>
        <v>95000</v>
      </c>
      <c r="VGX10" s="1548"/>
      <c r="VGY10" s="1547">
        <f t="shared" ref="VGY10" si="7522">VGW10</f>
        <v>95000</v>
      </c>
      <c r="VGZ10" s="1548"/>
      <c r="VHA10" s="1547">
        <f t="shared" ref="VHA10" si="7523">VGY10</f>
        <v>95000</v>
      </c>
      <c r="VHB10" s="1548"/>
      <c r="VHC10" s="1547">
        <f t="shared" ref="VHC10" si="7524">VHA10</f>
        <v>95000</v>
      </c>
      <c r="VHD10" s="1548"/>
      <c r="VHE10" s="1547">
        <f t="shared" ref="VHE10" si="7525">VHC10</f>
        <v>95000</v>
      </c>
      <c r="VHF10" s="1548"/>
      <c r="VHG10" s="1547">
        <f t="shared" ref="VHG10" si="7526">VHE10</f>
        <v>95000</v>
      </c>
      <c r="VHH10" s="1548"/>
      <c r="VHI10" s="1547">
        <f t="shared" ref="VHI10" si="7527">VHG10</f>
        <v>95000</v>
      </c>
      <c r="VHJ10" s="1548"/>
      <c r="VHK10" s="1547">
        <f t="shared" ref="VHK10" si="7528">VHI10</f>
        <v>95000</v>
      </c>
      <c r="VHL10" s="1548"/>
      <c r="VHM10" s="1547">
        <f t="shared" ref="VHM10" si="7529">VHK10</f>
        <v>95000</v>
      </c>
      <c r="VHN10" s="1548"/>
      <c r="VHO10" s="1547">
        <f t="shared" ref="VHO10" si="7530">VHM10</f>
        <v>95000</v>
      </c>
      <c r="VHP10" s="1548"/>
      <c r="VHQ10" s="1547">
        <f t="shared" ref="VHQ10" si="7531">VHO10</f>
        <v>95000</v>
      </c>
      <c r="VHR10" s="1548"/>
      <c r="VHS10" s="1547">
        <f t="shared" ref="VHS10" si="7532">VHQ10</f>
        <v>95000</v>
      </c>
      <c r="VHT10" s="1548"/>
      <c r="VHU10" s="1547">
        <f t="shared" ref="VHU10" si="7533">VHS10</f>
        <v>95000</v>
      </c>
      <c r="VHV10" s="1548"/>
      <c r="VHW10" s="1547">
        <f t="shared" ref="VHW10" si="7534">VHU10</f>
        <v>95000</v>
      </c>
      <c r="VHX10" s="1548"/>
      <c r="VHY10" s="1547">
        <f t="shared" ref="VHY10" si="7535">VHW10</f>
        <v>95000</v>
      </c>
      <c r="VHZ10" s="1548"/>
      <c r="VIA10" s="1547">
        <f t="shared" ref="VIA10" si="7536">VHY10</f>
        <v>95000</v>
      </c>
      <c r="VIB10" s="1548"/>
      <c r="VIC10" s="1547">
        <f t="shared" ref="VIC10" si="7537">VIA10</f>
        <v>95000</v>
      </c>
      <c r="VID10" s="1548"/>
      <c r="VIE10" s="1547">
        <f t="shared" ref="VIE10" si="7538">VIC10</f>
        <v>95000</v>
      </c>
      <c r="VIF10" s="1548"/>
      <c r="VIG10" s="1547">
        <f t="shared" ref="VIG10" si="7539">VIE10</f>
        <v>95000</v>
      </c>
      <c r="VIH10" s="1548"/>
      <c r="VII10" s="1547">
        <f t="shared" ref="VII10" si="7540">VIG10</f>
        <v>95000</v>
      </c>
      <c r="VIJ10" s="1548"/>
      <c r="VIK10" s="1547">
        <f t="shared" ref="VIK10" si="7541">VII10</f>
        <v>95000</v>
      </c>
      <c r="VIL10" s="1548"/>
      <c r="VIM10" s="1547">
        <f t="shared" ref="VIM10" si="7542">VIK10</f>
        <v>95000</v>
      </c>
      <c r="VIN10" s="1548"/>
      <c r="VIO10" s="1547">
        <f t="shared" ref="VIO10" si="7543">VIM10</f>
        <v>95000</v>
      </c>
      <c r="VIP10" s="1548"/>
      <c r="VIQ10" s="1547">
        <f t="shared" ref="VIQ10" si="7544">VIO10</f>
        <v>95000</v>
      </c>
      <c r="VIR10" s="1548"/>
      <c r="VIS10" s="1547">
        <f t="shared" ref="VIS10" si="7545">VIQ10</f>
        <v>95000</v>
      </c>
      <c r="VIT10" s="1548"/>
      <c r="VIU10" s="1547">
        <f t="shared" ref="VIU10" si="7546">VIS10</f>
        <v>95000</v>
      </c>
      <c r="VIV10" s="1548"/>
      <c r="VIW10" s="1547">
        <f t="shared" ref="VIW10" si="7547">VIU10</f>
        <v>95000</v>
      </c>
      <c r="VIX10" s="1548"/>
      <c r="VIY10" s="1547">
        <f t="shared" ref="VIY10" si="7548">VIW10</f>
        <v>95000</v>
      </c>
      <c r="VIZ10" s="1548"/>
      <c r="VJA10" s="1547">
        <f t="shared" ref="VJA10" si="7549">VIY10</f>
        <v>95000</v>
      </c>
      <c r="VJB10" s="1548"/>
      <c r="VJC10" s="1547">
        <f t="shared" ref="VJC10" si="7550">VJA10</f>
        <v>95000</v>
      </c>
      <c r="VJD10" s="1548"/>
      <c r="VJE10" s="1547">
        <f t="shared" ref="VJE10" si="7551">VJC10</f>
        <v>95000</v>
      </c>
      <c r="VJF10" s="1548"/>
      <c r="VJG10" s="1547">
        <f t="shared" ref="VJG10" si="7552">VJE10</f>
        <v>95000</v>
      </c>
      <c r="VJH10" s="1548"/>
      <c r="VJI10" s="1547">
        <f t="shared" ref="VJI10" si="7553">VJG10</f>
        <v>95000</v>
      </c>
      <c r="VJJ10" s="1548"/>
      <c r="VJK10" s="1547">
        <f t="shared" ref="VJK10" si="7554">VJI10</f>
        <v>95000</v>
      </c>
      <c r="VJL10" s="1548"/>
      <c r="VJM10" s="1547">
        <f t="shared" ref="VJM10" si="7555">VJK10</f>
        <v>95000</v>
      </c>
      <c r="VJN10" s="1548"/>
      <c r="VJO10" s="1547">
        <f t="shared" ref="VJO10" si="7556">VJM10</f>
        <v>95000</v>
      </c>
      <c r="VJP10" s="1548"/>
      <c r="VJQ10" s="1547">
        <f t="shared" ref="VJQ10" si="7557">VJO10</f>
        <v>95000</v>
      </c>
      <c r="VJR10" s="1548"/>
      <c r="VJS10" s="1547">
        <f t="shared" ref="VJS10" si="7558">VJQ10</f>
        <v>95000</v>
      </c>
      <c r="VJT10" s="1548"/>
      <c r="VJU10" s="1547">
        <f t="shared" ref="VJU10" si="7559">VJS10</f>
        <v>95000</v>
      </c>
      <c r="VJV10" s="1548"/>
      <c r="VJW10" s="1547">
        <f t="shared" ref="VJW10" si="7560">VJU10</f>
        <v>95000</v>
      </c>
      <c r="VJX10" s="1548"/>
      <c r="VJY10" s="1547">
        <f t="shared" ref="VJY10" si="7561">VJW10</f>
        <v>95000</v>
      </c>
      <c r="VJZ10" s="1548"/>
      <c r="VKA10" s="1547">
        <f t="shared" ref="VKA10" si="7562">VJY10</f>
        <v>95000</v>
      </c>
      <c r="VKB10" s="1548"/>
      <c r="VKC10" s="1547">
        <f t="shared" ref="VKC10" si="7563">VKA10</f>
        <v>95000</v>
      </c>
      <c r="VKD10" s="1548"/>
      <c r="VKE10" s="1547">
        <f t="shared" ref="VKE10" si="7564">VKC10</f>
        <v>95000</v>
      </c>
      <c r="VKF10" s="1548"/>
      <c r="VKG10" s="1547">
        <f t="shared" ref="VKG10" si="7565">VKE10</f>
        <v>95000</v>
      </c>
      <c r="VKH10" s="1548"/>
      <c r="VKI10" s="1547">
        <f t="shared" ref="VKI10" si="7566">VKG10</f>
        <v>95000</v>
      </c>
      <c r="VKJ10" s="1548"/>
      <c r="VKK10" s="1547">
        <f t="shared" ref="VKK10" si="7567">VKI10</f>
        <v>95000</v>
      </c>
      <c r="VKL10" s="1548"/>
      <c r="VKM10" s="1547">
        <f t="shared" ref="VKM10" si="7568">VKK10</f>
        <v>95000</v>
      </c>
      <c r="VKN10" s="1548"/>
      <c r="VKO10" s="1547">
        <f t="shared" ref="VKO10" si="7569">VKM10</f>
        <v>95000</v>
      </c>
      <c r="VKP10" s="1548"/>
      <c r="VKQ10" s="1547">
        <f t="shared" ref="VKQ10" si="7570">VKO10</f>
        <v>95000</v>
      </c>
      <c r="VKR10" s="1548"/>
      <c r="VKS10" s="1547">
        <f t="shared" ref="VKS10" si="7571">VKQ10</f>
        <v>95000</v>
      </c>
      <c r="VKT10" s="1548"/>
      <c r="VKU10" s="1547">
        <f t="shared" ref="VKU10" si="7572">VKS10</f>
        <v>95000</v>
      </c>
      <c r="VKV10" s="1548"/>
      <c r="VKW10" s="1547">
        <f t="shared" ref="VKW10" si="7573">VKU10</f>
        <v>95000</v>
      </c>
      <c r="VKX10" s="1548"/>
      <c r="VKY10" s="1547">
        <f t="shared" ref="VKY10" si="7574">VKW10</f>
        <v>95000</v>
      </c>
      <c r="VKZ10" s="1548"/>
      <c r="VLA10" s="1547">
        <f t="shared" ref="VLA10" si="7575">VKY10</f>
        <v>95000</v>
      </c>
      <c r="VLB10" s="1548"/>
      <c r="VLC10" s="1547">
        <f t="shared" ref="VLC10" si="7576">VLA10</f>
        <v>95000</v>
      </c>
      <c r="VLD10" s="1548"/>
      <c r="VLE10" s="1547">
        <f t="shared" ref="VLE10" si="7577">VLC10</f>
        <v>95000</v>
      </c>
      <c r="VLF10" s="1548"/>
      <c r="VLG10" s="1547">
        <f t="shared" ref="VLG10" si="7578">VLE10</f>
        <v>95000</v>
      </c>
      <c r="VLH10" s="1548"/>
      <c r="VLI10" s="1547">
        <f t="shared" ref="VLI10" si="7579">VLG10</f>
        <v>95000</v>
      </c>
      <c r="VLJ10" s="1548"/>
      <c r="VLK10" s="1547">
        <f t="shared" ref="VLK10" si="7580">VLI10</f>
        <v>95000</v>
      </c>
      <c r="VLL10" s="1548"/>
      <c r="VLM10" s="1547">
        <f t="shared" ref="VLM10" si="7581">VLK10</f>
        <v>95000</v>
      </c>
      <c r="VLN10" s="1548"/>
      <c r="VLO10" s="1547">
        <f t="shared" ref="VLO10" si="7582">VLM10</f>
        <v>95000</v>
      </c>
      <c r="VLP10" s="1548"/>
      <c r="VLQ10" s="1547">
        <f t="shared" ref="VLQ10" si="7583">VLO10</f>
        <v>95000</v>
      </c>
      <c r="VLR10" s="1548"/>
      <c r="VLS10" s="1547">
        <f t="shared" ref="VLS10" si="7584">VLQ10</f>
        <v>95000</v>
      </c>
      <c r="VLT10" s="1548"/>
      <c r="VLU10" s="1547">
        <f t="shared" ref="VLU10" si="7585">VLS10</f>
        <v>95000</v>
      </c>
      <c r="VLV10" s="1548"/>
      <c r="VLW10" s="1547">
        <f t="shared" ref="VLW10" si="7586">VLU10</f>
        <v>95000</v>
      </c>
      <c r="VLX10" s="1548"/>
      <c r="VLY10" s="1547">
        <f t="shared" ref="VLY10" si="7587">VLW10</f>
        <v>95000</v>
      </c>
      <c r="VLZ10" s="1548"/>
      <c r="VMA10" s="1547">
        <f t="shared" ref="VMA10" si="7588">VLY10</f>
        <v>95000</v>
      </c>
      <c r="VMB10" s="1548"/>
      <c r="VMC10" s="1547">
        <f t="shared" ref="VMC10" si="7589">VMA10</f>
        <v>95000</v>
      </c>
      <c r="VMD10" s="1548"/>
      <c r="VME10" s="1547">
        <f t="shared" ref="VME10" si="7590">VMC10</f>
        <v>95000</v>
      </c>
      <c r="VMF10" s="1548"/>
      <c r="VMG10" s="1547">
        <f t="shared" ref="VMG10" si="7591">VME10</f>
        <v>95000</v>
      </c>
      <c r="VMH10" s="1548"/>
      <c r="VMI10" s="1547">
        <f t="shared" ref="VMI10" si="7592">VMG10</f>
        <v>95000</v>
      </c>
      <c r="VMJ10" s="1548"/>
      <c r="VMK10" s="1547">
        <f t="shared" ref="VMK10" si="7593">VMI10</f>
        <v>95000</v>
      </c>
      <c r="VML10" s="1548"/>
      <c r="VMM10" s="1547">
        <f t="shared" ref="VMM10" si="7594">VMK10</f>
        <v>95000</v>
      </c>
      <c r="VMN10" s="1548"/>
      <c r="VMO10" s="1547">
        <f t="shared" ref="VMO10" si="7595">VMM10</f>
        <v>95000</v>
      </c>
      <c r="VMP10" s="1548"/>
      <c r="VMQ10" s="1547">
        <f t="shared" ref="VMQ10" si="7596">VMO10</f>
        <v>95000</v>
      </c>
      <c r="VMR10" s="1548"/>
      <c r="VMS10" s="1547">
        <f t="shared" ref="VMS10" si="7597">VMQ10</f>
        <v>95000</v>
      </c>
      <c r="VMT10" s="1548"/>
      <c r="VMU10" s="1547">
        <f t="shared" ref="VMU10" si="7598">VMS10</f>
        <v>95000</v>
      </c>
      <c r="VMV10" s="1548"/>
      <c r="VMW10" s="1547">
        <f t="shared" ref="VMW10" si="7599">VMU10</f>
        <v>95000</v>
      </c>
      <c r="VMX10" s="1548"/>
      <c r="VMY10" s="1547">
        <f t="shared" ref="VMY10" si="7600">VMW10</f>
        <v>95000</v>
      </c>
      <c r="VMZ10" s="1548"/>
      <c r="VNA10" s="1547">
        <f t="shared" ref="VNA10" si="7601">VMY10</f>
        <v>95000</v>
      </c>
      <c r="VNB10" s="1548"/>
      <c r="VNC10" s="1547">
        <f t="shared" ref="VNC10" si="7602">VNA10</f>
        <v>95000</v>
      </c>
      <c r="VND10" s="1548"/>
      <c r="VNE10" s="1547">
        <f t="shared" ref="VNE10" si="7603">VNC10</f>
        <v>95000</v>
      </c>
      <c r="VNF10" s="1548"/>
      <c r="VNG10" s="1547">
        <f t="shared" ref="VNG10" si="7604">VNE10</f>
        <v>95000</v>
      </c>
      <c r="VNH10" s="1548"/>
      <c r="VNI10" s="1547">
        <f t="shared" ref="VNI10" si="7605">VNG10</f>
        <v>95000</v>
      </c>
      <c r="VNJ10" s="1548"/>
      <c r="VNK10" s="1547">
        <f t="shared" ref="VNK10" si="7606">VNI10</f>
        <v>95000</v>
      </c>
      <c r="VNL10" s="1548"/>
      <c r="VNM10" s="1547">
        <f t="shared" ref="VNM10" si="7607">VNK10</f>
        <v>95000</v>
      </c>
      <c r="VNN10" s="1548"/>
      <c r="VNO10" s="1547">
        <f t="shared" ref="VNO10" si="7608">VNM10</f>
        <v>95000</v>
      </c>
      <c r="VNP10" s="1548"/>
      <c r="VNQ10" s="1547">
        <f t="shared" ref="VNQ10" si="7609">VNO10</f>
        <v>95000</v>
      </c>
      <c r="VNR10" s="1548"/>
      <c r="VNS10" s="1547">
        <f t="shared" ref="VNS10" si="7610">VNQ10</f>
        <v>95000</v>
      </c>
      <c r="VNT10" s="1548"/>
      <c r="VNU10" s="1547">
        <f t="shared" ref="VNU10" si="7611">VNS10</f>
        <v>95000</v>
      </c>
      <c r="VNV10" s="1548"/>
      <c r="VNW10" s="1547">
        <f t="shared" ref="VNW10" si="7612">VNU10</f>
        <v>95000</v>
      </c>
      <c r="VNX10" s="1548"/>
      <c r="VNY10" s="1547">
        <f t="shared" ref="VNY10" si="7613">VNW10</f>
        <v>95000</v>
      </c>
      <c r="VNZ10" s="1548"/>
      <c r="VOA10" s="1547">
        <f t="shared" ref="VOA10" si="7614">VNY10</f>
        <v>95000</v>
      </c>
      <c r="VOB10" s="1548"/>
      <c r="VOC10" s="1547">
        <f t="shared" ref="VOC10" si="7615">VOA10</f>
        <v>95000</v>
      </c>
      <c r="VOD10" s="1548"/>
      <c r="VOE10" s="1547">
        <f t="shared" ref="VOE10" si="7616">VOC10</f>
        <v>95000</v>
      </c>
      <c r="VOF10" s="1548"/>
      <c r="VOG10" s="1547">
        <f t="shared" ref="VOG10" si="7617">VOE10</f>
        <v>95000</v>
      </c>
      <c r="VOH10" s="1548"/>
      <c r="VOI10" s="1547">
        <f t="shared" ref="VOI10" si="7618">VOG10</f>
        <v>95000</v>
      </c>
      <c r="VOJ10" s="1548"/>
      <c r="VOK10" s="1547">
        <f t="shared" ref="VOK10" si="7619">VOI10</f>
        <v>95000</v>
      </c>
      <c r="VOL10" s="1548"/>
      <c r="VOM10" s="1547">
        <f t="shared" ref="VOM10" si="7620">VOK10</f>
        <v>95000</v>
      </c>
      <c r="VON10" s="1548"/>
      <c r="VOO10" s="1547">
        <f t="shared" ref="VOO10" si="7621">VOM10</f>
        <v>95000</v>
      </c>
      <c r="VOP10" s="1548"/>
      <c r="VOQ10" s="1547">
        <f t="shared" ref="VOQ10" si="7622">VOO10</f>
        <v>95000</v>
      </c>
      <c r="VOR10" s="1548"/>
      <c r="VOS10" s="1547">
        <f t="shared" ref="VOS10" si="7623">VOQ10</f>
        <v>95000</v>
      </c>
      <c r="VOT10" s="1548"/>
      <c r="VOU10" s="1547">
        <f t="shared" ref="VOU10" si="7624">VOS10</f>
        <v>95000</v>
      </c>
      <c r="VOV10" s="1548"/>
      <c r="VOW10" s="1547">
        <f t="shared" ref="VOW10" si="7625">VOU10</f>
        <v>95000</v>
      </c>
      <c r="VOX10" s="1548"/>
      <c r="VOY10" s="1547">
        <f t="shared" ref="VOY10" si="7626">VOW10</f>
        <v>95000</v>
      </c>
      <c r="VOZ10" s="1548"/>
      <c r="VPA10" s="1547">
        <f t="shared" ref="VPA10" si="7627">VOY10</f>
        <v>95000</v>
      </c>
      <c r="VPB10" s="1548"/>
      <c r="VPC10" s="1547">
        <f t="shared" ref="VPC10" si="7628">VPA10</f>
        <v>95000</v>
      </c>
      <c r="VPD10" s="1548"/>
      <c r="VPE10" s="1547">
        <f t="shared" ref="VPE10" si="7629">VPC10</f>
        <v>95000</v>
      </c>
      <c r="VPF10" s="1548"/>
      <c r="VPG10" s="1547">
        <f t="shared" ref="VPG10" si="7630">VPE10</f>
        <v>95000</v>
      </c>
      <c r="VPH10" s="1548"/>
      <c r="VPI10" s="1547">
        <f t="shared" ref="VPI10" si="7631">VPG10</f>
        <v>95000</v>
      </c>
      <c r="VPJ10" s="1548"/>
      <c r="VPK10" s="1547">
        <f t="shared" ref="VPK10" si="7632">VPI10</f>
        <v>95000</v>
      </c>
      <c r="VPL10" s="1548"/>
      <c r="VPM10" s="1547">
        <f t="shared" ref="VPM10" si="7633">VPK10</f>
        <v>95000</v>
      </c>
      <c r="VPN10" s="1548"/>
      <c r="VPO10" s="1547">
        <f t="shared" ref="VPO10" si="7634">VPM10</f>
        <v>95000</v>
      </c>
      <c r="VPP10" s="1548"/>
      <c r="VPQ10" s="1547">
        <f t="shared" ref="VPQ10" si="7635">VPO10</f>
        <v>95000</v>
      </c>
      <c r="VPR10" s="1548"/>
      <c r="VPS10" s="1547">
        <f t="shared" ref="VPS10" si="7636">VPQ10</f>
        <v>95000</v>
      </c>
      <c r="VPT10" s="1548"/>
      <c r="VPU10" s="1547">
        <f t="shared" ref="VPU10" si="7637">VPS10</f>
        <v>95000</v>
      </c>
      <c r="VPV10" s="1548"/>
      <c r="VPW10" s="1547">
        <f t="shared" ref="VPW10" si="7638">VPU10</f>
        <v>95000</v>
      </c>
      <c r="VPX10" s="1548"/>
      <c r="VPY10" s="1547">
        <f t="shared" ref="VPY10" si="7639">VPW10</f>
        <v>95000</v>
      </c>
      <c r="VPZ10" s="1548"/>
      <c r="VQA10" s="1547">
        <f t="shared" ref="VQA10" si="7640">VPY10</f>
        <v>95000</v>
      </c>
      <c r="VQB10" s="1548"/>
      <c r="VQC10" s="1547">
        <f t="shared" ref="VQC10" si="7641">VQA10</f>
        <v>95000</v>
      </c>
      <c r="VQD10" s="1548"/>
      <c r="VQE10" s="1547">
        <f t="shared" ref="VQE10" si="7642">VQC10</f>
        <v>95000</v>
      </c>
      <c r="VQF10" s="1548"/>
      <c r="VQG10" s="1547">
        <f t="shared" ref="VQG10" si="7643">VQE10</f>
        <v>95000</v>
      </c>
      <c r="VQH10" s="1548"/>
      <c r="VQI10" s="1547">
        <f t="shared" ref="VQI10" si="7644">VQG10</f>
        <v>95000</v>
      </c>
      <c r="VQJ10" s="1548"/>
      <c r="VQK10" s="1547">
        <f t="shared" ref="VQK10" si="7645">VQI10</f>
        <v>95000</v>
      </c>
      <c r="VQL10" s="1548"/>
      <c r="VQM10" s="1547">
        <f t="shared" ref="VQM10" si="7646">VQK10</f>
        <v>95000</v>
      </c>
      <c r="VQN10" s="1548"/>
      <c r="VQO10" s="1547">
        <f t="shared" ref="VQO10" si="7647">VQM10</f>
        <v>95000</v>
      </c>
      <c r="VQP10" s="1548"/>
      <c r="VQQ10" s="1547">
        <f t="shared" ref="VQQ10" si="7648">VQO10</f>
        <v>95000</v>
      </c>
      <c r="VQR10" s="1548"/>
      <c r="VQS10" s="1547">
        <f t="shared" ref="VQS10" si="7649">VQQ10</f>
        <v>95000</v>
      </c>
      <c r="VQT10" s="1548"/>
      <c r="VQU10" s="1547">
        <f t="shared" ref="VQU10" si="7650">VQS10</f>
        <v>95000</v>
      </c>
      <c r="VQV10" s="1548"/>
      <c r="VQW10" s="1547">
        <f t="shared" ref="VQW10" si="7651">VQU10</f>
        <v>95000</v>
      </c>
      <c r="VQX10" s="1548"/>
      <c r="VQY10" s="1547">
        <f t="shared" ref="VQY10" si="7652">VQW10</f>
        <v>95000</v>
      </c>
      <c r="VQZ10" s="1548"/>
      <c r="VRA10" s="1547">
        <f t="shared" ref="VRA10" si="7653">VQY10</f>
        <v>95000</v>
      </c>
      <c r="VRB10" s="1548"/>
      <c r="VRC10" s="1547">
        <f t="shared" ref="VRC10" si="7654">VRA10</f>
        <v>95000</v>
      </c>
      <c r="VRD10" s="1548"/>
      <c r="VRE10" s="1547">
        <f t="shared" ref="VRE10" si="7655">VRC10</f>
        <v>95000</v>
      </c>
      <c r="VRF10" s="1548"/>
      <c r="VRG10" s="1547">
        <f t="shared" ref="VRG10" si="7656">VRE10</f>
        <v>95000</v>
      </c>
      <c r="VRH10" s="1548"/>
      <c r="VRI10" s="1547">
        <f t="shared" ref="VRI10" si="7657">VRG10</f>
        <v>95000</v>
      </c>
      <c r="VRJ10" s="1548"/>
      <c r="VRK10" s="1547">
        <f t="shared" ref="VRK10" si="7658">VRI10</f>
        <v>95000</v>
      </c>
      <c r="VRL10" s="1548"/>
      <c r="VRM10" s="1547">
        <f t="shared" ref="VRM10" si="7659">VRK10</f>
        <v>95000</v>
      </c>
      <c r="VRN10" s="1548"/>
      <c r="VRO10" s="1547">
        <f t="shared" ref="VRO10" si="7660">VRM10</f>
        <v>95000</v>
      </c>
      <c r="VRP10" s="1548"/>
      <c r="VRQ10" s="1547">
        <f t="shared" ref="VRQ10" si="7661">VRO10</f>
        <v>95000</v>
      </c>
      <c r="VRR10" s="1548"/>
      <c r="VRS10" s="1547">
        <f t="shared" ref="VRS10" si="7662">VRQ10</f>
        <v>95000</v>
      </c>
      <c r="VRT10" s="1548"/>
      <c r="VRU10" s="1547">
        <f t="shared" ref="VRU10" si="7663">VRS10</f>
        <v>95000</v>
      </c>
      <c r="VRV10" s="1548"/>
      <c r="VRW10" s="1547">
        <f t="shared" ref="VRW10" si="7664">VRU10</f>
        <v>95000</v>
      </c>
      <c r="VRX10" s="1548"/>
      <c r="VRY10" s="1547">
        <f t="shared" ref="VRY10" si="7665">VRW10</f>
        <v>95000</v>
      </c>
      <c r="VRZ10" s="1548"/>
      <c r="VSA10" s="1547">
        <f t="shared" ref="VSA10" si="7666">VRY10</f>
        <v>95000</v>
      </c>
      <c r="VSB10" s="1548"/>
      <c r="VSC10" s="1547">
        <f t="shared" ref="VSC10" si="7667">VSA10</f>
        <v>95000</v>
      </c>
      <c r="VSD10" s="1548"/>
      <c r="VSE10" s="1547">
        <f t="shared" ref="VSE10" si="7668">VSC10</f>
        <v>95000</v>
      </c>
      <c r="VSF10" s="1548"/>
      <c r="VSG10" s="1547">
        <f t="shared" ref="VSG10" si="7669">VSE10</f>
        <v>95000</v>
      </c>
      <c r="VSH10" s="1548"/>
      <c r="VSI10" s="1547">
        <f t="shared" ref="VSI10" si="7670">VSG10</f>
        <v>95000</v>
      </c>
      <c r="VSJ10" s="1548"/>
      <c r="VSK10" s="1547">
        <f t="shared" ref="VSK10" si="7671">VSI10</f>
        <v>95000</v>
      </c>
      <c r="VSL10" s="1548"/>
      <c r="VSM10" s="1547">
        <f t="shared" ref="VSM10" si="7672">VSK10</f>
        <v>95000</v>
      </c>
      <c r="VSN10" s="1548"/>
      <c r="VSO10" s="1547">
        <f t="shared" ref="VSO10" si="7673">VSM10</f>
        <v>95000</v>
      </c>
      <c r="VSP10" s="1548"/>
      <c r="VSQ10" s="1547">
        <f t="shared" ref="VSQ10" si="7674">VSO10</f>
        <v>95000</v>
      </c>
      <c r="VSR10" s="1548"/>
      <c r="VSS10" s="1547">
        <f t="shared" ref="VSS10" si="7675">VSQ10</f>
        <v>95000</v>
      </c>
      <c r="VST10" s="1548"/>
      <c r="VSU10" s="1547">
        <f t="shared" ref="VSU10" si="7676">VSS10</f>
        <v>95000</v>
      </c>
      <c r="VSV10" s="1548"/>
      <c r="VSW10" s="1547">
        <f t="shared" ref="VSW10" si="7677">VSU10</f>
        <v>95000</v>
      </c>
      <c r="VSX10" s="1548"/>
      <c r="VSY10" s="1547">
        <f t="shared" ref="VSY10" si="7678">VSW10</f>
        <v>95000</v>
      </c>
      <c r="VSZ10" s="1548"/>
      <c r="VTA10" s="1547">
        <f t="shared" ref="VTA10" si="7679">VSY10</f>
        <v>95000</v>
      </c>
      <c r="VTB10" s="1548"/>
      <c r="VTC10" s="1547">
        <f t="shared" ref="VTC10" si="7680">VTA10</f>
        <v>95000</v>
      </c>
      <c r="VTD10" s="1548"/>
      <c r="VTE10" s="1547">
        <f t="shared" ref="VTE10" si="7681">VTC10</f>
        <v>95000</v>
      </c>
      <c r="VTF10" s="1548"/>
      <c r="VTG10" s="1547">
        <f t="shared" ref="VTG10" si="7682">VTE10</f>
        <v>95000</v>
      </c>
      <c r="VTH10" s="1548"/>
      <c r="VTI10" s="1547">
        <f t="shared" ref="VTI10" si="7683">VTG10</f>
        <v>95000</v>
      </c>
      <c r="VTJ10" s="1548"/>
      <c r="VTK10" s="1547">
        <f t="shared" ref="VTK10" si="7684">VTI10</f>
        <v>95000</v>
      </c>
      <c r="VTL10" s="1548"/>
      <c r="VTM10" s="1547">
        <f t="shared" ref="VTM10" si="7685">VTK10</f>
        <v>95000</v>
      </c>
      <c r="VTN10" s="1548"/>
      <c r="VTO10" s="1547">
        <f t="shared" ref="VTO10" si="7686">VTM10</f>
        <v>95000</v>
      </c>
      <c r="VTP10" s="1548"/>
      <c r="VTQ10" s="1547">
        <f t="shared" ref="VTQ10" si="7687">VTO10</f>
        <v>95000</v>
      </c>
      <c r="VTR10" s="1548"/>
      <c r="VTS10" s="1547">
        <f t="shared" ref="VTS10" si="7688">VTQ10</f>
        <v>95000</v>
      </c>
      <c r="VTT10" s="1548"/>
      <c r="VTU10" s="1547">
        <f t="shared" ref="VTU10" si="7689">VTS10</f>
        <v>95000</v>
      </c>
      <c r="VTV10" s="1548"/>
      <c r="VTW10" s="1547">
        <f t="shared" ref="VTW10" si="7690">VTU10</f>
        <v>95000</v>
      </c>
      <c r="VTX10" s="1548"/>
      <c r="VTY10" s="1547">
        <f t="shared" ref="VTY10" si="7691">VTW10</f>
        <v>95000</v>
      </c>
      <c r="VTZ10" s="1548"/>
      <c r="VUA10" s="1547">
        <f t="shared" ref="VUA10" si="7692">VTY10</f>
        <v>95000</v>
      </c>
      <c r="VUB10" s="1548"/>
      <c r="VUC10" s="1547">
        <f t="shared" ref="VUC10" si="7693">VUA10</f>
        <v>95000</v>
      </c>
      <c r="VUD10" s="1548"/>
      <c r="VUE10" s="1547">
        <f t="shared" ref="VUE10" si="7694">VUC10</f>
        <v>95000</v>
      </c>
      <c r="VUF10" s="1548"/>
      <c r="VUG10" s="1547">
        <f t="shared" ref="VUG10" si="7695">VUE10</f>
        <v>95000</v>
      </c>
      <c r="VUH10" s="1548"/>
      <c r="VUI10" s="1547">
        <f t="shared" ref="VUI10" si="7696">VUG10</f>
        <v>95000</v>
      </c>
      <c r="VUJ10" s="1548"/>
      <c r="VUK10" s="1547">
        <f t="shared" ref="VUK10" si="7697">VUI10</f>
        <v>95000</v>
      </c>
      <c r="VUL10" s="1548"/>
      <c r="VUM10" s="1547">
        <f t="shared" ref="VUM10" si="7698">VUK10</f>
        <v>95000</v>
      </c>
      <c r="VUN10" s="1548"/>
      <c r="VUO10" s="1547">
        <f t="shared" ref="VUO10" si="7699">VUM10</f>
        <v>95000</v>
      </c>
      <c r="VUP10" s="1548"/>
      <c r="VUQ10" s="1547">
        <f t="shared" ref="VUQ10" si="7700">VUO10</f>
        <v>95000</v>
      </c>
      <c r="VUR10" s="1548"/>
      <c r="VUS10" s="1547">
        <f t="shared" ref="VUS10" si="7701">VUQ10</f>
        <v>95000</v>
      </c>
      <c r="VUT10" s="1548"/>
      <c r="VUU10" s="1547">
        <f t="shared" ref="VUU10" si="7702">VUS10</f>
        <v>95000</v>
      </c>
      <c r="VUV10" s="1548"/>
      <c r="VUW10" s="1547">
        <f t="shared" ref="VUW10" si="7703">VUU10</f>
        <v>95000</v>
      </c>
      <c r="VUX10" s="1548"/>
      <c r="VUY10" s="1547">
        <f t="shared" ref="VUY10" si="7704">VUW10</f>
        <v>95000</v>
      </c>
      <c r="VUZ10" s="1548"/>
      <c r="VVA10" s="1547">
        <f t="shared" ref="VVA10" si="7705">VUY10</f>
        <v>95000</v>
      </c>
      <c r="VVB10" s="1548"/>
      <c r="VVC10" s="1547">
        <f t="shared" ref="VVC10" si="7706">VVA10</f>
        <v>95000</v>
      </c>
      <c r="VVD10" s="1548"/>
      <c r="VVE10" s="1547">
        <f t="shared" ref="VVE10" si="7707">VVC10</f>
        <v>95000</v>
      </c>
      <c r="VVF10" s="1548"/>
      <c r="VVG10" s="1547">
        <f t="shared" ref="VVG10" si="7708">VVE10</f>
        <v>95000</v>
      </c>
      <c r="VVH10" s="1548"/>
      <c r="VVI10" s="1547">
        <f t="shared" ref="VVI10" si="7709">VVG10</f>
        <v>95000</v>
      </c>
      <c r="VVJ10" s="1548"/>
      <c r="VVK10" s="1547">
        <f t="shared" ref="VVK10" si="7710">VVI10</f>
        <v>95000</v>
      </c>
      <c r="VVL10" s="1548"/>
      <c r="VVM10" s="1547">
        <f t="shared" ref="VVM10" si="7711">VVK10</f>
        <v>95000</v>
      </c>
      <c r="VVN10" s="1548"/>
      <c r="VVO10" s="1547">
        <f t="shared" ref="VVO10" si="7712">VVM10</f>
        <v>95000</v>
      </c>
      <c r="VVP10" s="1548"/>
      <c r="VVQ10" s="1547">
        <f t="shared" ref="VVQ10" si="7713">VVO10</f>
        <v>95000</v>
      </c>
      <c r="VVR10" s="1548"/>
      <c r="VVS10" s="1547">
        <f t="shared" ref="VVS10" si="7714">VVQ10</f>
        <v>95000</v>
      </c>
      <c r="VVT10" s="1548"/>
      <c r="VVU10" s="1547">
        <f t="shared" ref="VVU10" si="7715">VVS10</f>
        <v>95000</v>
      </c>
      <c r="VVV10" s="1548"/>
      <c r="VVW10" s="1547">
        <f t="shared" ref="VVW10" si="7716">VVU10</f>
        <v>95000</v>
      </c>
      <c r="VVX10" s="1548"/>
      <c r="VVY10" s="1547">
        <f t="shared" ref="VVY10" si="7717">VVW10</f>
        <v>95000</v>
      </c>
      <c r="VVZ10" s="1548"/>
      <c r="VWA10" s="1547">
        <f t="shared" ref="VWA10" si="7718">VVY10</f>
        <v>95000</v>
      </c>
      <c r="VWB10" s="1548"/>
      <c r="VWC10" s="1547">
        <f t="shared" ref="VWC10" si="7719">VWA10</f>
        <v>95000</v>
      </c>
      <c r="VWD10" s="1548"/>
      <c r="VWE10" s="1547">
        <f t="shared" ref="VWE10" si="7720">VWC10</f>
        <v>95000</v>
      </c>
      <c r="VWF10" s="1548"/>
      <c r="VWG10" s="1547">
        <f t="shared" ref="VWG10" si="7721">VWE10</f>
        <v>95000</v>
      </c>
      <c r="VWH10" s="1548"/>
      <c r="VWI10" s="1547">
        <f t="shared" ref="VWI10" si="7722">VWG10</f>
        <v>95000</v>
      </c>
      <c r="VWJ10" s="1548"/>
      <c r="VWK10" s="1547">
        <f t="shared" ref="VWK10" si="7723">VWI10</f>
        <v>95000</v>
      </c>
      <c r="VWL10" s="1548"/>
      <c r="VWM10" s="1547">
        <f t="shared" ref="VWM10" si="7724">VWK10</f>
        <v>95000</v>
      </c>
      <c r="VWN10" s="1548"/>
      <c r="VWO10" s="1547">
        <f t="shared" ref="VWO10" si="7725">VWM10</f>
        <v>95000</v>
      </c>
      <c r="VWP10" s="1548"/>
      <c r="VWQ10" s="1547">
        <f t="shared" ref="VWQ10" si="7726">VWO10</f>
        <v>95000</v>
      </c>
      <c r="VWR10" s="1548"/>
      <c r="VWS10" s="1547">
        <f t="shared" ref="VWS10" si="7727">VWQ10</f>
        <v>95000</v>
      </c>
      <c r="VWT10" s="1548"/>
      <c r="VWU10" s="1547">
        <f t="shared" ref="VWU10" si="7728">VWS10</f>
        <v>95000</v>
      </c>
      <c r="VWV10" s="1548"/>
      <c r="VWW10" s="1547">
        <f t="shared" ref="VWW10" si="7729">VWU10</f>
        <v>95000</v>
      </c>
      <c r="VWX10" s="1548"/>
      <c r="VWY10" s="1547">
        <f t="shared" ref="VWY10" si="7730">VWW10</f>
        <v>95000</v>
      </c>
      <c r="VWZ10" s="1548"/>
      <c r="VXA10" s="1547">
        <f t="shared" ref="VXA10" si="7731">VWY10</f>
        <v>95000</v>
      </c>
      <c r="VXB10" s="1548"/>
      <c r="VXC10" s="1547">
        <f t="shared" ref="VXC10" si="7732">VXA10</f>
        <v>95000</v>
      </c>
      <c r="VXD10" s="1548"/>
      <c r="VXE10" s="1547">
        <f t="shared" ref="VXE10" si="7733">VXC10</f>
        <v>95000</v>
      </c>
      <c r="VXF10" s="1548"/>
      <c r="VXG10" s="1547">
        <f t="shared" ref="VXG10" si="7734">VXE10</f>
        <v>95000</v>
      </c>
      <c r="VXH10" s="1548"/>
      <c r="VXI10" s="1547">
        <f t="shared" ref="VXI10" si="7735">VXG10</f>
        <v>95000</v>
      </c>
      <c r="VXJ10" s="1548"/>
      <c r="VXK10" s="1547">
        <f t="shared" ref="VXK10" si="7736">VXI10</f>
        <v>95000</v>
      </c>
      <c r="VXL10" s="1548"/>
      <c r="VXM10" s="1547">
        <f t="shared" ref="VXM10" si="7737">VXK10</f>
        <v>95000</v>
      </c>
      <c r="VXN10" s="1548"/>
      <c r="VXO10" s="1547">
        <f t="shared" ref="VXO10" si="7738">VXM10</f>
        <v>95000</v>
      </c>
      <c r="VXP10" s="1548"/>
      <c r="VXQ10" s="1547">
        <f t="shared" ref="VXQ10" si="7739">VXO10</f>
        <v>95000</v>
      </c>
      <c r="VXR10" s="1548"/>
      <c r="VXS10" s="1547">
        <f t="shared" ref="VXS10" si="7740">VXQ10</f>
        <v>95000</v>
      </c>
      <c r="VXT10" s="1548"/>
      <c r="VXU10" s="1547">
        <f t="shared" ref="VXU10" si="7741">VXS10</f>
        <v>95000</v>
      </c>
      <c r="VXV10" s="1548"/>
      <c r="VXW10" s="1547">
        <f t="shared" ref="VXW10" si="7742">VXU10</f>
        <v>95000</v>
      </c>
      <c r="VXX10" s="1548"/>
      <c r="VXY10" s="1547">
        <f t="shared" ref="VXY10" si="7743">VXW10</f>
        <v>95000</v>
      </c>
      <c r="VXZ10" s="1548"/>
      <c r="VYA10" s="1547">
        <f t="shared" ref="VYA10" si="7744">VXY10</f>
        <v>95000</v>
      </c>
      <c r="VYB10" s="1548"/>
      <c r="VYC10" s="1547">
        <f t="shared" ref="VYC10" si="7745">VYA10</f>
        <v>95000</v>
      </c>
      <c r="VYD10" s="1548"/>
      <c r="VYE10" s="1547">
        <f t="shared" ref="VYE10" si="7746">VYC10</f>
        <v>95000</v>
      </c>
      <c r="VYF10" s="1548"/>
      <c r="VYG10" s="1547">
        <f t="shared" ref="VYG10" si="7747">VYE10</f>
        <v>95000</v>
      </c>
      <c r="VYH10" s="1548"/>
      <c r="VYI10" s="1547">
        <f t="shared" ref="VYI10" si="7748">VYG10</f>
        <v>95000</v>
      </c>
      <c r="VYJ10" s="1548"/>
      <c r="VYK10" s="1547">
        <f t="shared" ref="VYK10" si="7749">VYI10</f>
        <v>95000</v>
      </c>
      <c r="VYL10" s="1548"/>
      <c r="VYM10" s="1547">
        <f t="shared" ref="VYM10" si="7750">VYK10</f>
        <v>95000</v>
      </c>
      <c r="VYN10" s="1548"/>
      <c r="VYO10" s="1547">
        <f t="shared" ref="VYO10" si="7751">VYM10</f>
        <v>95000</v>
      </c>
      <c r="VYP10" s="1548"/>
      <c r="VYQ10" s="1547">
        <f t="shared" ref="VYQ10" si="7752">VYO10</f>
        <v>95000</v>
      </c>
      <c r="VYR10" s="1548"/>
      <c r="VYS10" s="1547">
        <f t="shared" ref="VYS10" si="7753">VYQ10</f>
        <v>95000</v>
      </c>
      <c r="VYT10" s="1548"/>
      <c r="VYU10" s="1547">
        <f t="shared" ref="VYU10" si="7754">VYS10</f>
        <v>95000</v>
      </c>
      <c r="VYV10" s="1548"/>
      <c r="VYW10" s="1547">
        <f t="shared" ref="VYW10" si="7755">VYU10</f>
        <v>95000</v>
      </c>
      <c r="VYX10" s="1548"/>
      <c r="VYY10" s="1547">
        <f t="shared" ref="VYY10" si="7756">VYW10</f>
        <v>95000</v>
      </c>
      <c r="VYZ10" s="1548"/>
      <c r="VZA10" s="1547">
        <f t="shared" ref="VZA10" si="7757">VYY10</f>
        <v>95000</v>
      </c>
      <c r="VZB10" s="1548"/>
      <c r="VZC10" s="1547">
        <f t="shared" ref="VZC10" si="7758">VZA10</f>
        <v>95000</v>
      </c>
      <c r="VZD10" s="1548"/>
      <c r="VZE10" s="1547">
        <f t="shared" ref="VZE10" si="7759">VZC10</f>
        <v>95000</v>
      </c>
      <c r="VZF10" s="1548"/>
      <c r="VZG10" s="1547">
        <f t="shared" ref="VZG10" si="7760">VZE10</f>
        <v>95000</v>
      </c>
      <c r="VZH10" s="1548"/>
      <c r="VZI10" s="1547">
        <f t="shared" ref="VZI10" si="7761">VZG10</f>
        <v>95000</v>
      </c>
      <c r="VZJ10" s="1548"/>
      <c r="VZK10" s="1547">
        <f t="shared" ref="VZK10" si="7762">VZI10</f>
        <v>95000</v>
      </c>
      <c r="VZL10" s="1548"/>
      <c r="VZM10" s="1547">
        <f t="shared" ref="VZM10" si="7763">VZK10</f>
        <v>95000</v>
      </c>
      <c r="VZN10" s="1548"/>
      <c r="VZO10" s="1547">
        <f t="shared" ref="VZO10" si="7764">VZM10</f>
        <v>95000</v>
      </c>
      <c r="VZP10" s="1548"/>
      <c r="VZQ10" s="1547">
        <f t="shared" ref="VZQ10" si="7765">VZO10</f>
        <v>95000</v>
      </c>
      <c r="VZR10" s="1548"/>
      <c r="VZS10" s="1547">
        <f t="shared" ref="VZS10" si="7766">VZQ10</f>
        <v>95000</v>
      </c>
      <c r="VZT10" s="1548"/>
      <c r="VZU10" s="1547">
        <f t="shared" ref="VZU10" si="7767">VZS10</f>
        <v>95000</v>
      </c>
      <c r="VZV10" s="1548"/>
      <c r="VZW10" s="1547">
        <f t="shared" ref="VZW10" si="7768">VZU10</f>
        <v>95000</v>
      </c>
      <c r="VZX10" s="1548"/>
      <c r="VZY10" s="1547">
        <f t="shared" ref="VZY10" si="7769">VZW10</f>
        <v>95000</v>
      </c>
      <c r="VZZ10" s="1548"/>
      <c r="WAA10" s="1547">
        <f t="shared" ref="WAA10" si="7770">VZY10</f>
        <v>95000</v>
      </c>
      <c r="WAB10" s="1548"/>
      <c r="WAC10" s="1547">
        <f t="shared" ref="WAC10" si="7771">WAA10</f>
        <v>95000</v>
      </c>
      <c r="WAD10" s="1548"/>
      <c r="WAE10" s="1547">
        <f t="shared" ref="WAE10" si="7772">WAC10</f>
        <v>95000</v>
      </c>
      <c r="WAF10" s="1548"/>
      <c r="WAG10" s="1547">
        <f t="shared" ref="WAG10" si="7773">WAE10</f>
        <v>95000</v>
      </c>
      <c r="WAH10" s="1548"/>
      <c r="WAI10" s="1547">
        <f t="shared" ref="WAI10" si="7774">WAG10</f>
        <v>95000</v>
      </c>
      <c r="WAJ10" s="1548"/>
      <c r="WAK10" s="1547">
        <f t="shared" ref="WAK10" si="7775">WAI10</f>
        <v>95000</v>
      </c>
      <c r="WAL10" s="1548"/>
      <c r="WAM10" s="1547">
        <f t="shared" ref="WAM10" si="7776">WAK10</f>
        <v>95000</v>
      </c>
      <c r="WAN10" s="1548"/>
      <c r="WAO10" s="1547">
        <f t="shared" ref="WAO10" si="7777">WAM10</f>
        <v>95000</v>
      </c>
      <c r="WAP10" s="1548"/>
      <c r="WAQ10" s="1547">
        <f t="shared" ref="WAQ10" si="7778">WAO10</f>
        <v>95000</v>
      </c>
      <c r="WAR10" s="1548"/>
      <c r="WAS10" s="1547">
        <f t="shared" ref="WAS10" si="7779">WAQ10</f>
        <v>95000</v>
      </c>
      <c r="WAT10" s="1548"/>
      <c r="WAU10" s="1547">
        <f t="shared" ref="WAU10" si="7780">WAS10</f>
        <v>95000</v>
      </c>
      <c r="WAV10" s="1548"/>
      <c r="WAW10" s="1547">
        <f t="shared" ref="WAW10" si="7781">WAU10</f>
        <v>95000</v>
      </c>
      <c r="WAX10" s="1548"/>
      <c r="WAY10" s="1547">
        <f t="shared" ref="WAY10" si="7782">WAW10</f>
        <v>95000</v>
      </c>
      <c r="WAZ10" s="1548"/>
      <c r="WBA10" s="1547">
        <f t="shared" ref="WBA10" si="7783">WAY10</f>
        <v>95000</v>
      </c>
      <c r="WBB10" s="1548"/>
      <c r="WBC10" s="1547">
        <f t="shared" ref="WBC10" si="7784">WBA10</f>
        <v>95000</v>
      </c>
      <c r="WBD10" s="1548"/>
      <c r="WBE10" s="1547">
        <f t="shared" ref="WBE10" si="7785">WBC10</f>
        <v>95000</v>
      </c>
      <c r="WBF10" s="1548"/>
      <c r="WBG10" s="1547">
        <f t="shared" ref="WBG10" si="7786">WBE10</f>
        <v>95000</v>
      </c>
      <c r="WBH10" s="1548"/>
      <c r="WBI10" s="1547">
        <f t="shared" ref="WBI10" si="7787">WBG10</f>
        <v>95000</v>
      </c>
      <c r="WBJ10" s="1548"/>
      <c r="WBK10" s="1547">
        <f t="shared" ref="WBK10" si="7788">WBI10</f>
        <v>95000</v>
      </c>
      <c r="WBL10" s="1548"/>
      <c r="WBM10" s="1547">
        <f t="shared" ref="WBM10" si="7789">WBK10</f>
        <v>95000</v>
      </c>
      <c r="WBN10" s="1548"/>
      <c r="WBO10" s="1547">
        <f t="shared" ref="WBO10" si="7790">WBM10</f>
        <v>95000</v>
      </c>
      <c r="WBP10" s="1548"/>
      <c r="WBQ10" s="1547">
        <f t="shared" ref="WBQ10" si="7791">WBO10</f>
        <v>95000</v>
      </c>
      <c r="WBR10" s="1548"/>
      <c r="WBS10" s="1547">
        <f t="shared" ref="WBS10" si="7792">WBQ10</f>
        <v>95000</v>
      </c>
      <c r="WBT10" s="1548"/>
      <c r="WBU10" s="1547">
        <f t="shared" ref="WBU10" si="7793">WBS10</f>
        <v>95000</v>
      </c>
      <c r="WBV10" s="1548"/>
      <c r="WBW10" s="1547">
        <f t="shared" ref="WBW10" si="7794">WBU10</f>
        <v>95000</v>
      </c>
      <c r="WBX10" s="1548"/>
      <c r="WBY10" s="1547">
        <f t="shared" ref="WBY10" si="7795">WBW10</f>
        <v>95000</v>
      </c>
      <c r="WBZ10" s="1548"/>
      <c r="WCA10" s="1547">
        <f t="shared" ref="WCA10" si="7796">WBY10</f>
        <v>95000</v>
      </c>
      <c r="WCB10" s="1548"/>
      <c r="WCC10" s="1547">
        <f t="shared" ref="WCC10" si="7797">WCA10</f>
        <v>95000</v>
      </c>
      <c r="WCD10" s="1548"/>
      <c r="WCE10" s="1547">
        <f t="shared" ref="WCE10" si="7798">WCC10</f>
        <v>95000</v>
      </c>
      <c r="WCF10" s="1548"/>
      <c r="WCG10" s="1547">
        <f t="shared" ref="WCG10" si="7799">WCE10</f>
        <v>95000</v>
      </c>
      <c r="WCH10" s="1548"/>
      <c r="WCI10" s="1547">
        <f t="shared" ref="WCI10" si="7800">WCG10</f>
        <v>95000</v>
      </c>
      <c r="WCJ10" s="1548"/>
      <c r="WCK10" s="1547">
        <f t="shared" ref="WCK10" si="7801">WCI10</f>
        <v>95000</v>
      </c>
      <c r="WCL10" s="1548"/>
      <c r="WCM10" s="1547">
        <f t="shared" ref="WCM10" si="7802">WCK10</f>
        <v>95000</v>
      </c>
      <c r="WCN10" s="1548"/>
      <c r="WCO10" s="1547">
        <f t="shared" ref="WCO10" si="7803">WCM10</f>
        <v>95000</v>
      </c>
      <c r="WCP10" s="1548"/>
      <c r="WCQ10" s="1547">
        <f t="shared" ref="WCQ10" si="7804">WCO10</f>
        <v>95000</v>
      </c>
      <c r="WCR10" s="1548"/>
      <c r="WCS10" s="1547">
        <f t="shared" ref="WCS10" si="7805">WCQ10</f>
        <v>95000</v>
      </c>
      <c r="WCT10" s="1548"/>
      <c r="WCU10" s="1547">
        <f t="shared" ref="WCU10" si="7806">WCS10</f>
        <v>95000</v>
      </c>
      <c r="WCV10" s="1548"/>
      <c r="WCW10" s="1547">
        <f t="shared" ref="WCW10" si="7807">WCU10</f>
        <v>95000</v>
      </c>
      <c r="WCX10" s="1548"/>
      <c r="WCY10" s="1547">
        <f t="shared" ref="WCY10" si="7808">WCW10</f>
        <v>95000</v>
      </c>
      <c r="WCZ10" s="1548"/>
      <c r="WDA10" s="1547">
        <f t="shared" ref="WDA10" si="7809">WCY10</f>
        <v>95000</v>
      </c>
      <c r="WDB10" s="1548"/>
      <c r="WDC10" s="1547">
        <f t="shared" ref="WDC10" si="7810">WDA10</f>
        <v>95000</v>
      </c>
      <c r="WDD10" s="1548"/>
      <c r="WDE10" s="1547">
        <f t="shared" ref="WDE10" si="7811">WDC10</f>
        <v>95000</v>
      </c>
      <c r="WDF10" s="1548"/>
      <c r="WDG10" s="1547">
        <f t="shared" ref="WDG10" si="7812">WDE10</f>
        <v>95000</v>
      </c>
      <c r="WDH10" s="1548"/>
      <c r="WDI10" s="1547">
        <f t="shared" ref="WDI10" si="7813">WDG10</f>
        <v>95000</v>
      </c>
      <c r="WDJ10" s="1548"/>
      <c r="WDK10" s="1547">
        <f t="shared" ref="WDK10" si="7814">WDI10</f>
        <v>95000</v>
      </c>
      <c r="WDL10" s="1548"/>
      <c r="WDM10" s="1547">
        <f t="shared" ref="WDM10" si="7815">WDK10</f>
        <v>95000</v>
      </c>
      <c r="WDN10" s="1548"/>
      <c r="WDO10" s="1547">
        <f t="shared" ref="WDO10" si="7816">WDM10</f>
        <v>95000</v>
      </c>
      <c r="WDP10" s="1548"/>
      <c r="WDQ10" s="1547">
        <f t="shared" ref="WDQ10" si="7817">WDO10</f>
        <v>95000</v>
      </c>
      <c r="WDR10" s="1548"/>
      <c r="WDS10" s="1547">
        <f t="shared" ref="WDS10" si="7818">WDQ10</f>
        <v>95000</v>
      </c>
      <c r="WDT10" s="1548"/>
      <c r="WDU10" s="1547">
        <f t="shared" ref="WDU10" si="7819">WDS10</f>
        <v>95000</v>
      </c>
      <c r="WDV10" s="1548"/>
      <c r="WDW10" s="1547">
        <f t="shared" ref="WDW10" si="7820">WDU10</f>
        <v>95000</v>
      </c>
      <c r="WDX10" s="1548"/>
      <c r="WDY10" s="1547">
        <f t="shared" ref="WDY10" si="7821">WDW10</f>
        <v>95000</v>
      </c>
      <c r="WDZ10" s="1548"/>
      <c r="WEA10" s="1547">
        <f t="shared" ref="WEA10" si="7822">WDY10</f>
        <v>95000</v>
      </c>
      <c r="WEB10" s="1548"/>
      <c r="WEC10" s="1547">
        <f t="shared" ref="WEC10" si="7823">WEA10</f>
        <v>95000</v>
      </c>
      <c r="WED10" s="1548"/>
      <c r="WEE10" s="1547">
        <f t="shared" ref="WEE10" si="7824">WEC10</f>
        <v>95000</v>
      </c>
      <c r="WEF10" s="1548"/>
      <c r="WEG10" s="1547">
        <f t="shared" ref="WEG10" si="7825">WEE10</f>
        <v>95000</v>
      </c>
      <c r="WEH10" s="1548"/>
      <c r="WEI10" s="1547">
        <f t="shared" ref="WEI10" si="7826">WEG10</f>
        <v>95000</v>
      </c>
      <c r="WEJ10" s="1548"/>
      <c r="WEK10" s="1547">
        <f t="shared" ref="WEK10" si="7827">WEI10</f>
        <v>95000</v>
      </c>
      <c r="WEL10" s="1548"/>
      <c r="WEM10" s="1547">
        <f t="shared" ref="WEM10" si="7828">WEK10</f>
        <v>95000</v>
      </c>
      <c r="WEN10" s="1548"/>
      <c r="WEO10" s="1547">
        <f t="shared" ref="WEO10" si="7829">WEM10</f>
        <v>95000</v>
      </c>
      <c r="WEP10" s="1548"/>
      <c r="WEQ10" s="1547">
        <f t="shared" ref="WEQ10" si="7830">WEO10</f>
        <v>95000</v>
      </c>
      <c r="WER10" s="1548"/>
      <c r="WES10" s="1547">
        <f t="shared" ref="WES10" si="7831">WEQ10</f>
        <v>95000</v>
      </c>
      <c r="WET10" s="1548"/>
      <c r="WEU10" s="1547">
        <f t="shared" ref="WEU10" si="7832">WES10</f>
        <v>95000</v>
      </c>
      <c r="WEV10" s="1548"/>
      <c r="WEW10" s="1547">
        <f t="shared" ref="WEW10" si="7833">WEU10</f>
        <v>95000</v>
      </c>
      <c r="WEX10" s="1548"/>
      <c r="WEY10" s="1547">
        <f t="shared" ref="WEY10" si="7834">WEW10</f>
        <v>95000</v>
      </c>
      <c r="WEZ10" s="1548"/>
      <c r="WFA10" s="1547">
        <f t="shared" ref="WFA10" si="7835">WEY10</f>
        <v>95000</v>
      </c>
      <c r="WFB10" s="1548"/>
      <c r="WFC10" s="1547">
        <f t="shared" ref="WFC10" si="7836">WFA10</f>
        <v>95000</v>
      </c>
      <c r="WFD10" s="1548"/>
      <c r="WFE10" s="1547">
        <f t="shared" ref="WFE10" si="7837">WFC10</f>
        <v>95000</v>
      </c>
      <c r="WFF10" s="1548"/>
      <c r="WFG10" s="1547">
        <f t="shared" ref="WFG10" si="7838">WFE10</f>
        <v>95000</v>
      </c>
      <c r="WFH10" s="1548"/>
      <c r="WFI10" s="1547">
        <f t="shared" ref="WFI10" si="7839">WFG10</f>
        <v>95000</v>
      </c>
      <c r="WFJ10" s="1548"/>
      <c r="WFK10" s="1547">
        <f t="shared" ref="WFK10" si="7840">WFI10</f>
        <v>95000</v>
      </c>
      <c r="WFL10" s="1548"/>
      <c r="WFM10" s="1547">
        <f t="shared" ref="WFM10" si="7841">WFK10</f>
        <v>95000</v>
      </c>
      <c r="WFN10" s="1548"/>
      <c r="WFO10" s="1547">
        <f t="shared" ref="WFO10" si="7842">WFM10</f>
        <v>95000</v>
      </c>
      <c r="WFP10" s="1548"/>
      <c r="WFQ10" s="1547">
        <f t="shared" ref="WFQ10" si="7843">WFO10</f>
        <v>95000</v>
      </c>
      <c r="WFR10" s="1548"/>
      <c r="WFS10" s="1547">
        <f t="shared" ref="WFS10" si="7844">WFQ10</f>
        <v>95000</v>
      </c>
      <c r="WFT10" s="1548"/>
      <c r="WFU10" s="1547">
        <f t="shared" ref="WFU10" si="7845">WFS10</f>
        <v>95000</v>
      </c>
      <c r="WFV10" s="1548"/>
      <c r="WFW10" s="1547">
        <f t="shared" ref="WFW10" si="7846">WFU10</f>
        <v>95000</v>
      </c>
      <c r="WFX10" s="1548"/>
      <c r="WFY10" s="1547">
        <f t="shared" ref="WFY10" si="7847">WFW10</f>
        <v>95000</v>
      </c>
      <c r="WFZ10" s="1548"/>
      <c r="WGA10" s="1547">
        <f t="shared" ref="WGA10" si="7848">WFY10</f>
        <v>95000</v>
      </c>
      <c r="WGB10" s="1548"/>
      <c r="WGC10" s="1547">
        <f t="shared" ref="WGC10" si="7849">WGA10</f>
        <v>95000</v>
      </c>
      <c r="WGD10" s="1548"/>
      <c r="WGE10" s="1547">
        <f t="shared" ref="WGE10" si="7850">WGC10</f>
        <v>95000</v>
      </c>
      <c r="WGF10" s="1548"/>
      <c r="WGG10" s="1547">
        <f t="shared" ref="WGG10" si="7851">WGE10</f>
        <v>95000</v>
      </c>
      <c r="WGH10" s="1548"/>
      <c r="WGI10" s="1547">
        <f t="shared" ref="WGI10" si="7852">WGG10</f>
        <v>95000</v>
      </c>
      <c r="WGJ10" s="1548"/>
      <c r="WGK10" s="1547">
        <f t="shared" ref="WGK10" si="7853">WGI10</f>
        <v>95000</v>
      </c>
      <c r="WGL10" s="1548"/>
      <c r="WGM10" s="1547">
        <f t="shared" ref="WGM10" si="7854">WGK10</f>
        <v>95000</v>
      </c>
      <c r="WGN10" s="1548"/>
      <c r="WGO10" s="1547">
        <f t="shared" ref="WGO10" si="7855">WGM10</f>
        <v>95000</v>
      </c>
      <c r="WGP10" s="1548"/>
      <c r="WGQ10" s="1547">
        <f t="shared" ref="WGQ10" si="7856">WGO10</f>
        <v>95000</v>
      </c>
      <c r="WGR10" s="1548"/>
      <c r="WGS10" s="1547">
        <f t="shared" ref="WGS10" si="7857">WGQ10</f>
        <v>95000</v>
      </c>
      <c r="WGT10" s="1548"/>
      <c r="WGU10" s="1547">
        <f t="shared" ref="WGU10" si="7858">WGS10</f>
        <v>95000</v>
      </c>
      <c r="WGV10" s="1548"/>
      <c r="WGW10" s="1547">
        <f t="shared" ref="WGW10" si="7859">WGU10</f>
        <v>95000</v>
      </c>
      <c r="WGX10" s="1548"/>
      <c r="WGY10" s="1547">
        <f t="shared" ref="WGY10" si="7860">WGW10</f>
        <v>95000</v>
      </c>
      <c r="WGZ10" s="1548"/>
      <c r="WHA10" s="1547">
        <f t="shared" ref="WHA10" si="7861">WGY10</f>
        <v>95000</v>
      </c>
      <c r="WHB10" s="1548"/>
      <c r="WHC10" s="1547">
        <f t="shared" ref="WHC10" si="7862">WHA10</f>
        <v>95000</v>
      </c>
      <c r="WHD10" s="1548"/>
      <c r="WHE10" s="1547">
        <f t="shared" ref="WHE10" si="7863">WHC10</f>
        <v>95000</v>
      </c>
      <c r="WHF10" s="1548"/>
      <c r="WHG10" s="1547">
        <f t="shared" ref="WHG10" si="7864">WHE10</f>
        <v>95000</v>
      </c>
      <c r="WHH10" s="1548"/>
      <c r="WHI10" s="1547">
        <f t="shared" ref="WHI10" si="7865">WHG10</f>
        <v>95000</v>
      </c>
      <c r="WHJ10" s="1548"/>
      <c r="WHK10" s="1547">
        <f t="shared" ref="WHK10" si="7866">WHI10</f>
        <v>95000</v>
      </c>
      <c r="WHL10" s="1548"/>
      <c r="WHM10" s="1547">
        <f t="shared" ref="WHM10" si="7867">WHK10</f>
        <v>95000</v>
      </c>
      <c r="WHN10" s="1548"/>
      <c r="WHO10" s="1547">
        <f t="shared" ref="WHO10" si="7868">WHM10</f>
        <v>95000</v>
      </c>
      <c r="WHP10" s="1548"/>
      <c r="WHQ10" s="1547">
        <f t="shared" ref="WHQ10" si="7869">WHO10</f>
        <v>95000</v>
      </c>
      <c r="WHR10" s="1548"/>
      <c r="WHS10" s="1547">
        <f t="shared" ref="WHS10" si="7870">WHQ10</f>
        <v>95000</v>
      </c>
      <c r="WHT10" s="1548"/>
      <c r="WHU10" s="1547">
        <f t="shared" ref="WHU10" si="7871">WHS10</f>
        <v>95000</v>
      </c>
      <c r="WHV10" s="1548"/>
      <c r="WHW10" s="1547">
        <f t="shared" ref="WHW10" si="7872">WHU10</f>
        <v>95000</v>
      </c>
      <c r="WHX10" s="1548"/>
      <c r="WHY10" s="1547">
        <f t="shared" ref="WHY10" si="7873">WHW10</f>
        <v>95000</v>
      </c>
      <c r="WHZ10" s="1548"/>
      <c r="WIA10" s="1547">
        <f t="shared" ref="WIA10" si="7874">WHY10</f>
        <v>95000</v>
      </c>
      <c r="WIB10" s="1548"/>
      <c r="WIC10" s="1547">
        <f t="shared" ref="WIC10" si="7875">WIA10</f>
        <v>95000</v>
      </c>
      <c r="WID10" s="1548"/>
      <c r="WIE10" s="1547">
        <f t="shared" ref="WIE10" si="7876">WIC10</f>
        <v>95000</v>
      </c>
      <c r="WIF10" s="1548"/>
      <c r="WIG10" s="1547">
        <f t="shared" ref="WIG10" si="7877">WIE10</f>
        <v>95000</v>
      </c>
      <c r="WIH10" s="1548"/>
      <c r="WII10" s="1547">
        <f t="shared" ref="WII10" si="7878">WIG10</f>
        <v>95000</v>
      </c>
      <c r="WIJ10" s="1548"/>
      <c r="WIK10" s="1547">
        <f t="shared" ref="WIK10" si="7879">WII10</f>
        <v>95000</v>
      </c>
      <c r="WIL10" s="1548"/>
      <c r="WIM10" s="1547">
        <f t="shared" ref="WIM10" si="7880">WIK10</f>
        <v>95000</v>
      </c>
      <c r="WIN10" s="1548"/>
      <c r="WIO10" s="1547">
        <f t="shared" ref="WIO10" si="7881">WIM10</f>
        <v>95000</v>
      </c>
      <c r="WIP10" s="1548"/>
      <c r="WIQ10" s="1547">
        <f t="shared" ref="WIQ10" si="7882">WIO10</f>
        <v>95000</v>
      </c>
      <c r="WIR10" s="1548"/>
      <c r="WIS10" s="1547">
        <f t="shared" ref="WIS10" si="7883">WIQ10</f>
        <v>95000</v>
      </c>
      <c r="WIT10" s="1548"/>
      <c r="WIU10" s="1547">
        <f t="shared" ref="WIU10" si="7884">WIS10</f>
        <v>95000</v>
      </c>
      <c r="WIV10" s="1548"/>
      <c r="WIW10" s="1547">
        <f t="shared" ref="WIW10" si="7885">WIU10</f>
        <v>95000</v>
      </c>
      <c r="WIX10" s="1548"/>
      <c r="WIY10" s="1547">
        <f t="shared" ref="WIY10" si="7886">WIW10</f>
        <v>95000</v>
      </c>
      <c r="WIZ10" s="1548"/>
      <c r="WJA10" s="1547">
        <f t="shared" ref="WJA10" si="7887">WIY10</f>
        <v>95000</v>
      </c>
      <c r="WJB10" s="1548"/>
      <c r="WJC10" s="1547">
        <f t="shared" ref="WJC10" si="7888">WJA10</f>
        <v>95000</v>
      </c>
      <c r="WJD10" s="1548"/>
      <c r="WJE10" s="1547">
        <f t="shared" ref="WJE10" si="7889">WJC10</f>
        <v>95000</v>
      </c>
      <c r="WJF10" s="1548"/>
      <c r="WJG10" s="1547">
        <f t="shared" ref="WJG10" si="7890">WJE10</f>
        <v>95000</v>
      </c>
      <c r="WJH10" s="1548"/>
      <c r="WJI10" s="1547">
        <f t="shared" ref="WJI10" si="7891">WJG10</f>
        <v>95000</v>
      </c>
      <c r="WJJ10" s="1548"/>
      <c r="WJK10" s="1547">
        <f t="shared" ref="WJK10" si="7892">WJI10</f>
        <v>95000</v>
      </c>
      <c r="WJL10" s="1548"/>
      <c r="WJM10" s="1547">
        <f t="shared" ref="WJM10" si="7893">WJK10</f>
        <v>95000</v>
      </c>
      <c r="WJN10" s="1548"/>
      <c r="WJO10" s="1547">
        <f t="shared" ref="WJO10" si="7894">WJM10</f>
        <v>95000</v>
      </c>
      <c r="WJP10" s="1548"/>
      <c r="WJQ10" s="1547">
        <f t="shared" ref="WJQ10" si="7895">WJO10</f>
        <v>95000</v>
      </c>
      <c r="WJR10" s="1548"/>
      <c r="WJS10" s="1547">
        <f t="shared" ref="WJS10" si="7896">WJQ10</f>
        <v>95000</v>
      </c>
      <c r="WJT10" s="1548"/>
      <c r="WJU10" s="1547">
        <f t="shared" ref="WJU10" si="7897">WJS10</f>
        <v>95000</v>
      </c>
      <c r="WJV10" s="1548"/>
      <c r="WJW10" s="1547">
        <f t="shared" ref="WJW10" si="7898">WJU10</f>
        <v>95000</v>
      </c>
      <c r="WJX10" s="1548"/>
      <c r="WJY10" s="1547">
        <f t="shared" ref="WJY10" si="7899">WJW10</f>
        <v>95000</v>
      </c>
      <c r="WJZ10" s="1548"/>
      <c r="WKA10" s="1547">
        <f t="shared" ref="WKA10" si="7900">WJY10</f>
        <v>95000</v>
      </c>
      <c r="WKB10" s="1548"/>
      <c r="WKC10" s="1547">
        <f t="shared" ref="WKC10" si="7901">WKA10</f>
        <v>95000</v>
      </c>
      <c r="WKD10" s="1548"/>
      <c r="WKE10" s="1547">
        <f t="shared" ref="WKE10" si="7902">WKC10</f>
        <v>95000</v>
      </c>
      <c r="WKF10" s="1548"/>
      <c r="WKG10" s="1547">
        <f t="shared" ref="WKG10" si="7903">WKE10</f>
        <v>95000</v>
      </c>
      <c r="WKH10" s="1548"/>
      <c r="WKI10" s="1547">
        <f t="shared" ref="WKI10" si="7904">WKG10</f>
        <v>95000</v>
      </c>
      <c r="WKJ10" s="1548"/>
      <c r="WKK10" s="1547">
        <f t="shared" ref="WKK10" si="7905">WKI10</f>
        <v>95000</v>
      </c>
      <c r="WKL10" s="1548"/>
      <c r="WKM10" s="1547">
        <f t="shared" ref="WKM10" si="7906">WKK10</f>
        <v>95000</v>
      </c>
      <c r="WKN10" s="1548"/>
      <c r="WKO10" s="1547">
        <f t="shared" ref="WKO10" si="7907">WKM10</f>
        <v>95000</v>
      </c>
      <c r="WKP10" s="1548"/>
      <c r="WKQ10" s="1547">
        <f t="shared" ref="WKQ10" si="7908">WKO10</f>
        <v>95000</v>
      </c>
      <c r="WKR10" s="1548"/>
      <c r="WKS10" s="1547">
        <f t="shared" ref="WKS10" si="7909">WKQ10</f>
        <v>95000</v>
      </c>
      <c r="WKT10" s="1548"/>
      <c r="WKU10" s="1547">
        <f t="shared" ref="WKU10" si="7910">WKS10</f>
        <v>95000</v>
      </c>
      <c r="WKV10" s="1548"/>
      <c r="WKW10" s="1547">
        <f t="shared" ref="WKW10" si="7911">WKU10</f>
        <v>95000</v>
      </c>
      <c r="WKX10" s="1548"/>
      <c r="WKY10" s="1547">
        <f t="shared" ref="WKY10" si="7912">WKW10</f>
        <v>95000</v>
      </c>
      <c r="WKZ10" s="1548"/>
      <c r="WLA10" s="1547">
        <f t="shared" ref="WLA10" si="7913">WKY10</f>
        <v>95000</v>
      </c>
      <c r="WLB10" s="1548"/>
      <c r="WLC10" s="1547">
        <f t="shared" ref="WLC10" si="7914">WLA10</f>
        <v>95000</v>
      </c>
      <c r="WLD10" s="1548"/>
      <c r="WLE10" s="1547">
        <f t="shared" ref="WLE10" si="7915">WLC10</f>
        <v>95000</v>
      </c>
      <c r="WLF10" s="1548"/>
      <c r="WLG10" s="1547">
        <f t="shared" ref="WLG10" si="7916">WLE10</f>
        <v>95000</v>
      </c>
      <c r="WLH10" s="1548"/>
      <c r="WLI10" s="1547">
        <f t="shared" ref="WLI10" si="7917">WLG10</f>
        <v>95000</v>
      </c>
      <c r="WLJ10" s="1548"/>
      <c r="WLK10" s="1547">
        <f t="shared" ref="WLK10" si="7918">WLI10</f>
        <v>95000</v>
      </c>
      <c r="WLL10" s="1548"/>
      <c r="WLM10" s="1547">
        <f t="shared" ref="WLM10" si="7919">WLK10</f>
        <v>95000</v>
      </c>
      <c r="WLN10" s="1548"/>
      <c r="WLO10" s="1547">
        <f t="shared" ref="WLO10" si="7920">WLM10</f>
        <v>95000</v>
      </c>
      <c r="WLP10" s="1548"/>
      <c r="WLQ10" s="1547">
        <f t="shared" ref="WLQ10" si="7921">WLO10</f>
        <v>95000</v>
      </c>
      <c r="WLR10" s="1548"/>
      <c r="WLS10" s="1547">
        <f t="shared" ref="WLS10" si="7922">WLQ10</f>
        <v>95000</v>
      </c>
      <c r="WLT10" s="1548"/>
      <c r="WLU10" s="1547">
        <f t="shared" ref="WLU10" si="7923">WLS10</f>
        <v>95000</v>
      </c>
      <c r="WLV10" s="1548"/>
      <c r="WLW10" s="1547">
        <f t="shared" ref="WLW10" si="7924">WLU10</f>
        <v>95000</v>
      </c>
      <c r="WLX10" s="1548"/>
      <c r="WLY10" s="1547">
        <f t="shared" ref="WLY10" si="7925">WLW10</f>
        <v>95000</v>
      </c>
      <c r="WLZ10" s="1548"/>
      <c r="WMA10" s="1547">
        <f t="shared" ref="WMA10" si="7926">WLY10</f>
        <v>95000</v>
      </c>
      <c r="WMB10" s="1548"/>
      <c r="WMC10" s="1547">
        <f t="shared" ref="WMC10" si="7927">WMA10</f>
        <v>95000</v>
      </c>
      <c r="WMD10" s="1548"/>
      <c r="WME10" s="1547">
        <f t="shared" ref="WME10" si="7928">WMC10</f>
        <v>95000</v>
      </c>
      <c r="WMF10" s="1548"/>
      <c r="WMG10" s="1547">
        <f t="shared" ref="WMG10" si="7929">WME10</f>
        <v>95000</v>
      </c>
      <c r="WMH10" s="1548"/>
      <c r="WMI10" s="1547">
        <f t="shared" ref="WMI10" si="7930">WMG10</f>
        <v>95000</v>
      </c>
      <c r="WMJ10" s="1548"/>
      <c r="WMK10" s="1547">
        <f t="shared" ref="WMK10" si="7931">WMI10</f>
        <v>95000</v>
      </c>
      <c r="WML10" s="1548"/>
      <c r="WMM10" s="1547">
        <f t="shared" ref="WMM10" si="7932">WMK10</f>
        <v>95000</v>
      </c>
      <c r="WMN10" s="1548"/>
      <c r="WMO10" s="1547">
        <f t="shared" ref="WMO10" si="7933">WMM10</f>
        <v>95000</v>
      </c>
      <c r="WMP10" s="1548"/>
      <c r="WMQ10" s="1547">
        <f t="shared" ref="WMQ10" si="7934">WMO10</f>
        <v>95000</v>
      </c>
      <c r="WMR10" s="1548"/>
      <c r="WMS10" s="1547">
        <f t="shared" ref="WMS10" si="7935">WMQ10</f>
        <v>95000</v>
      </c>
      <c r="WMT10" s="1548"/>
      <c r="WMU10" s="1547">
        <f t="shared" ref="WMU10" si="7936">WMS10</f>
        <v>95000</v>
      </c>
      <c r="WMV10" s="1548"/>
      <c r="WMW10" s="1547">
        <f t="shared" ref="WMW10" si="7937">WMU10</f>
        <v>95000</v>
      </c>
      <c r="WMX10" s="1548"/>
      <c r="WMY10" s="1547">
        <f t="shared" ref="WMY10" si="7938">WMW10</f>
        <v>95000</v>
      </c>
      <c r="WMZ10" s="1548"/>
      <c r="WNA10" s="1547">
        <f t="shared" ref="WNA10" si="7939">WMY10</f>
        <v>95000</v>
      </c>
      <c r="WNB10" s="1548"/>
      <c r="WNC10" s="1547">
        <f t="shared" ref="WNC10" si="7940">WNA10</f>
        <v>95000</v>
      </c>
      <c r="WND10" s="1548"/>
      <c r="WNE10" s="1547">
        <f t="shared" ref="WNE10" si="7941">WNC10</f>
        <v>95000</v>
      </c>
      <c r="WNF10" s="1548"/>
      <c r="WNG10" s="1547">
        <f t="shared" ref="WNG10" si="7942">WNE10</f>
        <v>95000</v>
      </c>
      <c r="WNH10" s="1548"/>
      <c r="WNI10" s="1547">
        <f t="shared" ref="WNI10" si="7943">WNG10</f>
        <v>95000</v>
      </c>
      <c r="WNJ10" s="1548"/>
      <c r="WNK10" s="1547">
        <f t="shared" ref="WNK10" si="7944">WNI10</f>
        <v>95000</v>
      </c>
      <c r="WNL10" s="1548"/>
      <c r="WNM10" s="1547">
        <f t="shared" ref="WNM10" si="7945">WNK10</f>
        <v>95000</v>
      </c>
      <c r="WNN10" s="1548"/>
      <c r="WNO10" s="1547">
        <f t="shared" ref="WNO10" si="7946">WNM10</f>
        <v>95000</v>
      </c>
      <c r="WNP10" s="1548"/>
      <c r="WNQ10" s="1547">
        <f t="shared" ref="WNQ10" si="7947">WNO10</f>
        <v>95000</v>
      </c>
      <c r="WNR10" s="1548"/>
      <c r="WNS10" s="1547">
        <f t="shared" ref="WNS10" si="7948">WNQ10</f>
        <v>95000</v>
      </c>
      <c r="WNT10" s="1548"/>
      <c r="WNU10" s="1547">
        <f t="shared" ref="WNU10" si="7949">WNS10</f>
        <v>95000</v>
      </c>
      <c r="WNV10" s="1548"/>
      <c r="WNW10" s="1547">
        <f t="shared" ref="WNW10" si="7950">WNU10</f>
        <v>95000</v>
      </c>
      <c r="WNX10" s="1548"/>
      <c r="WNY10" s="1547">
        <f t="shared" ref="WNY10" si="7951">WNW10</f>
        <v>95000</v>
      </c>
      <c r="WNZ10" s="1548"/>
      <c r="WOA10" s="1547">
        <f t="shared" ref="WOA10" si="7952">WNY10</f>
        <v>95000</v>
      </c>
      <c r="WOB10" s="1548"/>
      <c r="WOC10" s="1547">
        <f t="shared" ref="WOC10" si="7953">WOA10</f>
        <v>95000</v>
      </c>
      <c r="WOD10" s="1548"/>
      <c r="WOE10" s="1547">
        <f t="shared" ref="WOE10" si="7954">WOC10</f>
        <v>95000</v>
      </c>
      <c r="WOF10" s="1548"/>
      <c r="WOG10" s="1547">
        <f t="shared" ref="WOG10" si="7955">WOE10</f>
        <v>95000</v>
      </c>
      <c r="WOH10" s="1548"/>
      <c r="WOI10" s="1547">
        <f t="shared" ref="WOI10" si="7956">WOG10</f>
        <v>95000</v>
      </c>
      <c r="WOJ10" s="1548"/>
      <c r="WOK10" s="1547">
        <f t="shared" ref="WOK10" si="7957">WOI10</f>
        <v>95000</v>
      </c>
      <c r="WOL10" s="1548"/>
      <c r="WOM10" s="1547">
        <f t="shared" ref="WOM10" si="7958">WOK10</f>
        <v>95000</v>
      </c>
      <c r="WON10" s="1548"/>
      <c r="WOO10" s="1547">
        <f t="shared" ref="WOO10" si="7959">WOM10</f>
        <v>95000</v>
      </c>
      <c r="WOP10" s="1548"/>
      <c r="WOQ10" s="1547">
        <f t="shared" ref="WOQ10" si="7960">WOO10</f>
        <v>95000</v>
      </c>
      <c r="WOR10" s="1548"/>
      <c r="WOS10" s="1547">
        <f t="shared" ref="WOS10" si="7961">WOQ10</f>
        <v>95000</v>
      </c>
      <c r="WOT10" s="1548"/>
      <c r="WOU10" s="1547">
        <f t="shared" ref="WOU10" si="7962">WOS10</f>
        <v>95000</v>
      </c>
      <c r="WOV10" s="1548"/>
      <c r="WOW10" s="1547">
        <f t="shared" ref="WOW10" si="7963">WOU10</f>
        <v>95000</v>
      </c>
      <c r="WOX10" s="1548"/>
      <c r="WOY10" s="1547">
        <f t="shared" ref="WOY10" si="7964">WOW10</f>
        <v>95000</v>
      </c>
      <c r="WOZ10" s="1548"/>
      <c r="WPA10" s="1547">
        <f t="shared" ref="WPA10" si="7965">WOY10</f>
        <v>95000</v>
      </c>
      <c r="WPB10" s="1548"/>
      <c r="WPC10" s="1547">
        <f t="shared" ref="WPC10" si="7966">WPA10</f>
        <v>95000</v>
      </c>
      <c r="WPD10" s="1548"/>
      <c r="WPE10" s="1547">
        <f t="shared" ref="WPE10" si="7967">WPC10</f>
        <v>95000</v>
      </c>
      <c r="WPF10" s="1548"/>
      <c r="WPG10" s="1547">
        <f t="shared" ref="WPG10" si="7968">WPE10</f>
        <v>95000</v>
      </c>
      <c r="WPH10" s="1548"/>
      <c r="WPI10" s="1547">
        <f t="shared" ref="WPI10" si="7969">WPG10</f>
        <v>95000</v>
      </c>
      <c r="WPJ10" s="1548"/>
      <c r="WPK10" s="1547">
        <f t="shared" ref="WPK10" si="7970">WPI10</f>
        <v>95000</v>
      </c>
      <c r="WPL10" s="1548"/>
      <c r="WPM10" s="1547">
        <f t="shared" ref="WPM10" si="7971">WPK10</f>
        <v>95000</v>
      </c>
      <c r="WPN10" s="1548"/>
      <c r="WPO10" s="1547">
        <f t="shared" ref="WPO10" si="7972">WPM10</f>
        <v>95000</v>
      </c>
      <c r="WPP10" s="1548"/>
      <c r="WPQ10" s="1547">
        <f t="shared" ref="WPQ10" si="7973">WPO10</f>
        <v>95000</v>
      </c>
      <c r="WPR10" s="1548"/>
      <c r="WPS10" s="1547">
        <f t="shared" ref="WPS10" si="7974">WPQ10</f>
        <v>95000</v>
      </c>
      <c r="WPT10" s="1548"/>
      <c r="WPU10" s="1547">
        <f t="shared" ref="WPU10" si="7975">WPS10</f>
        <v>95000</v>
      </c>
      <c r="WPV10" s="1548"/>
      <c r="WPW10" s="1547">
        <f t="shared" ref="WPW10" si="7976">WPU10</f>
        <v>95000</v>
      </c>
      <c r="WPX10" s="1548"/>
      <c r="WPY10" s="1547">
        <f t="shared" ref="WPY10" si="7977">WPW10</f>
        <v>95000</v>
      </c>
      <c r="WPZ10" s="1548"/>
      <c r="WQA10" s="1547">
        <f t="shared" ref="WQA10" si="7978">WPY10</f>
        <v>95000</v>
      </c>
      <c r="WQB10" s="1548"/>
      <c r="WQC10" s="1547">
        <f t="shared" ref="WQC10" si="7979">WQA10</f>
        <v>95000</v>
      </c>
      <c r="WQD10" s="1548"/>
      <c r="WQE10" s="1547">
        <f t="shared" ref="WQE10" si="7980">WQC10</f>
        <v>95000</v>
      </c>
      <c r="WQF10" s="1548"/>
      <c r="WQG10" s="1547">
        <f t="shared" ref="WQG10" si="7981">WQE10</f>
        <v>95000</v>
      </c>
      <c r="WQH10" s="1548"/>
      <c r="WQI10" s="1547">
        <f t="shared" ref="WQI10" si="7982">WQG10</f>
        <v>95000</v>
      </c>
      <c r="WQJ10" s="1548"/>
      <c r="WQK10" s="1547">
        <f t="shared" ref="WQK10" si="7983">WQI10</f>
        <v>95000</v>
      </c>
      <c r="WQL10" s="1548"/>
      <c r="WQM10" s="1547">
        <f t="shared" ref="WQM10" si="7984">WQK10</f>
        <v>95000</v>
      </c>
      <c r="WQN10" s="1548"/>
      <c r="WQO10" s="1547">
        <f t="shared" ref="WQO10" si="7985">WQM10</f>
        <v>95000</v>
      </c>
      <c r="WQP10" s="1548"/>
      <c r="WQQ10" s="1547">
        <f t="shared" ref="WQQ10" si="7986">WQO10</f>
        <v>95000</v>
      </c>
      <c r="WQR10" s="1548"/>
      <c r="WQS10" s="1547">
        <f t="shared" ref="WQS10" si="7987">WQQ10</f>
        <v>95000</v>
      </c>
      <c r="WQT10" s="1548"/>
      <c r="WQU10" s="1547">
        <f t="shared" ref="WQU10" si="7988">WQS10</f>
        <v>95000</v>
      </c>
      <c r="WQV10" s="1548"/>
      <c r="WQW10" s="1547">
        <f t="shared" ref="WQW10" si="7989">WQU10</f>
        <v>95000</v>
      </c>
      <c r="WQX10" s="1548"/>
      <c r="WQY10" s="1547">
        <f t="shared" ref="WQY10" si="7990">WQW10</f>
        <v>95000</v>
      </c>
      <c r="WQZ10" s="1548"/>
      <c r="WRA10" s="1547">
        <f t="shared" ref="WRA10" si="7991">WQY10</f>
        <v>95000</v>
      </c>
      <c r="WRB10" s="1548"/>
      <c r="WRC10" s="1547">
        <f t="shared" ref="WRC10" si="7992">WRA10</f>
        <v>95000</v>
      </c>
      <c r="WRD10" s="1548"/>
      <c r="WRE10" s="1547">
        <f t="shared" ref="WRE10" si="7993">WRC10</f>
        <v>95000</v>
      </c>
      <c r="WRF10" s="1548"/>
      <c r="WRG10" s="1547">
        <f t="shared" ref="WRG10" si="7994">WRE10</f>
        <v>95000</v>
      </c>
      <c r="WRH10" s="1548"/>
      <c r="WRI10" s="1547">
        <f t="shared" ref="WRI10" si="7995">WRG10</f>
        <v>95000</v>
      </c>
      <c r="WRJ10" s="1548"/>
      <c r="WRK10" s="1547">
        <f t="shared" ref="WRK10" si="7996">WRI10</f>
        <v>95000</v>
      </c>
      <c r="WRL10" s="1548"/>
      <c r="WRM10" s="1547">
        <f t="shared" ref="WRM10" si="7997">WRK10</f>
        <v>95000</v>
      </c>
      <c r="WRN10" s="1548"/>
      <c r="WRO10" s="1547">
        <f t="shared" ref="WRO10" si="7998">WRM10</f>
        <v>95000</v>
      </c>
      <c r="WRP10" s="1548"/>
      <c r="WRQ10" s="1547">
        <f t="shared" ref="WRQ10" si="7999">WRO10</f>
        <v>95000</v>
      </c>
      <c r="WRR10" s="1548"/>
      <c r="WRS10" s="1547">
        <f t="shared" ref="WRS10" si="8000">WRQ10</f>
        <v>95000</v>
      </c>
      <c r="WRT10" s="1548"/>
      <c r="WRU10" s="1547">
        <f t="shared" ref="WRU10" si="8001">WRS10</f>
        <v>95000</v>
      </c>
      <c r="WRV10" s="1548"/>
      <c r="WRW10" s="1547">
        <f t="shared" ref="WRW10" si="8002">WRU10</f>
        <v>95000</v>
      </c>
      <c r="WRX10" s="1548"/>
      <c r="WRY10" s="1547">
        <f t="shared" ref="WRY10" si="8003">WRW10</f>
        <v>95000</v>
      </c>
      <c r="WRZ10" s="1548"/>
      <c r="WSA10" s="1547">
        <f t="shared" ref="WSA10" si="8004">WRY10</f>
        <v>95000</v>
      </c>
      <c r="WSB10" s="1548"/>
      <c r="WSC10" s="1547">
        <f t="shared" ref="WSC10" si="8005">WSA10</f>
        <v>95000</v>
      </c>
      <c r="WSD10" s="1548"/>
      <c r="WSE10" s="1547">
        <f t="shared" ref="WSE10" si="8006">WSC10</f>
        <v>95000</v>
      </c>
      <c r="WSF10" s="1548"/>
      <c r="WSG10" s="1547">
        <f t="shared" ref="WSG10" si="8007">WSE10</f>
        <v>95000</v>
      </c>
      <c r="WSH10" s="1548"/>
      <c r="WSI10" s="1547">
        <f t="shared" ref="WSI10" si="8008">WSG10</f>
        <v>95000</v>
      </c>
      <c r="WSJ10" s="1548"/>
      <c r="WSK10" s="1547">
        <f t="shared" ref="WSK10" si="8009">WSI10</f>
        <v>95000</v>
      </c>
      <c r="WSL10" s="1548"/>
      <c r="WSM10" s="1547">
        <f t="shared" ref="WSM10" si="8010">WSK10</f>
        <v>95000</v>
      </c>
      <c r="WSN10" s="1548"/>
      <c r="WSO10" s="1547">
        <f t="shared" ref="WSO10" si="8011">WSM10</f>
        <v>95000</v>
      </c>
      <c r="WSP10" s="1548"/>
      <c r="WSQ10" s="1547">
        <f t="shared" ref="WSQ10" si="8012">WSO10</f>
        <v>95000</v>
      </c>
      <c r="WSR10" s="1548"/>
      <c r="WSS10" s="1547">
        <f t="shared" ref="WSS10" si="8013">WSQ10</f>
        <v>95000</v>
      </c>
      <c r="WST10" s="1548"/>
      <c r="WSU10" s="1547">
        <f t="shared" ref="WSU10" si="8014">WSS10</f>
        <v>95000</v>
      </c>
      <c r="WSV10" s="1548"/>
      <c r="WSW10" s="1547">
        <f t="shared" ref="WSW10" si="8015">WSU10</f>
        <v>95000</v>
      </c>
      <c r="WSX10" s="1548"/>
      <c r="WSY10" s="1547">
        <f t="shared" ref="WSY10" si="8016">WSW10</f>
        <v>95000</v>
      </c>
      <c r="WSZ10" s="1548"/>
      <c r="WTA10" s="1547">
        <f t="shared" ref="WTA10" si="8017">WSY10</f>
        <v>95000</v>
      </c>
      <c r="WTB10" s="1548"/>
      <c r="WTC10" s="1547">
        <f t="shared" ref="WTC10" si="8018">WTA10</f>
        <v>95000</v>
      </c>
      <c r="WTD10" s="1548"/>
      <c r="WTE10" s="1547">
        <f t="shared" ref="WTE10" si="8019">WTC10</f>
        <v>95000</v>
      </c>
      <c r="WTF10" s="1548"/>
      <c r="WTG10" s="1547">
        <f t="shared" ref="WTG10" si="8020">WTE10</f>
        <v>95000</v>
      </c>
      <c r="WTH10" s="1548"/>
      <c r="WTI10" s="1547">
        <f t="shared" ref="WTI10" si="8021">WTG10</f>
        <v>95000</v>
      </c>
      <c r="WTJ10" s="1548"/>
      <c r="WTK10" s="1547">
        <f t="shared" ref="WTK10" si="8022">WTI10</f>
        <v>95000</v>
      </c>
      <c r="WTL10" s="1548"/>
      <c r="WTM10" s="1547">
        <f t="shared" ref="WTM10" si="8023">WTK10</f>
        <v>95000</v>
      </c>
      <c r="WTN10" s="1548"/>
      <c r="WTO10" s="1547">
        <f t="shared" ref="WTO10" si="8024">WTM10</f>
        <v>95000</v>
      </c>
      <c r="WTP10" s="1548"/>
      <c r="WTQ10" s="1547">
        <f t="shared" ref="WTQ10" si="8025">WTO10</f>
        <v>95000</v>
      </c>
      <c r="WTR10" s="1548"/>
      <c r="WTS10" s="1547">
        <f t="shared" ref="WTS10" si="8026">WTQ10</f>
        <v>95000</v>
      </c>
      <c r="WTT10" s="1548"/>
      <c r="WTU10" s="1547">
        <f t="shared" ref="WTU10" si="8027">WTS10</f>
        <v>95000</v>
      </c>
      <c r="WTV10" s="1548"/>
      <c r="WTW10" s="1547">
        <f t="shared" ref="WTW10" si="8028">WTU10</f>
        <v>95000</v>
      </c>
      <c r="WTX10" s="1548"/>
      <c r="WTY10" s="1547">
        <f t="shared" ref="WTY10" si="8029">WTW10</f>
        <v>95000</v>
      </c>
      <c r="WTZ10" s="1548"/>
      <c r="WUA10" s="1547">
        <f t="shared" ref="WUA10" si="8030">WTY10</f>
        <v>95000</v>
      </c>
      <c r="WUB10" s="1548"/>
      <c r="WUC10" s="1547">
        <f t="shared" ref="WUC10" si="8031">WUA10</f>
        <v>95000</v>
      </c>
      <c r="WUD10" s="1548"/>
      <c r="WUE10" s="1547">
        <f t="shared" ref="WUE10" si="8032">WUC10</f>
        <v>95000</v>
      </c>
      <c r="WUF10" s="1548"/>
      <c r="WUG10" s="1547">
        <f t="shared" ref="WUG10" si="8033">WUE10</f>
        <v>95000</v>
      </c>
      <c r="WUH10" s="1548"/>
      <c r="WUI10" s="1547">
        <f t="shared" ref="WUI10" si="8034">WUG10</f>
        <v>95000</v>
      </c>
      <c r="WUJ10" s="1548"/>
      <c r="WUK10" s="1547">
        <f t="shared" ref="WUK10" si="8035">WUI10</f>
        <v>95000</v>
      </c>
      <c r="WUL10" s="1548"/>
      <c r="WUM10" s="1547">
        <f t="shared" ref="WUM10" si="8036">WUK10</f>
        <v>95000</v>
      </c>
      <c r="WUN10" s="1548"/>
      <c r="WUO10" s="1547">
        <f t="shared" ref="WUO10" si="8037">WUM10</f>
        <v>95000</v>
      </c>
      <c r="WUP10" s="1548"/>
      <c r="WUQ10" s="1547">
        <f t="shared" ref="WUQ10" si="8038">WUO10</f>
        <v>95000</v>
      </c>
      <c r="WUR10" s="1548"/>
      <c r="WUS10" s="1547">
        <f t="shared" ref="WUS10" si="8039">WUQ10</f>
        <v>95000</v>
      </c>
      <c r="WUT10" s="1548"/>
      <c r="WUU10" s="1547">
        <f t="shared" ref="WUU10" si="8040">WUS10</f>
        <v>95000</v>
      </c>
      <c r="WUV10" s="1548"/>
      <c r="WUW10" s="1547">
        <f t="shared" ref="WUW10" si="8041">WUU10</f>
        <v>95000</v>
      </c>
      <c r="WUX10" s="1548"/>
      <c r="WUY10" s="1547">
        <f t="shared" ref="WUY10" si="8042">WUW10</f>
        <v>95000</v>
      </c>
      <c r="WUZ10" s="1548"/>
      <c r="WVA10" s="1547">
        <f t="shared" ref="WVA10" si="8043">WUY10</f>
        <v>95000</v>
      </c>
      <c r="WVB10" s="1548"/>
      <c r="WVC10" s="1547">
        <f t="shared" ref="WVC10" si="8044">WVA10</f>
        <v>95000</v>
      </c>
      <c r="WVD10" s="1548"/>
      <c r="WVE10" s="1547">
        <f t="shared" ref="WVE10" si="8045">WVC10</f>
        <v>95000</v>
      </c>
      <c r="WVF10" s="1548"/>
      <c r="WVG10" s="1547">
        <f t="shared" ref="WVG10" si="8046">WVE10</f>
        <v>95000</v>
      </c>
      <c r="WVH10" s="1548"/>
      <c r="WVI10" s="1547">
        <f t="shared" ref="WVI10" si="8047">WVG10</f>
        <v>95000</v>
      </c>
      <c r="WVJ10" s="1548"/>
      <c r="WVK10" s="1547">
        <f t="shared" ref="WVK10" si="8048">WVI10</f>
        <v>95000</v>
      </c>
      <c r="WVL10" s="1548"/>
      <c r="WVM10" s="1547">
        <f t="shared" ref="WVM10" si="8049">WVK10</f>
        <v>95000</v>
      </c>
      <c r="WVN10" s="1548"/>
      <c r="WVO10" s="1547">
        <f t="shared" ref="WVO10" si="8050">WVM10</f>
        <v>95000</v>
      </c>
      <c r="WVP10" s="1548"/>
      <c r="WVQ10" s="1547">
        <f t="shared" ref="WVQ10" si="8051">WVO10</f>
        <v>95000</v>
      </c>
      <c r="WVR10" s="1548"/>
      <c r="WVS10" s="1547">
        <f t="shared" ref="WVS10" si="8052">WVQ10</f>
        <v>95000</v>
      </c>
      <c r="WVT10" s="1548"/>
      <c r="WVU10" s="1547">
        <f t="shared" ref="WVU10" si="8053">WVS10</f>
        <v>95000</v>
      </c>
      <c r="WVV10" s="1548"/>
      <c r="WVW10" s="1547">
        <f t="shared" ref="WVW10" si="8054">WVU10</f>
        <v>95000</v>
      </c>
      <c r="WVX10" s="1548"/>
      <c r="WVY10" s="1547">
        <f t="shared" ref="WVY10" si="8055">WVW10</f>
        <v>95000</v>
      </c>
      <c r="WVZ10" s="1548"/>
      <c r="WWA10" s="1547">
        <f t="shared" ref="WWA10" si="8056">WVY10</f>
        <v>95000</v>
      </c>
      <c r="WWB10" s="1548"/>
      <c r="WWC10" s="1547">
        <f t="shared" ref="WWC10" si="8057">WWA10</f>
        <v>95000</v>
      </c>
      <c r="WWD10" s="1548"/>
      <c r="WWE10" s="1547">
        <f t="shared" ref="WWE10" si="8058">WWC10</f>
        <v>95000</v>
      </c>
      <c r="WWF10" s="1548"/>
      <c r="WWG10" s="1547">
        <f t="shared" ref="WWG10" si="8059">WWE10</f>
        <v>95000</v>
      </c>
      <c r="WWH10" s="1548"/>
      <c r="WWI10" s="1547">
        <f t="shared" ref="WWI10" si="8060">WWG10</f>
        <v>95000</v>
      </c>
      <c r="WWJ10" s="1548"/>
      <c r="WWK10" s="1547">
        <f t="shared" ref="WWK10" si="8061">WWI10</f>
        <v>95000</v>
      </c>
      <c r="WWL10" s="1548"/>
      <c r="WWM10" s="1547">
        <f t="shared" ref="WWM10" si="8062">WWK10</f>
        <v>95000</v>
      </c>
      <c r="WWN10" s="1548"/>
      <c r="WWO10" s="1547">
        <f t="shared" ref="WWO10" si="8063">WWM10</f>
        <v>95000</v>
      </c>
      <c r="WWP10" s="1548"/>
      <c r="WWQ10" s="1547">
        <f t="shared" ref="WWQ10" si="8064">WWO10</f>
        <v>95000</v>
      </c>
      <c r="WWR10" s="1548"/>
      <c r="WWS10" s="1547">
        <f t="shared" ref="WWS10" si="8065">WWQ10</f>
        <v>95000</v>
      </c>
      <c r="WWT10" s="1548"/>
      <c r="WWU10" s="1547">
        <f t="shared" ref="WWU10" si="8066">WWS10</f>
        <v>95000</v>
      </c>
      <c r="WWV10" s="1548"/>
      <c r="WWW10" s="1547">
        <f t="shared" ref="WWW10" si="8067">WWU10</f>
        <v>95000</v>
      </c>
      <c r="WWX10" s="1548"/>
      <c r="WWY10" s="1547">
        <f t="shared" ref="WWY10" si="8068">WWW10</f>
        <v>95000</v>
      </c>
      <c r="WWZ10" s="1548"/>
      <c r="WXA10" s="1547">
        <f t="shared" ref="WXA10" si="8069">WWY10</f>
        <v>95000</v>
      </c>
      <c r="WXB10" s="1548"/>
      <c r="WXC10" s="1547">
        <f t="shared" ref="WXC10" si="8070">WXA10</f>
        <v>95000</v>
      </c>
      <c r="WXD10" s="1548"/>
      <c r="WXE10" s="1547">
        <f t="shared" ref="WXE10" si="8071">WXC10</f>
        <v>95000</v>
      </c>
      <c r="WXF10" s="1548"/>
      <c r="WXG10" s="1547">
        <f t="shared" ref="WXG10" si="8072">WXE10</f>
        <v>95000</v>
      </c>
      <c r="WXH10" s="1548"/>
      <c r="WXI10" s="1547">
        <f t="shared" ref="WXI10" si="8073">WXG10</f>
        <v>95000</v>
      </c>
      <c r="WXJ10" s="1548"/>
      <c r="WXK10" s="1547">
        <f t="shared" ref="WXK10" si="8074">WXI10</f>
        <v>95000</v>
      </c>
      <c r="WXL10" s="1548"/>
      <c r="WXM10" s="1547">
        <f t="shared" ref="WXM10" si="8075">WXK10</f>
        <v>95000</v>
      </c>
      <c r="WXN10" s="1548"/>
      <c r="WXO10" s="1547">
        <f t="shared" ref="WXO10" si="8076">WXM10</f>
        <v>95000</v>
      </c>
      <c r="WXP10" s="1548"/>
      <c r="WXQ10" s="1547">
        <f t="shared" ref="WXQ10" si="8077">WXO10</f>
        <v>95000</v>
      </c>
      <c r="WXR10" s="1548"/>
      <c r="WXS10" s="1547">
        <f t="shared" ref="WXS10" si="8078">WXQ10</f>
        <v>95000</v>
      </c>
      <c r="WXT10" s="1548"/>
      <c r="WXU10" s="1547">
        <f t="shared" ref="WXU10" si="8079">WXS10</f>
        <v>95000</v>
      </c>
      <c r="WXV10" s="1548"/>
      <c r="WXW10" s="1547">
        <f t="shared" ref="WXW10" si="8080">WXU10</f>
        <v>95000</v>
      </c>
      <c r="WXX10" s="1548"/>
      <c r="WXY10" s="1547">
        <f t="shared" ref="WXY10" si="8081">WXW10</f>
        <v>95000</v>
      </c>
      <c r="WXZ10" s="1548"/>
      <c r="WYA10" s="1547">
        <f t="shared" ref="WYA10" si="8082">WXY10</f>
        <v>95000</v>
      </c>
      <c r="WYB10" s="1548"/>
      <c r="WYC10" s="1547">
        <f t="shared" ref="WYC10" si="8083">WYA10</f>
        <v>95000</v>
      </c>
      <c r="WYD10" s="1548"/>
      <c r="WYE10" s="1547">
        <f t="shared" ref="WYE10" si="8084">WYC10</f>
        <v>95000</v>
      </c>
      <c r="WYF10" s="1548"/>
      <c r="WYG10" s="1547">
        <f t="shared" ref="WYG10" si="8085">WYE10</f>
        <v>95000</v>
      </c>
      <c r="WYH10" s="1548"/>
      <c r="WYI10" s="1547">
        <f t="shared" ref="WYI10" si="8086">WYG10</f>
        <v>95000</v>
      </c>
      <c r="WYJ10" s="1548"/>
      <c r="WYK10" s="1547">
        <f t="shared" ref="WYK10" si="8087">WYI10</f>
        <v>95000</v>
      </c>
      <c r="WYL10" s="1548"/>
      <c r="WYM10" s="1547">
        <f t="shared" ref="WYM10" si="8088">WYK10</f>
        <v>95000</v>
      </c>
      <c r="WYN10" s="1548"/>
      <c r="WYO10" s="1547">
        <f t="shared" ref="WYO10" si="8089">WYM10</f>
        <v>95000</v>
      </c>
      <c r="WYP10" s="1548"/>
      <c r="WYQ10" s="1547">
        <f t="shared" ref="WYQ10" si="8090">WYO10</f>
        <v>95000</v>
      </c>
      <c r="WYR10" s="1548"/>
      <c r="WYS10" s="1547">
        <f t="shared" ref="WYS10" si="8091">WYQ10</f>
        <v>95000</v>
      </c>
      <c r="WYT10" s="1548"/>
      <c r="WYU10" s="1547">
        <f t="shared" ref="WYU10" si="8092">WYS10</f>
        <v>95000</v>
      </c>
      <c r="WYV10" s="1548"/>
      <c r="WYW10" s="1547">
        <f t="shared" ref="WYW10" si="8093">WYU10</f>
        <v>95000</v>
      </c>
      <c r="WYX10" s="1548"/>
      <c r="WYY10" s="1547">
        <f t="shared" ref="WYY10" si="8094">WYW10</f>
        <v>95000</v>
      </c>
      <c r="WYZ10" s="1548"/>
      <c r="WZA10" s="1547">
        <f t="shared" ref="WZA10" si="8095">WYY10</f>
        <v>95000</v>
      </c>
      <c r="WZB10" s="1548"/>
      <c r="WZC10" s="1547">
        <f t="shared" ref="WZC10" si="8096">WZA10</f>
        <v>95000</v>
      </c>
      <c r="WZD10" s="1548"/>
      <c r="WZE10" s="1547">
        <f t="shared" ref="WZE10" si="8097">WZC10</f>
        <v>95000</v>
      </c>
      <c r="WZF10" s="1548"/>
      <c r="WZG10" s="1547">
        <f t="shared" ref="WZG10" si="8098">WZE10</f>
        <v>95000</v>
      </c>
      <c r="WZH10" s="1548"/>
      <c r="WZI10" s="1547">
        <f t="shared" ref="WZI10" si="8099">WZG10</f>
        <v>95000</v>
      </c>
      <c r="WZJ10" s="1548"/>
      <c r="WZK10" s="1547">
        <f t="shared" ref="WZK10" si="8100">WZI10</f>
        <v>95000</v>
      </c>
      <c r="WZL10" s="1548"/>
      <c r="WZM10" s="1547">
        <f t="shared" ref="WZM10" si="8101">WZK10</f>
        <v>95000</v>
      </c>
      <c r="WZN10" s="1548"/>
      <c r="WZO10" s="1547">
        <f t="shared" ref="WZO10" si="8102">WZM10</f>
        <v>95000</v>
      </c>
      <c r="WZP10" s="1548"/>
      <c r="WZQ10" s="1547">
        <f t="shared" ref="WZQ10" si="8103">WZO10</f>
        <v>95000</v>
      </c>
      <c r="WZR10" s="1548"/>
      <c r="WZS10" s="1547">
        <f t="shared" ref="WZS10" si="8104">WZQ10</f>
        <v>95000</v>
      </c>
      <c r="WZT10" s="1548"/>
      <c r="WZU10" s="1547">
        <f t="shared" ref="WZU10" si="8105">WZS10</f>
        <v>95000</v>
      </c>
      <c r="WZV10" s="1548"/>
      <c r="WZW10" s="1547">
        <f t="shared" ref="WZW10" si="8106">WZU10</f>
        <v>95000</v>
      </c>
      <c r="WZX10" s="1548"/>
      <c r="WZY10" s="1547">
        <f t="shared" ref="WZY10" si="8107">WZW10</f>
        <v>95000</v>
      </c>
      <c r="WZZ10" s="1548"/>
      <c r="XAA10" s="1547">
        <f t="shared" ref="XAA10" si="8108">WZY10</f>
        <v>95000</v>
      </c>
      <c r="XAB10" s="1548"/>
      <c r="XAC10" s="1547">
        <f t="shared" ref="XAC10" si="8109">XAA10</f>
        <v>95000</v>
      </c>
      <c r="XAD10" s="1548"/>
      <c r="XAE10" s="1547">
        <f t="shared" ref="XAE10" si="8110">XAC10</f>
        <v>95000</v>
      </c>
      <c r="XAF10" s="1548"/>
      <c r="XAG10" s="1547">
        <f t="shared" ref="XAG10" si="8111">XAE10</f>
        <v>95000</v>
      </c>
      <c r="XAH10" s="1548"/>
      <c r="XAI10" s="1547">
        <f t="shared" ref="XAI10" si="8112">XAG10</f>
        <v>95000</v>
      </c>
      <c r="XAJ10" s="1548"/>
      <c r="XAK10" s="1547">
        <f t="shared" ref="XAK10" si="8113">XAI10</f>
        <v>95000</v>
      </c>
      <c r="XAL10" s="1548"/>
      <c r="XAM10" s="1547">
        <f t="shared" ref="XAM10" si="8114">XAK10</f>
        <v>95000</v>
      </c>
      <c r="XAN10" s="1548"/>
      <c r="XAO10" s="1547">
        <f t="shared" ref="XAO10" si="8115">XAM10</f>
        <v>95000</v>
      </c>
      <c r="XAP10" s="1548"/>
      <c r="XAQ10" s="1547">
        <f t="shared" ref="XAQ10" si="8116">XAO10</f>
        <v>95000</v>
      </c>
      <c r="XAR10" s="1548"/>
      <c r="XAS10" s="1547">
        <f t="shared" ref="XAS10" si="8117">XAQ10</f>
        <v>95000</v>
      </c>
      <c r="XAT10" s="1548"/>
      <c r="XAU10" s="1547">
        <f t="shared" ref="XAU10" si="8118">XAS10</f>
        <v>95000</v>
      </c>
      <c r="XAV10" s="1548"/>
      <c r="XAW10" s="1547">
        <f t="shared" ref="XAW10" si="8119">XAU10</f>
        <v>95000</v>
      </c>
      <c r="XAX10" s="1548"/>
      <c r="XAY10" s="1547">
        <f t="shared" ref="XAY10" si="8120">XAW10</f>
        <v>95000</v>
      </c>
      <c r="XAZ10" s="1548"/>
      <c r="XBA10" s="1547">
        <f t="shared" ref="XBA10" si="8121">XAY10</f>
        <v>95000</v>
      </c>
      <c r="XBB10" s="1548"/>
      <c r="XBC10" s="1547">
        <f t="shared" ref="XBC10" si="8122">XBA10</f>
        <v>95000</v>
      </c>
      <c r="XBD10" s="1548"/>
      <c r="XBE10" s="1547">
        <f t="shared" ref="XBE10" si="8123">XBC10</f>
        <v>95000</v>
      </c>
      <c r="XBF10" s="1548"/>
      <c r="XBG10" s="1547">
        <f t="shared" ref="XBG10" si="8124">XBE10</f>
        <v>95000</v>
      </c>
      <c r="XBH10" s="1548"/>
      <c r="XBI10" s="1547">
        <f t="shared" ref="XBI10" si="8125">XBG10</f>
        <v>95000</v>
      </c>
      <c r="XBJ10" s="1548"/>
      <c r="XBK10" s="1547">
        <f t="shared" ref="XBK10" si="8126">XBI10</f>
        <v>95000</v>
      </c>
      <c r="XBL10" s="1548"/>
      <c r="XBM10" s="1547">
        <f t="shared" ref="XBM10" si="8127">XBK10</f>
        <v>95000</v>
      </c>
      <c r="XBN10" s="1548"/>
      <c r="XBO10" s="1547">
        <f t="shared" ref="XBO10" si="8128">XBM10</f>
        <v>95000</v>
      </c>
      <c r="XBP10" s="1548"/>
      <c r="XBQ10" s="1547">
        <f t="shared" ref="XBQ10" si="8129">XBO10</f>
        <v>95000</v>
      </c>
      <c r="XBR10" s="1548"/>
      <c r="XBS10" s="1547">
        <f t="shared" ref="XBS10" si="8130">XBQ10</f>
        <v>95000</v>
      </c>
      <c r="XBT10" s="1548"/>
      <c r="XBU10" s="1547">
        <f t="shared" ref="XBU10" si="8131">XBS10</f>
        <v>95000</v>
      </c>
      <c r="XBV10" s="1548"/>
      <c r="XBW10" s="1547">
        <f t="shared" ref="XBW10" si="8132">XBU10</f>
        <v>95000</v>
      </c>
      <c r="XBX10" s="1548"/>
      <c r="XBY10" s="1547">
        <f t="shared" ref="XBY10" si="8133">XBW10</f>
        <v>95000</v>
      </c>
      <c r="XBZ10" s="1548"/>
      <c r="XCA10" s="1547">
        <f t="shared" ref="XCA10" si="8134">XBY10</f>
        <v>95000</v>
      </c>
      <c r="XCB10" s="1548"/>
      <c r="XCC10" s="1547">
        <f t="shared" ref="XCC10" si="8135">XCA10</f>
        <v>95000</v>
      </c>
      <c r="XCD10" s="1548"/>
      <c r="XCE10" s="1547">
        <f t="shared" ref="XCE10" si="8136">XCC10</f>
        <v>95000</v>
      </c>
      <c r="XCF10" s="1548"/>
      <c r="XCG10" s="1547">
        <f t="shared" ref="XCG10" si="8137">XCE10</f>
        <v>95000</v>
      </c>
      <c r="XCH10" s="1548"/>
      <c r="XCI10" s="1547">
        <f t="shared" ref="XCI10" si="8138">XCG10</f>
        <v>95000</v>
      </c>
      <c r="XCJ10" s="1548"/>
      <c r="XCK10" s="1547">
        <f t="shared" ref="XCK10" si="8139">XCI10</f>
        <v>95000</v>
      </c>
      <c r="XCL10" s="1548"/>
      <c r="XCM10" s="1547">
        <f t="shared" ref="XCM10" si="8140">XCK10</f>
        <v>95000</v>
      </c>
      <c r="XCN10" s="1548"/>
      <c r="XCO10" s="1547">
        <f t="shared" ref="XCO10" si="8141">XCM10</f>
        <v>95000</v>
      </c>
      <c r="XCP10" s="1548"/>
      <c r="XCQ10" s="1547">
        <f t="shared" ref="XCQ10" si="8142">XCO10</f>
        <v>95000</v>
      </c>
      <c r="XCR10" s="1548"/>
      <c r="XCS10" s="1547">
        <f t="shared" ref="XCS10" si="8143">XCQ10</f>
        <v>95000</v>
      </c>
      <c r="XCT10" s="1548"/>
      <c r="XCU10" s="1547">
        <f t="shared" ref="XCU10" si="8144">XCS10</f>
        <v>95000</v>
      </c>
      <c r="XCV10" s="1548"/>
      <c r="XCW10" s="1547">
        <f t="shared" ref="XCW10" si="8145">XCU10</f>
        <v>95000</v>
      </c>
      <c r="XCX10" s="1548"/>
      <c r="XCY10" s="1547">
        <f t="shared" ref="XCY10" si="8146">XCW10</f>
        <v>95000</v>
      </c>
      <c r="XCZ10" s="1548"/>
      <c r="XDA10" s="1547">
        <f t="shared" ref="XDA10" si="8147">XCY10</f>
        <v>95000</v>
      </c>
      <c r="XDB10" s="1548"/>
      <c r="XDC10" s="1547">
        <f t="shared" ref="XDC10" si="8148">XDA10</f>
        <v>95000</v>
      </c>
      <c r="XDD10" s="1548"/>
      <c r="XDE10" s="1547">
        <f t="shared" ref="XDE10" si="8149">XDC10</f>
        <v>95000</v>
      </c>
      <c r="XDF10" s="1548"/>
      <c r="XDG10" s="1547">
        <f t="shared" ref="XDG10" si="8150">XDE10</f>
        <v>95000</v>
      </c>
      <c r="XDH10" s="1548"/>
      <c r="XDI10" s="1547">
        <f t="shared" ref="XDI10" si="8151">XDG10</f>
        <v>95000</v>
      </c>
      <c r="XDJ10" s="1548"/>
      <c r="XDK10" s="1547">
        <f t="shared" ref="XDK10" si="8152">XDI10</f>
        <v>95000</v>
      </c>
      <c r="XDL10" s="1548"/>
      <c r="XDM10" s="1547">
        <f t="shared" ref="XDM10" si="8153">XDK10</f>
        <v>95000</v>
      </c>
      <c r="XDN10" s="1548"/>
      <c r="XDO10" s="1547">
        <f t="shared" ref="XDO10" si="8154">XDM10</f>
        <v>95000</v>
      </c>
      <c r="XDP10" s="1548"/>
      <c r="XDQ10" s="1547">
        <f t="shared" ref="XDQ10" si="8155">XDO10</f>
        <v>95000</v>
      </c>
      <c r="XDR10" s="1548"/>
      <c r="XDS10" s="1547">
        <f t="shared" ref="XDS10" si="8156">XDQ10</f>
        <v>95000</v>
      </c>
      <c r="XDT10" s="1548"/>
      <c r="XDU10" s="1547">
        <f t="shared" ref="XDU10" si="8157">XDS10</f>
        <v>95000</v>
      </c>
      <c r="XDV10" s="1548"/>
      <c r="XDW10" s="1547">
        <f t="shared" ref="XDW10" si="8158">XDU10</f>
        <v>95000</v>
      </c>
      <c r="XDX10" s="1548"/>
      <c r="XDY10" s="1547">
        <f t="shared" ref="XDY10" si="8159">XDW10</f>
        <v>95000</v>
      </c>
      <c r="XDZ10" s="1548"/>
      <c r="XEA10" s="1547">
        <f t="shared" ref="XEA10" si="8160">XDY10</f>
        <v>95000</v>
      </c>
      <c r="XEB10" s="1548"/>
      <c r="XEC10" s="1547">
        <f t="shared" ref="XEC10" si="8161">XEA10</f>
        <v>95000</v>
      </c>
      <c r="XED10" s="1548"/>
      <c r="XEE10" s="1547">
        <f t="shared" ref="XEE10" si="8162">XEC10</f>
        <v>95000</v>
      </c>
      <c r="XEF10" s="1548"/>
      <c r="XEG10" s="1547">
        <f t="shared" ref="XEG10" si="8163">XEE10</f>
        <v>95000</v>
      </c>
      <c r="XEH10" s="1548"/>
      <c r="XEI10" s="1547">
        <f t="shared" ref="XEI10" si="8164">XEG10</f>
        <v>95000</v>
      </c>
      <c r="XEJ10" s="1548"/>
      <c r="XEK10" s="1547">
        <f t="shared" ref="XEK10" si="8165">XEI10</f>
        <v>95000</v>
      </c>
      <c r="XEL10" s="1548"/>
      <c r="XEM10" s="1547">
        <f t="shared" ref="XEM10" si="8166">XEK10</f>
        <v>95000</v>
      </c>
      <c r="XEN10" s="1548"/>
      <c r="XEO10" s="1547">
        <f t="shared" ref="XEO10" si="8167">XEM10</f>
        <v>95000</v>
      </c>
      <c r="XEP10" s="1548"/>
      <c r="XEQ10" s="1547">
        <f t="shared" ref="XEQ10" si="8168">XEO10</f>
        <v>95000</v>
      </c>
      <c r="XER10" s="1548"/>
      <c r="XES10" s="1547">
        <f t="shared" ref="XES10" si="8169">XEQ10</f>
        <v>95000</v>
      </c>
      <c r="XET10" s="1548"/>
      <c r="XEU10" s="1547">
        <f t="shared" ref="XEU10" si="8170">XES10</f>
        <v>95000</v>
      </c>
      <c r="XEV10" s="1548"/>
      <c r="XEW10" s="1547">
        <f t="shared" ref="XEW10" si="8171">XEU10</f>
        <v>95000</v>
      </c>
      <c r="XEX10" s="1548"/>
      <c r="XEY10" s="1547">
        <f t="shared" ref="XEY10" si="8172">XEW10</f>
        <v>95000</v>
      </c>
      <c r="XEZ10" s="1548"/>
      <c r="XFA10" s="1547">
        <f t="shared" ref="XFA10" si="8173">XEY10</f>
        <v>95000</v>
      </c>
      <c r="XFB10" s="1548"/>
      <c r="XFC10" s="1547">
        <f t="shared" ref="XFC10" si="8174">XFA10</f>
        <v>95000</v>
      </c>
      <c r="XFD10" s="1548"/>
    </row>
    <row r="11" spans="1:16384" ht="13.8">
      <c r="A11" s="614" t="s">
        <v>1192</v>
      </c>
      <c r="B11" s="614"/>
      <c r="C11" s="605"/>
      <c r="D11" s="614"/>
      <c r="E11" s="614">
        <f>SUM(E4:E10)</f>
        <v>1133692.7173779998</v>
      </c>
      <c r="F11" s="614"/>
      <c r="G11" s="614">
        <f>SUM(G4:G10)</f>
        <v>1162035.0353124498</v>
      </c>
      <c r="H11" s="614"/>
      <c r="I11" s="614">
        <f>SUM(I4:I10)</f>
        <v>1191085.9111952612</v>
      </c>
      <c r="J11" s="614"/>
      <c r="K11" s="614">
        <f>SUM(K4:K10)</f>
        <v>1220863.0589751424</v>
      </c>
      <c r="L11" s="614"/>
      <c r="M11" s="614">
        <f>SUM(M4:M10)</f>
        <v>1251384.6354495212</v>
      </c>
      <c r="N11" s="614"/>
      <c r="O11" s="614">
        <f>SUM(O4:O10)</f>
        <v>1282669.2513357589</v>
      </c>
      <c r="P11" s="614"/>
      <c r="Q11" s="614">
        <f>SUM(Q4:Q10)</f>
        <v>1314735.9826191526</v>
      </c>
      <c r="R11" s="614"/>
      <c r="S11" s="614">
        <f>SUM(S4:S10)</f>
        <v>1357604.3821846314</v>
      </c>
      <c r="T11" s="614"/>
      <c r="U11" s="614">
        <f>SUM(U4:U10)</f>
        <v>1401294.4917392472</v>
      </c>
      <c r="V11" s="614"/>
      <c r="W11" s="614">
        <f>SUM(W4:W10)</f>
        <v>1445826.8540327279</v>
      </c>
      <c r="X11" s="614"/>
      <c r="Y11" s="614">
        <f>SUM(Y4:Y10)</f>
        <v>1491222.525383546</v>
      </c>
      <c r="Z11" s="614"/>
      <c r="AA11" s="614">
        <f>SUM(AA4:AA10)</f>
        <v>1542503.0885181346</v>
      </c>
      <c r="AB11" s="614"/>
      <c r="AC11" s="614">
        <f>SUM(AC4:AC10)</f>
        <v>1589690.6657310883</v>
      </c>
      <c r="AD11" s="614"/>
      <c r="AE11" s="614">
        <f>SUM(AE4:AE10)</f>
        <v>1642807.9323743649</v>
      </c>
      <c r="AF11" s="614"/>
      <c r="AG11" s="614">
        <f>SUM(AG4:AG10)</f>
        <v>1696878.1306837241</v>
      </c>
      <c r="AH11" s="614"/>
    </row>
    <row r="12" spans="1:16384">
      <c r="A12" s="597"/>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16384" ht="15.6">
      <c r="A13" s="602" t="s">
        <v>1193</v>
      </c>
      <c r="B13" s="597"/>
      <c r="C13" s="624"/>
      <c r="D13" s="597"/>
      <c r="E13" s="604"/>
      <c r="F13" s="604"/>
      <c r="G13" s="604"/>
      <c r="H13" s="604"/>
      <c r="I13" s="604"/>
      <c r="J13" s="604"/>
      <c r="K13" s="604"/>
      <c r="L13" s="604"/>
      <c r="M13" s="604"/>
      <c r="N13" s="604"/>
      <c r="O13" s="604"/>
      <c r="P13" s="604"/>
      <c r="Q13" s="604"/>
      <c r="R13" s="604"/>
      <c r="S13" s="604"/>
      <c r="T13" s="604"/>
      <c r="U13" s="604"/>
      <c r="V13" s="604"/>
      <c r="W13" s="604"/>
      <c r="X13" s="604"/>
      <c r="Y13" s="604"/>
      <c r="Z13" s="604"/>
      <c r="AA13" s="604"/>
      <c r="AB13" s="604"/>
      <c r="AC13" s="604"/>
      <c r="AD13" s="604"/>
      <c r="AE13" s="604"/>
      <c r="AF13" s="604"/>
      <c r="AG13" s="604"/>
      <c r="AH13" s="597"/>
    </row>
    <row r="14" spans="1:16384" ht="13.8">
      <c r="A14" s="600" t="s">
        <v>1194</v>
      </c>
      <c r="B14" s="600"/>
      <c r="C14" s="633">
        <v>1.0349999999999999</v>
      </c>
      <c r="D14" s="600"/>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00"/>
    </row>
    <row r="15" spans="1:16384" ht="13.8">
      <c r="A15" s="610" t="s">
        <v>1195</v>
      </c>
      <c r="B15" s="610"/>
      <c r="C15" s="625"/>
      <c r="D15" s="610"/>
      <c r="E15" s="610">
        <f>Application!W825</f>
        <v>159500</v>
      </c>
      <c r="F15" s="610"/>
      <c r="G15" s="610">
        <f t="shared" ref="G15:G20" si="8175">E15*$C$14</f>
        <v>165082.5</v>
      </c>
      <c r="H15" s="610"/>
      <c r="I15" s="610">
        <f t="shared" ref="I15:I20" si="8176">G15*$C$14</f>
        <v>170860.38749999998</v>
      </c>
      <c r="J15" s="610"/>
      <c r="K15" s="610">
        <f t="shared" ref="K15:K20" si="8177">I15*$C$14</f>
        <v>176840.50106249997</v>
      </c>
      <c r="L15" s="610"/>
      <c r="M15" s="610">
        <f t="shared" ref="M15:M20" si="8178">K15*$C$14</f>
        <v>183029.91859968746</v>
      </c>
      <c r="N15" s="610"/>
      <c r="O15" s="610">
        <f t="shared" ref="O15:O20" si="8179">M15*$C$14</f>
        <v>189435.96575067649</v>
      </c>
      <c r="P15" s="610"/>
      <c r="Q15" s="610">
        <f t="shared" ref="Q15:Q20" si="8180">O15*$C$14</f>
        <v>196066.22455195014</v>
      </c>
      <c r="R15" s="610"/>
      <c r="S15" s="610">
        <f t="shared" ref="S15:S20" si="8181">Q15*$C$14</f>
        <v>202928.5424112684</v>
      </c>
      <c r="T15" s="610"/>
      <c r="U15" s="610">
        <f t="shared" ref="U15:U20" si="8182">S15*$C$14</f>
        <v>210031.04139566279</v>
      </c>
      <c r="V15" s="610"/>
      <c r="W15" s="610">
        <f t="shared" ref="W15:W20" si="8183">U15*$C$14</f>
        <v>217382.12784451098</v>
      </c>
      <c r="X15" s="610"/>
      <c r="Y15" s="610">
        <f t="shared" ref="Y15:Y20" si="8184">W15*$C$14</f>
        <v>224990.50231906885</v>
      </c>
      <c r="Z15" s="610"/>
      <c r="AA15" s="610">
        <f t="shared" ref="AA15:AA20" si="8185">Y15*$C$14</f>
        <v>232865.16990023624</v>
      </c>
      <c r="AB15" s="610"/>
      <c r="AC15" s="610">
        <f t="shared" ref="AC15:AC20" si="8186">AA15*$C$14</f>
        <v>241015.4508467445</v>
      </c>
      <c r="AD15" s="610"/>
      <c r="AE15" s="610">
        <f t="shared" ref="AE15:AE20" si="8187">AC15*$C$14</f>
        <v>249450.99162638054</v>
      </c>
      <c r="AF15" s="610"/>
      <c r="AG15" s="610">
        <f t="shared" ref="AG15:AG20" si="8188">AE15*$C$14</f>
        <v>258181.77633330383</v>
      </c>
      <c r="AH15" s="610"/>
    </row>
    <row r="16" spans="1:16384" ht="13.8">
      <c r="A16" s="600" t="s">
        <v>517</v>
      </c>
      <c r="B16" s="600"/>
      <c r="C16" s="624"/>
      <c r="D16" s="600"/>
      <c r="E16" s="613">
        <f>Application!W827</f>
        <v>75200</v>
      </c>
      <c r="F16" s="613"/>
      <c r="G16" s="613">
        <f t="shared" si="8175"/>
        <v>77832</v>
      </c>
      <c r="H16" s="613"/>
      <c r="I16" s="613">
        <f t="shared" si="8176"/>
        <v>80556.12</v>
      </c>
      <c r="J16" s="613"/>
      <c r="K16" s="613">
        <f t="shared" si="8177"/>
        <v>83375.584199999983</v>
      </c>
      <c r="L16" s="613"/>
      <c r="M16" s="613">
        <f t="shared" si="8178"/>
        <v>86293.729646999971</v>
      </c>
      <c r="N16" s="613"/>
      <c r="O16" s="613">
        <f t="shared" si="8179"/>
        <v>89314.010184644969</v>
      </c>
      <c r="P16" s="613"/>
      <c r="Q16" s="613">
        <f t="shared" si="8180"/>
        <v>92440.00054110754</v>
      </c>
      <c r="R16" s="613"/>
      <c r="S16" s="613">
        <f t="shared" si="8181"/>
        <v>95675.400560046299</v>
      </c>
      <c r="T16" s="613"/>
      <c r="U16" s="613">
        <f t="shared" si="8182"/>
        <v>99024.039579647913</v>
      </c>
      <c r="V16" s="613"/>
      <c r="W16" s="613">
        <f t="shared" si="8183"/>
        <v>102489.88096493558</v>
      </c>
      <c r="X16" s="613"/>
      <c r="Y16" s="613">
        <f t="shared" si="8184"/>
        <v>106077.02679870832</v>
      </c>
      <c r="Z16" s="613"/>
      <c r="AA16" s="613">
        <f t="shared" si="8185"/>
        <v>109789.7227366631</v>
      </c>
      <c r="AB16" s="613"/>
      <c r="AC16" s="613">
        <f t="shared" si="8186"/>
        <v>113632.3630324463</v>
      </c>
      <c r="AD16" s="613"/>
      <c r="AE16" s="613">
        <f t="shared" si="8187"/>
        <v>117609.49573858191</v>
      </c>
      <c r="AF16" s="613"/>
      <c r="AG16" s="613">
        <f t="shared" si="8188"/>
        <v>121725.82808943227</v>
      </c>
      <c r="AH16" s="600"/>
    </row>
    <row r="17" spans="1:34" ht="13.8">
      <c r="A17" s="600" t="s">
        <v>801</v>
      </c>
      <c r="B17" s="600"/>
      <c r="C17" s="624"/>
      <c r="D17" s="600"/>
      <c r="E17" s="613">
        <f>Application!W833</f>
        <v>94000</v>
      </c>
      <c r="F17" s="613"/>
      <c r="G17" s="613">
        <f t="shared" si="8175"/>
        <v>97289.999999999985</v>
      </c>
      <c r="H17" s="613"/>
      <c r="I17" s="613">
        <f t="shared" si="8176"/>
        <v>100695.14999999998</v>
      </c>
      <c r="J17" s="613"/>
      <c r="K17" s="613">
        <f t="shared" si="8177"/>
        <v>104219.48024999996</v>
      </c>
      <c r="L17" s="613"/>
      <c r="M17" s="613">
        <f t="shared" si="8178"/>
        <v>107867.16205874995</v>
      </c>
      <c r="N17" s="613"/>
      <c r="O17" s="613">
        <f t="shared" si="8179"/>
        <v>111642.51273080619</v>
      </c>
      <c r="P17" s="613"/>
      <c r="Q17" s="613">
        <f t="shared" si="8180"/>
        <v>115550.0006763844</v>
      </c>
      <c r="R17" s="613"/>
      <c r="S17" s="613">
        <f t="shared" si="8181"/>
        <v>119594.25070005785</v>
      </c>
      <c r="T17" s="613"/>
      <c r="U17" s="613">
        <f t="shared" si="8182"/>
        <v>123780.04947455987</v>
      </c>
      <c r="V17" s="613"/>
      <c r="W17" s="613">
        <f t="shared" si="8183"/>
        <v>128112.35120616945</v>
      </c>
      <c r="X17" s="613"/>
      <c r="Y17" s="613">
        <f t="shared" si="8184"/>
        <v>132596.28349838537</v>
      </c>
      <c r="Z17" s="613"/>
      <c r="AA17" s="613">
        <f t="shared" si="8185"/>
        <v>137237.15342082884</v>
      </c>
      <c r="AB17" s="613"/>
      <c r="AC17" s="613">
        <f t="shared" si="8186"/>
        <v>142040.45379055783</v>
      </c>
      <c r="AD17" s="613"/>
      <c r="AE17" s="613">
        <f t="shared" si="8187"/>
        <v>147011.86967322734</v>
      </c>
      <c r="AF17" s="613"/>
      <c r="AG17" s="613">
        <f t="shared" si="8188"/>
        <v>152157.28511179029</v>
      </c>
      <c r="AH17" s="600"/>
    </row>
    <row r="18" spans="1:34" ht="13.8">
      <c r="A18" s="600" t="s">
        <v>1196</v>
      </c>
      <c r="B18" s="600"/>
      <c r="C18" s="624"/>
      <c r="D18" s="600"/>
      <c r="E18" s="613">
        <f>Application!W840</f>
        <v>231310</v>
      </c>
      <c r="F18" s="613"/>
      <c r="G18" s="613">
        <f t="shared" si="8175"/>
        <v>239405.84999999998</v>
      </c>
      <c r="H18" s="613"/>
      <c r="I18" s="613">
        <f t="shared" si="8176"/>
        <v>247785.05474999995</v>
      </c>
      <c r="J18" s="613"/>
      <c r="K18" s="613">
        <f t="shared" si="8177"/>
        <v>256457.53166624994</v>
      </c>
      <c r="L18" s="613"/>
      <c r="M18" s="613">
        <f t="shared" si="8178"/>
        <v>265433.54527456866</v>
      </c>
      <c r="N18" s="613"/>
      <c r="O18" s="613">
        <f t="shared" si="8179"/>
        <v>274723.71935917856</v>
      </c>
      <c r="P18" s="613"/>
      <c r="Q18" s="613">
        <f t="shared" si="8180"/>
        <v>284339.04953674978</v>
      </c>
      <c r="R18" s="613"/>
      <c r="S18" s="613">
        <f t="shared" si="8181"/>
        <v>294290.91627053602</v>
      </c>
      <c r="T18" s="613"/>
      <c r="U18" s="613">
        <f t="shared" si="8182"/>
        <v>304591.09834000474</v>
      </c>
      <c r="V18" s="613"/>
      <c r="W18" s="613">
        <f t="shared" si="8183"/>
        <v>315251.78678190487</v>
      </c>
      <c r="X18" s="613"/>
      <c r="Y18" s="613">
        <f t="shared" si="8184"/>
        <v>326285.59931927151</v>
      </c>
      <c r="Z18" s="613"/>
      <c r="AA18" s="613">
        <f t="shared" si="8185"/>
        <v>337705.59529544599</v>
      </c>
      <c r="AB18" s="613"/>
      <c r="AC18" s="613">
        <f t="shared" si="8186"/>
        <v>349525.29113078659</v>
      </c>
      <c r="AD18" s="613"/>
      <c r="AE18" s="613">
        <f t="shared" si="8187"/>
        <v>361758.67632036412</v>
      </c>
      <c r="AF18" s="613"/>
      <c r="AG18" s="613">
        <f t="shared" si="8188"/>
        <v>374420.22999157681</v>
      </c>
    </row>
    <row r="19" spans="1:34" ht="13.8">
      <c r="A19" s="600" t="s">
        <v>1035</v>
      </c>
      <c r="B19" s="600"/>
      <c r="C19" s="624"/>
      <c r="D19" s="600"/>
      <c r="E19" s="613">
        <f>Application!W841</f>
        <v>20500</v>
      </c>
      <c r="F19" s="613"/>
      <c r="G19" s="613">
        <f t="shared" si="8175"/>
        <v>21217.5</v>
      </c>
      <c r="H19" s="613"/>
      <c r="I19" s="613">
        <f t="shared" si="8176"/>
        <v>21960.112499999999</v>
      </c>
      <c r="J19" s="613"/>
      <c r="K19" s="613">
        <f t="shared" si="8177"/>
        <v>22728.716437499999</v>
      </c>
      <c r="L19" s="613"/>
      <c r="M19" s="613">
        <f t="shared" si="8178"/>
        <v>23524.221512812499</v>
      </c>
      <c r="N19" s="613"/>
      <c r="O19" s="613">
        <f t="shared" si="8179"/>
        <v>24347.569265760936</v>
      </c>
      <c r="P19" s="613"/>
      <c r="Q19" s="613">
        <f t="shared" si="8180"/>
        <v>25199.734190062565</v>
      </c>
      <c r="R19" s="613"/>
      <c r="S19" s="613">
        <f t="shared" si="8181"/>
        <v>26081.724886714754</v>
      </c>
      <c r="T19" s="613"/>
      <c r="U19" s="613">
        <f t="shared" si="8182"/>
        <v>26994.585257749768</v>
      </c>
      <c r="V19" s="613"/>
      <c r="W19" s="613">
        <f t="shared" si="8183"/>
        <v>27939.395741771008</v>
      </c>
      <c r="X19" s="613"/>
      <c r="Y19" s="613">
        <f t="shared" si="8184"/>
        <v>28917.274592732992</v>
      </c>
      <c r="Z19" s="613"/>
      <c r="AA19" s="613">
        <f t="shared" si="8185"/>
        <v>29929.379203478646</v>
      </c>
      <c r="AB19" s="613"/>
      <c r="AC19" s="613">
        <f t="shared" si="8186"/>
        <v>30976.907475600397</v>
      </c>
      <c r="AD19" s="613"/>
      <c r="AE19" s="613">
        <f t="shared" si="8187"/>
        <v>32061.09923724641</v>
      </c>
      <c r="AF19" s="613"/>
      <c r="AG19" s="613">
        <f t="shared" si="8188"/>
        <v>33183.237710550035</v>
      </c>
    </row>
    <row r="20" spans="1:34" ht="13.8">
      <c r="A20" s="600" t="s">
        <v>60</v>
      </c>
      <c r="B20" s="600"/>
      <c r="C20" s="624"/>
      <c r="D20" s="600"/>
      <c r="E20" s="613">
        <f>Application!W850</f>
        <v>126500</v>
      </c>
      <c r="F20" s="613"/>
      <c r="G20" s="613">
        <f t="shared" si="8175"/>
        <v>130927.49999999999</v>
      </c>
      <c r="H20" s="613"/>
      <c r="I20" s="613">
        <f t="shared" si="8176"/>
        <v>135509.96249999997</v>
      </c>
      <c r="J20" s="613"/>
      <c r="K20" s="613">
        <f t="shared" si="8177"/>
        <v>140252.81118749996</v>
      </c>
      <c r="L20" s="613"/>
      <c r="M20" s="613">
        <f t="shared" si="8178"/>
        <v>145161.65957906246</v>
      </c>
      <c r="N20" s="613"/>
      <c r="O20" s="613">
        <f t="shared" si="8179"/>
        <v>150242.31766432963</v>
      </c>
      <c r="P20" s="613"/>
      <c r="Q20" s="613">
        <f t="shared" si="8180"/>
        <v>155500.79878258114</v>
      </c>
      <c r="R20" s="613"/>
      <c r="S20" s="613">
        <f t="shared" si="8181"/>
        <v>160943.32673997147</v>
      </c>
      <c r="T20" s="613"/>
      <c r="U20" s="613">
        <f t="shared" si="8182"/>
        <v>166576.34317587045</v>
      </c>
      <c r="V20" s="613"/>
      <c r="W20" s="613">
        <f t="shared" si="8183"/>
        <v>172406.51518702591</v>
      </c>
      <c r="X20" s="613"/>
      <c r="Y20" s="613">
        <f t="shared" si="8184"/>
        <v>178440.74321857182</v>
      </c>
      <c r="Z20" s="613"/>
      <c r="AA20" s="613">
        <f t="shared" si="8185"/>
        <v>184686.16923122181</v>
      </c>
      <c r="AB20" s="613"/>
      <c r="AC20" s="613">
        <f t="shared" si="8186"/>
        <v>191150.18515431456</v>
      </c>
      <c r="AD20" s="613"/>
      <c r="AE20" s="613">
        <f t="shared" si="8187"/>
        <v>197840.44163471556</v>
      </c>
      <c r="AF20" s="613"/>
      <c r="AG20" s="613">
        <f t="shared" si="8188"/>
        <v>204764.85709193058</v>
      </c>
    </row>
    <row r="21" spans="1:34" ht="13.8">
      <c r="A21" s="614" t="s">
        <v>1197</v>
      </c>
      <c r="B21" s="614"/>
      <c r="C21" s="624"/>
      <c r="D21" s="614"/>
      <c r="E21" s="614">
        <f>SUM(E15:E20)</f>
        <v>707010</v>
      </c>
      <c r="F21" s="614"/>
      <c r="G21" s="614">
        <f>SUM(G15:G20)</f>
        <v>731755.35</v>
      </c>
      <c r="H21" s="614"/>
      <c r="I21" s="614">
        <f>SUM(I15:I20)</f>
        <v>757366.78724999982</v>
      </c>
      <c r="J21" s="614"/>
      <c r="K21" s="614">
        <f>SUM(K15:K20)</f>
        <v>783874.62480374984</v>
      </c>
      <c r="L21" s="614"/>
      <c r="M21" s="614">
        <f>SUM(M15:M20)</f>
        <v>811310.23667188105</v>
      </c>
      <c r="N21" s="614"/>
      <c r="O21" s="614">
        <f>SUM(O15:O20)</f>
        <v>839706.09495539684</v>
      </c>
      <c r="P21" s="614"/>
      <c r="Q21" s="614">
        <f>SUM(Q15:Q20)</f>
        <v>869095.8082788355</v>
      </c>
      <c r="R21" s="614"/>
      <c r="S21" s="614">
        <f>SUM(S15:S20)</f>
        <v>899514.16156859486</v>
      </c>
      <c r="T21" s="614"/>
      <c r="U21" s="614">
        <f>SUM(U15:U20)</f>
        <v>930997.15722349554</v>
      </c>
      <c r="V21" s="614"/>
      <c r="W21" s="614">
        <f>SUM(W15:W20)</f>
        <v>963582.05772631778</v>
      </c>
      <c r="X21" s="614"/>
      <c r="Y21" s="614">
        <f>SUM(Y15:Y20)</f>
        <v>997307.42974673887</v>
      </c>
      <c r="Z21" s="614"/>
      <c r="AA21" s="614">
        <f>SUM(AA15:AA20)</f>
        <v>1032213.1897878747</v>
      </c>
      <c r="AB21" s="614"/>
      <c r="AC21" s="614">
        <f>SUM(AC15:AC20)</f>
        <v>1068340.6514304501</v>
      </c>
      <c r="AD21" s="614"/>
      <c r="AE21" s="614">
        <f>SUM(AE15:AE20)</f>
        <v>1105732.5742305159</v>
      </c>
      <c r="AF21" s="614"/>
      <c r="AG21" s="614">
        <f>SUM(AG15:AG20)</f>
        <v>1144433.2143285838</v>
      </c>
    </row>
    <row r="22" spans="1:34" s="1382"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4" s="1382" customFormat="1" ht="13.8">
      <c r="A23" s="1401" t="s">
        <v>2217</v>
      </c>
      <c r="B23" s="1401"/>
      <c r="C23" s="1402"/>
      <c r="D23" s="1401"/>
      <c r="E23" s="1403"/>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4"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4" ht="13.8">
      <c r="A25" s="600" t="s">
        <v>1513</v>
      </c>
      <c r="B25" s="600"/>
      <c r="C25" s="634">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4" ht="13.8">
      <c r="A26" s="600" t="s">
        <v>1198</v>
      </c>
      <c r="B26" s="600"/>
      <c r="C26" s="634">
        <v>1.0349999999999999</v>
      </c>
      <c r="D26" s="600"/>
      <c r="E26" s="613">
        <f>Application!AC866</f>
        <v>254784</v>
      </c>
      <c r="F26" s="613"/>
      <c r="G26" s="613">
        <f>E26*$C$26</f>
        <v>263701.44</v>
      </c>
      <c r="H26" s="613"/>
      <c r="I26" s="613">
        <f>G26*$C$26</f>
        <v>272930.99040000001</v>
      </c>
      <c r="J26" s="613"/>
      <c r="K26" s="613">
        <f>I26*$C$26</f>
        <v>282483.57506399998</v>
      </c>
      <c r="L26" s="613"/>
      <c r="M26" s="613">
        <f>K26*$C$26</f>
        <v>292370.50019123993</v>
      </c>
      <c r="N26" s="613"/>
      <c r="O26" s="613">
        <f>M26*$C$26</f>
        <v>302603.46769793332</v>
      </c>
      <c r="P26" s="613"/>
      <c r="Q26" s="613">
        <f>O26*$C$26</f>
        <v>313194.58906736097</v>
      </c>
      <c r="R26" s="613"/>
      <c r="S26" s="613">
        <f>Q26*$C$26</f>
        <v>324156.39968471858</v>
      </c>
      <c r="T26" s="613"/>
      <c r="U26" s="613">
        <f>S26*$C$26</f>
        <v>335501.87367368367</v>
      </c>
      <c r="V26" s="613"/>
      <c r="W26" s="613">
        <f>U26*$C$26</f>
        <v>347244.43925226259</v>
      </c>
      <c r="X26" s="613"/>
      <c r="Y26" s="613">
        <f>W26*$C$26</f>
        <v>359397.99462609173</v>
      </c>
      <c r="Z26" s="613"/>
      <c r="AA26" s="613">
        <f>Y26*$C$26</f>
        <v>371976.92443800491</v>
      </c>
      <c r="AB26" s="613"/>
      <c r="AC26" s="613">
        <f>AA26*$C$26</f>
        <v>384996.11679333507</v>
      </c>
      <c r="AD26" s="613"/>
      <c r="AE26" s="613">
        <f>AC26*$C$26</f>
        <v>398470.98088110174</v>
      </c>
      <c r="AF26" s="613"/>
      <c r="AG26" s="613">
        <f>AE26*$C$26</f>
        <v>412417.46521194029</v>
      </c>
    </row>
    <row r="27" spans="1:34" ht="13.8">
      <c r="A27" s="1401" t="s">
        <v>1199</v>
      </c>
      <c r="B27" s="600"/>
      <c r="C27" s="634"/>
      <c r="D27" s="600"/>
      <c r="E27" s="613">
        <f>Application!AC867</f>
        <v>49500</v>
      </c>
      <c r="F27" s="613"/>
      <c r="G27" s="613">
        <f>$E$27</f>
        <v>49500</v>
      </c>
      <c r="H27" s="613"/>
      <c r="I27" s="613">
        <f>$E$27</f>
        <v>49500</v>
      </c>
      <c r="J27" s="613"/>
      <c r="K27" s="613">
        <f>$E$27</f>
        <v>49500</v>
      </c>
      <c r="L27" s="613"/>
      <c r="M27" s="613">
        <f>$E$27</f>
        <v>49500</v>
      </c>
      <c r="N27" s="613"/>
      <c r="O27" s="613">
        <f>$E$27</f>
        <v>49500</v>
      </c>
      <c r="P27" s="613"/>
      <c r="Q27" s="613">
        <f>$E$27</f>
        <v>49500</v>
      </c>
      <c r="R27" s="613"/>
      <c r="S27" s="613">
        <f>$E$27</f>
        <v>49500</v>
      </c>
      <c r="T27" s="613"/>
      <c r="U27" s="613">
        <f>$E$27</f>
        <v>49500</v>
      </c>
      <c r="V27" s="613"/>
      <c r="W27" s="613">
        <f>$E$27</f>
        <v>49500</v>
      </c>
      <c r="X27" s="613"/>
      <c r="Y27" s="613">
        <f>$E$27</f>
        <v>49500</v>
      </c>
      <c r="Z27" s="613"/>
      <c r="AA27" s="613">
        <f>$E$27</f>
        <v>49500</v>
      </c>
      <c r="AB27" s="613"/>
      <c r="AC27" s="613">
        <f>$E$27</f>
        <v>49500</v>
      </c>
      <c r="AD27" s="613"/>
      <c r="AE27" s="613">
        <f>$E$27</f>
        <v>49500</v>
      </c>
      <c r="AF27" s="613"/>
      <c r="AG27" s="613">
        <f>$E$27</f>
        <v>49500</v>
      </c>
    </row>
    <row r="28" spans="1:34" s="1382" customFormat="1" ht="13.8">
      <c r="A28" s="1401" t="s">
        <v>2218</v>
      </c>
      <c r="B28" s="600"/>
      <c r="C28" s="634"/>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4" ht="13.8">
      <c r="A29" s="1401" t="s">
        <v>1200</v>
      </c>
      <c r="B29" s="600"/>
      <c r="C29" s="633">
        <v>1.02</v>
      </c>
      <c r="D29" s="600"/>
      <c r="E29" s="613">
        <f>Application!AC869</f>
        <v>700</v>
      </c>
      <c r="F29" s="613"/>
      <c r="G29" s="613">
        <f>E29*$C$29</f>
        <v>714</v>
      </c>
      <c r="H29" s="613"/>
      <c r="I29" s="613">
        <f>G29*$C$29</f>
        <v>728.28</v>
      </c>
      <c r="J29" s="613"/>
      <c r="K29" s="613">
        <f>I29*$C$29</f>
        <v>742.84559999999999</v>
      </c>
      <c r="L29" s="613"/>
      <c r="M29" s="613">
        <f>K29*$C$29</f>
        <v>757.70251199999996</v>
      </c>
      <c r="N29" s="613"/>
      <c r="O29" s="613">
        <f>M29*$C$29</f>
        <v>772.85656224000002</v>
      </c>
      <c r="P29" s="613"/>
      <c r="Q29" s="613">
        <f>O29*$C$29</f>
        <v>788.31369348480007</v>
      </c>
      <c r="R29" s="613"/>
      <c r="S29" s="613">
        <f>Q29*$C$29</f>
        <v>804.07996735449603</v>
      </c>
      <c r="T29" s="613"/>
      <c r="U29" s="613">
        <f>S29*$C$29</f>
        <v>820.16156670158603</v>
      </c>
      <c r="V29" s="613"/>
      <c r="W29" s="613">
        <f>U29*$C$29</f>
        <v>836.56479803561774</v>
      </c>
      <c r="X29" s="613"/>
      <c r="Y29" s="613">
        <f>W29*$C$29</f>
        <v>853.29609399633011</v>
      </c>
      <c r="Z29" s="613"/>
      <c r="AA29" s="613">
        <f>Y29*$C$29</f>
        <v>870.36201587625669</v>
      </c>
      <c r="AB29" s="613"/>
      <c r="AC29" s="613">
        <f>AA29*$C$29</f>
        <v>887.76925619378187</v>
      </c>
      <c r="AD29" s="613"/>
      <c r="AE29" s="613">
        <f>AC29*$C$29</f>
        <v>905.52464131765748</v>
      </c>
      <c r="AF29" s="613"/>
      <c r="AG29" s="613">
        <f>AE29*$C$29</f>
        <v>923.63513414401064</v>
      </c>
    </row>
    <row r="30" spans="1:34" s="1382" customFormat="1" ht="13.8">
      <c r="A30" s="1401" t="s">
        <v>2219</v>
      </c>
      <c r="B30" s="600"/>
      <c r="C30" s="633">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4" ht="13.8">
      <c r="A31" s="617" t="str">
        <f>Application!E871</f>
        <v>Other (Specify):</v>
      </c>
      <c r="B31" s="617"/>
      <c r="C31" s="772">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4" ht="13.8">
      <c r="A32" s="617" t="str">
        <f>Application!E872</f>
        <v>Other (Specify):</v>
      </c>
      <c r="B32" s="617"/>
      <c r="C32" s="772">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1011994</v>
      </c>
      <c r="F34" s="614"/>
      <c r="G34" s="614">
        <f>SUM(G21:G32)</f>
        <v>1045670.79</v>
      </c>
      <c r="H34" s="614"/>
      <c r="I34" s="614">
        <f>SUM(I21:I32)</f>
        <v>1080526.0576499999</v>
      </c>
      <c r="J34" s="614"/>
      <c r="K34" s="614">
        <f>SUM(K21:K32)</f>
        <v>1116601.0454677497</v>
      </c>
      <c r="L34" s="614"/>
      <c r="M34" s="614">
        <f>SUM(M21:M32)</f>
        <v>1153938.4393751209</v>
      </c>
      <c r="N34" s="614"/>
      <c r="O34" s="614">
        <f>SUM(O21:O32)</f>
        <v>1192582.4192155702</v>
      </c>
      <c r="P34" s="614"/>
      <c r="Q34" s="614">
        <f>SUM(Q21:Q32)</f>
        <v>1232578.7110396812</v>
      </c>
      <c r="R34" s="614"/>
      <c r="S34" s="614">
        <f>SUM(S21:S32)</f>
        <v>1273974.6412206679</v>
      </c>
      <c r="T34" s="614"/>
      <c r="U34" s="614">
        <f>SUM(U21:U32)</f>
        <v>1316819.1924638806</v>
      </c>
      <c r="V34" s="614"/>
      <c r="W34" s="614">
        <f>SUM(W21:W32)</f>
        <v>1361163.0617766161</v>
      </c>
      <c r="X34" s="614"/>
      <c r="Y34" s="614">
        <f>SUM(Y21:Y32)</f>
        <v>1407058.720466827</v>
      </c>
      <c r="Z34" s="614"/>
      <c r="AA34" s="614">
        <f>SUM(AA21:AA32)</f>
        <v>1454560.4762417558</v>
      </c>
      <c r="AB34" s="614"/>
      <c r="AC34" s="614">
        <f>SUM(AC21:AC32)</f>
        <v>1503724.5374799792</v>
      </c>
      <c r="AD34" s="614"/>
      <c r="AE34" s="614">
        <f>SUM(AE21:AE32)</f>
        <v>1554609.0797529351</v>
      </c>
      <c r="AF34" s="614"/>
      <c r="AG34" s="614">
        <f>SUM(AG21:AG32)</f>
        <v>1607274.314674668</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E11-E34</f>
        <v>121698.7173779998</v>
      </c>
      <c r="F36" s="614"/>
      <c r="G36" s="614">
        <f>G11-G34</f>
        <v>116364.24531244976</v>
      </c>
      <c r="H36" s="614"/>
      <c r="I36" s="614">
        <f>I11-I34</f>
        <v>110559.85354526131</v>
      </c>
      <c r="J36" s="614"/>
      <c r="K36" s="614">
        <f>K11-K34</f>
        <v>104262.01350739272</v>
      </c>
      <c r="L36" s="614"/>
      <c r="M36" s="614">
        <f>M11-M34</f>
        <v>97446.19607440033</v>
      </c>
      <c r="N36" s="614"/>
      <c r="O36" s="614">
        <f>O11-O34</f>
        <v>90086.832120188745</v>
      </c>
      <c r="P36" s="614"/>
      <c r="Q36" s="614">
        <f>Q11-Q34</f>
        <v>82157.271579471417</v>
      </c>
      <c r="R36" s="614"/>
      <c r="S36" s="614">
        <f>S11-S34</f>
        <v>83629.740963963559</v>
      </c>
      <c r="T36" s="614"/>
      <c r="U36" s="614">
        <f>U11-U34</f>
        <v>84475.299275366589</v>
      </c>
      <c r="V36" s="614"/>
      <c r="W36" s="614">
        <f>W11-W34</f>
        <v>84663.792256111745</v>
      </c>
      <c r="X36" s="614"/>
      <c r="Y36" s="614">
        <f>Y11-Y34</f>
        <v>84163.804916718975</v>
      </c>
      <c r="Z36" s="614"/>
      <c r="AA36" s="614">
        <f>AA11-AA34</f>
        <v>87942.612276378786</v>
      </c>
      <c r="AB36" s="614"/>
      <c r="AC36" s="614">
        <f>AC11-AC34</f>
        <v>85966.128251109039</v>
      </c>
      <c r="AD36" s="614"/>
      <c r="AE36" s="614">
        <f>AE11-AE34</f>
        <v>88198.852621429833</v>
      </c>
      <c r="AF36" s="614"/>
      <c r="AG36" s="614">
        <f>AG11-AG34</f>
        <v>89603.816009056056</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
        <v>2503</v>
      </c>
      <c r="B39" s="617"/>
      <c r="C39" s="611"/>
      <c r="D39" s="600"/>
      <c r="E39" s="610">
        <f>Application!AF634</f>
        <v>23743.238399999998</v>
      </c>
      <c r="F39" s="610"/>
      <c r="G39" s="610">
        <f>$E$39</f>
        <v>23743.238399999998</v>
      </c>
      <c r="H39" s="610"/>
      <c r="I39" s="610">
        <f>$E$39</f>
        <v>23743.238399999998</v>
      </c>
      <c r="J39" s="610"/>
      <c r="K39" s="610">
        <f>$E$39</f>
        <v>23743.238399999998</v>
      </c>
      <c r="L39" s="610"/>
      <c r="M39" s="610">
        <f>$E$39</f>
        <v>23743.238399999998</v>
      </c>
      <c r="N39" s="610"/>
      <c r="O39" s="610">
        <f>$E$39</f>
        <v>23743.238399999998</v>
      </c>
      <c r="P39" s="610"/>
      <c r="Q39" s="610">
        <f>$E$39</f>
        <v>23743.238399999998</v>
      </c>
      <c r="R39" s="610"/>
      <c r="S39" s="610">
        <f>$E$39</f>
        <v>23743.238399999998</v>
      </c>
      <c r="T39" s="610"/>
      <c r="U39" s="610">
        <f>$E$39</f>
        <v>23743.238399999998</v>
      </c>
      <c r="V39" s="610"/>
      <c r="W39" s="610">
        <f>$E$39</f>
        <v>23743.238399999998</v>
      </c>
      <c r="X39" s="610"/>
      <c r="Y39" s="610">
        <f>$E$39</f>
        <v>23743.238399999998</v>
      </c>
      <c r="Z39" s="610"/>
      <c r="AA39" s="610">
        <f>$E$39</f>
        <v>23743.238399999998</v>
      </c>
      <c r="AB39" s="610"/>
      <c r="AC39" s="610">
        <f>$E$39</f>
        <v>23743.238399999998</v>
      </c>
      <c r="AD39" s="610"/>
      <c r="AE39" s="610">
        <f>$E$39</f>
        <v>23743.238399999998</v>
      </c>
      <c r="AF39" s="610"/>
      <c r="AG39" s="610">
        <f>$E$39</f>
        <v>23743.238399999998</v>
      </c>
      <c r="AH39" s="600"/>
      <c r="AI39" s="600"/>
    </row>
    <row r="40" spans="1:35" ht="13.8">
      <c r="A40" s="616"/>
      <c r="B40" s="617"/>
      <c r="C40" s="611"/>
      <c r="D40" s="600"/>
      <c r="E40" s="610">
        <f>Application!AF633</f>
        <v>0</v>
      </c>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23743.238399999998</v>
      </c>
      <c r="F42" s="614"/>
      <c r="G42" s="614">
        <f>SUM(G39:G41)</f>
        <v>23743.238399999998</v>
      </c>
      <c r="H42" s="614"/>
      <c r="I42" s="614">
        <f>SUM(I39:I41)</f>
        <v>23743.238399999998</v>
      </c>
      <c r="J42" s="614"/>
      <c r="K42" s="614">
        <f>SUM(K39:K41)</f>
        <v>23743.238399999998</v>
      </c>
      <c r="L42" s="614"/>
      <c r="M42" s="614">
        <f>SUM(M39:M41)</f>
        <v>23743.238399999998</v>
      </c>
      <c r="N42" s="614"/>
      <c r="O42" s="614">
        <f>SUM(O39:O41)</f>
        <v>23743.238399999998</v>
      </c>
      <c r="P42" s="614"/>
      <c r="Q42" s="614">
        <f>SUM(Q39:Q41)</f>
        <v>23743.238399999998</v>
      </c>
      <c r="R42" s="614"/>
      <c r="S42" s="614">
        <f>SUM(S39:S41)</f>
        <v>23743.238399999998</v>
      </c>
      <c r="T42" s="614"/>
      <c r="U42" s="614">
        <f>SUM(U39:U41)</f>
        <v>23743.238399999998</v>
      </c>
      <c r="V42" s="614"/>
      <c r="W42" s="614">
        <f>SUM(W39:W41)</f>
        <v>23743.238399999998</v>
      </c>
      <c r="X42" s="614"/>
      <c r="Y42" s="614">
        <f>SUM(Y39:Y41)</f>
        <v>23743.238399999998</v>
      </c>
      <c r="Z42" s="614"/>
      <c r="AA42" s="614">
        <f>SUM(AA39:AA41)</f>
        <v>23743.238399999998</v>
      </c>
      <c r="AB42" s="614"/>
      <c r="AC42" s="614">
        <f>SUM(AC39:AC41)</f>
        <v>23743.238399999998</v>
      </c>
      <c r="AD42" s="614"/>
      <c r="AE42" s="614">
        <f>SUM(AE39:AE41)</f>
        <v>23743.238399999998</v>
      </c>
      <c r="AF42" s="614"/>
      <c r="AG42" s="614">
        <f>SUM(AG39:AG41)</f>
        <v>23743.238399999998</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97955.478977999795</v>
      </c>
      <c r="F44" s="614"/>
      <c r="G44" s="614">
        <f>G36-G42</f>
        <v>92621.006912449753</v>
      </c>
      <c r="H44" s="614"/>
      <c r="I44" s="614">
        <f>I36-I42</f>
        <v>86816.615145261312</v>
      </c>
      <c r="J44" s="614"/>
      <c r="K44" s="614">
        <f>K36-K42</f>
        <v>80518.775107392721</v>
      </c>
      <c r="L44" s="614"/>
      <c r="M44" s="614">
        <f>M36-M42</f>
        <v>73702.957674400328</v>
      </c>
      <c r="N44" s="614"/>
      <c r="O44" s="614">
        <f>O36-O42</f>
        <v>66343.593720188743</v>
      </c>
      <c r="P44" s="614"/>
      <c r="Q44" s="614">
        <f>Q36-Q42</f>
        <v>58414.033179471415</v>
      </c>
      <c r="R44" s="614"/>
      <c r="S44" s="614">
        <f>S36-S42</f>
        <v>59886.502563963557</v>
      </c>
      <c r="T44" s="614"/>
      <c r="U44" s="614">
        <f>U36-U42</f>
        <v>60732.060875366587</v>
      </c>
      <c r="V44" s="614"/>
      <c r="W44" s="614">
        <f>W36-W42</f>
        <v>60920.553856111743</v>
      </c>
      <c r="X44" s="614"/>
      <c r="Y44" s="614">
        <f>Y36-Y42</f>
        <v>60420.566516718973</v>
      </c>
      <c r="Z44" s="614"/>
      <c r="AA44" s="614">
        <f>AA36-AA42</f>
        <v>64199.373876378784</v>
      </c>
      <c r="AB44" s="614"/>
      <c r="AC44" s="614">
        <f>AC36-AC42</f>
        <v>62222.889851109037</v>
      </c>
      <c r="AD44" s="614"/>
      <c r="AE44" s="614">
        <f>AE36-AE42</f>
        <v>64455.614221429831</v>
      </c>
      <c r="AF44" s="614"/>
      <c r="AG44" s="614">
        <f>AG36-AG42</f>
        <v>65860.577609056054</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7.9261881316927671E-2</v>
      </c>
      <c r="F46" s="618"/>
      <c r="G46" s="618">
        <f>G44/(G4+G6+G8)</f>
        <v>7.3117490337279586E-2</v>
      </c>
      <c r="H46" s="618"/>
      <c r="I46" s="618">
        <f>I44/(I4+I6+I8)</f>
        <v>6.6863754969457845E-2</v>
      </c>
      <c r="J46" s="618"/>
      <c r="K46" s="618">
        <f>K44/(K4+K6+K8)</f>
        <v>6.050081250633544E-2</v>
      </c>
      <c r="L46" s="618"/>
      <c r="M46" s="618">
        <f>M44/(M4+M6+M8)</f>
        <v>5.4028772216580409E-2</v>
      </c>
      <c r="N46" s="618"/>
      <c r="O46" s="618">
        <f>O44/(O4+O6+O8)</f>
        <v>4.744771578741417E-2</v>
      </c>
      <c r="P46" s="618"/>
      <c r="Q46" s="618">
        <f>Q44/(Q4+Q6+Q8)</f>
        <v>4.0757697754227586E-2</v>
      </c>
      <c r="R46" s="618"/>
      <c r="S46" s="618">
        <f>S44/(S4+S6+S8)</f>
        <v>4.0765947098422128E-2</v>
      </c>
      <c r="T46" s="618"/>
      <c r="U46" s="618">
        <f>U44/(U4+U6+U8)</f>
        <v>4.0333205514173354E-2</v>
      </c>
      <c r="V46" s="618"/>
      <c r="W46" s="618">
        <f>W44/(W4+W6+W8)</f>
        <v>3.9471597017149869E-2</v>
      </c>
      <c r="X46" s="618"/>
      <c r="Y46" s="618">
        <f>Y44/(Y4+Y6+Y8)</f>
        <v>3.819282499132081E-2</v>
      </c>
      <c r="Z46" s="618"/>
      <c r="AA46" s="618">
        <f>AA44/(AA4+AA6+AA8)</f>
        <v>3.9591678751685594E-2</v>
      </c>
      <c r="AB46" s="618"/>
      <c r="AC46" s="618">
        <f>AC44/(AC4+AC6+AC8)</f>
        <v>3.7436861820419477E-2</v>
      </c>
      <c r="AD46" s="618"/>
      <c r="AE46" s="618">
        <f>AE44/(AE4+AE6+AE8)</f>
        <v>3.7834338486766428E-2</v>
      </c>
      <c r="AF46" s="618"/>
      <c r="AG46" s="618">
        <f>AG44/(AG4+AG6+AG8)</f>
        <v>3.7716124745630526E-2</v>
      </c>
      <c r="AH46" s="618"/>
      <c r="AI46" s="618"/>
    </row>
    <row r="47" spans="1:35" ht="13.8">
      <c r="A47" s="618" t="s">
        <v>1206</v>
      </c>
      <c r="B47" s="618"/>
      <c r="C47" s="611"/>
      <c r="D47" s="618"/>
      <c r="E47" s="618">
        <f>E44/E42</f>
        <v>4.1256157785957202</v>
      </c>
      <c r="F47" s="618"/>
      <c r="G47" s="618">
        <f>G44/G42</f>
        <v>3.9009424642111905</v>
      </c>
      <c r="H47" s="618"/>
      <c r="I47" s="618">
        <f>I44/I42</f>
        <v>3.6564774224421432</v>
      </c>
      <c r="J47" s="618"/>
      <c r="K47" s="618">
        <f>K44/K42</f>
        <v>3.3912296945724441</v>
      </c>
      <c r="L47" s="618"/>
      <c r="M47" s="618">
        <f>M44/M42</f>
        <v>3.1041661812400592</v>
      </c>
      <c r="N47" s="618"/>
      <c r="O47" s="618">
        <f>O44/O42</f>
        <v>2.7942099810693368</v>
      </c>
      <c r="P47" s="618"/>
      <c r="Q47" s="618">
        <f>Q44/Q42</f>
        <v>2.4602386664942646</v>
      </c>
      <c r="R47" s="618"/>
      <c r="S47" s="618">
        <f>S44/S42</f>
        <v>2.5222550334146314</v>
      </c>
      <c r="T47" s="618"/>
      <c r="U47" s="618">
        <f>U44/U42</f>
        <v>2.5578676274996504</v>
      </c>
      <c r="V47" s="618"/>
      <c r="W47" s="618">
        <f>W44/W42</f>
        <v>2.5658064342272597</v>
      </c>
      <c r="X47" s="618"/>
      <c r="Y47" s="618">
        <f>Y44/Y42</f>
        <v>2.5447483405093965</v>
      </c>
      <c r="Z47" s="618"/>
      <c r="AA47" s="618">
        <f>AA44/AA42</f>
        <v>2.7039013294992982</v>
      </c>
      <c r="AB47" s="618"/>
      <c r="AC47" s="618">
        <f>AC44/AC42</f>
        <v>2.6206572499861283</v>
      </c>
      <c r="AD47" s="618"/>
      <c r="AE47" s="618">
        <f>AE44/AE42</f>
        <v>2.7146934691701463</v>
      </c>
      <c r="AF47" s="618"/>
      <c r="AG47" s="618">
        <f>AG44/AG42</f>
        <v>2.7738666688810261</v>
      </c>
      <c r="AH47" s="618"/>
      <c r="AI47" s="618"/>
    </row>
    <row r="48" spans="1:35" ht="13.8">
      <c r="A48" s="619" t="s">
        <v>1207</v>
      </c>
      <c r="B48" s="619"/>
      <c r="C48" s="620"/>
      <c r="D48" s="619"/>
      <c r="E48" s="619">
        <f>E36/E42</f>
        <v>5.1256157785957202</v>
      </c>
      <c r="F48" s="619"/>
      <c r="G48" s="619">
        <f>G36/G42</f>
        <v>4.9009424642111901</v>
      </c>
      <c r="H48" s="619"/>
      <c r="I48" s="619">
        <f>I36/I42</f>
        <v>4.6564774224421432</v>
      </c>
      <c r="J48" s="619"/>
      <c r="K48" s="619">
        <f>K36/K42</f>
        <v>4.3912296945724441</v>
      </c>
      <c r="L48" s="619"/>
      <c r="M48" s="619">
        <f>M36/M42</f>
        <v>4.1041661812400596</v>
      </c>
      <c r="N48" s="619"/>
      <c r="O48" s="619">
        <f>O36/O42</f>
        <v>3.7942099810693368</v>
      </c>
      <c r="P48" s="619"/>
      <c r="Q48" s="619">
        <f>Q36/Q42</f>
        <v>3.460238666494265</v>
      </c>
      <c r="R48" s="619"/>
      <c r="S48" s="619">
        <f>S36/S42</f>
        <v>3.5222550334146314</v>
      </c>
      <c r="T48" s="619"/>
      <c r="U48" s="619">
        <f>U36/U42</f>
        <v>3.5578676274996504</v>
      </c>
      <c r="V48" s="619"/>
      <c r="W48" s="619">
        <f>W36/W42</f>
        <v>3.5658064342272597</v>
      </c>
      <c r="X48" s="619"/>
      <c r="Y48" s="619">
        <f>Y36/Y42</f>
        <v>3.5447483405093965</v>
      </c>
      <c r="Z48" s="619"/>
      <c r="AA48" s="619">
        <f>AA36/AA42</f>
        <v>3.7039013294992982</v>
      </c>
      <c r="AB48" s="619"/>
      <c r="AC48" s="619">
        <f>AC36/AC42</f>
        <v>3.6206572499861287</v>
      </c>
      <c r="AD48" s="619"/>
      <c r="AE48" s="619">
        <f>AE36/AE42</f>
        <v>3.7146934691701463</v>
      </c>
      <c r="AF48" s="619"/>
      <c r="AG48" s="619">
        <f>AG36/AG42</f>
        <v>3.7738666688810261</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2"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549">
        <v>1.03</v>
      </c>
      <c r="D52" s="598"/>
      <c r="E52" s="627">
        <v>25000</v>
      </c>
      <c r="F52" s="598"/>
      <c r="G52" s="1405">
        <f>E52*$C$52</f>
        <v>25750</v>
      </c>
      <c r="H52" s="1405"/>
      <c r="I52" s="1405">
        <f>G52*$C$52</f>
        <v>26522.5</v>
      </c>
      <c r="J52" s="1405"/>
      <c r="K52" s="1405">
        <f>I52*$C$52</f>
        <v>27318.174999999999</v>
      </c>
      <c r="L52" s="1405"/>
      <c r="M52" s="1405">
        <f>K52*$C$52</f>
        <v>28137.720249999998</v>
      </c>
      <c r="N52" s="1405"/>
      <c r="O52" s="1405">
        <f>M52*$C$52</f>
        <v>28981.851857499998</v>
      </c>
      <c r="P52" s="1405"/>
      <c r="Q52" s="1405">
        <f>O52*$C$52</f>
        <v>29851.307413225</v>
      </c>
      <c r="R52" s="1405"/>
      <c r="S52" s="1405">
        <f>Q52*$C$52</f>
        <v>30746.84663562175</v>
      </c>
      <c r="T52" s="1405"/>
      <c r="U52" s="1405">
        <f>S52*$C$52</f>
        <v>31669.252034690402</v>
      </c>
      <c r="V52" s="1405"/>
      <c r="W52" s="1405">
        <f>U52*$C$52</f>
        <v>32619.329595731117</v>
      </c>
      <c r="X52" s="1405"/>
      <c r="Y52" s="1405">
        <f>W52*$C$52</f>
        <v>33597.909483603049</v>
      </c>
      <c r="Z52" s="1405"/>
      <c r="AA52" s="1405">
        <f>Y52*$C$52</f>
        <v>34605.846768111143</v>
      </c>
      <c r="AB52" s="1405"/>
      <c r="AC52" s="1405">
        <f>AA52*$C$52</f>
        <v>35644.02217115448</v>
      </c>
      <c r="AD52" s="1405"/>
      <c r="AE52" s="1405">
        <f>AC52*$C$52</f>
        <v>36713.342836289114</v>
      </c>
      <c r="AF52" s="1405"/>
      <c r="AG52" s="1405">
        <f>AE52*$C$52</f>
        <v>37814.743121377789</v>
      </c>
      <c r="AH52" s="598"/>
      <c r="AI52" s="598"/>
    </row>
    <row r="53" spans="1:35">
      <c r="A53" s="582" t="s">
        <v>1210</v>
      </c>
      <c r="B53" s="582"/>
      <c r="C53" s="1550">
        <v>1.03</v>
      </c>
      <c r="D53" s="582"/>
      <c r="E53" s="628">
        <v>7500</v>
      </c>
      <c r="F53" s="607"/>
      <c r="G53" s="1404">
        <f t="shared" ref="G53:AG56" si="8189">E53*$C$52</f>
        <v>7725</v>
      </c>
      <c r="H53" s="1404"/>
      <c r="I53" s="1404">
        <f t="shared" si="8189"/>
        <v>7956.75</v>
      </c>
      <c r="J53" s="1404"/>
      <c r="K53" s="1404">
        <f t="shared" si="8189"/>
        <v>8195.4524999999994</v>
      </c>
      <c r="L53" s="1404"/>
      <c r="M53" s="1404">
        <f t="shared" si="8189"/>
        <v>8441.3160749999988</v>
      </c>
      <c r="N53" s="1404"/>
      <c r="O53" s="1404">
        <f t="shared" si="8189"/>
        <v>8694.5555572499998</v>
      </c>
      <c r="P53" s="1404"/>
      <c r="Q53" s="1404">
        <f t="shared" si="8189"/>
        <v>8955.3922239674994</v>
      </c>
      <c r="R53" s="1404"/>
      <c r="S53" s="1404">
        <f t="shared" si="8189"/>
        <v>9224.0539906865251</v>
      </c>
      <c r="T53" s="1404"/>
      <c r="U53" s="1404">
        <f t="shared" si="8189"/>
        <v>9500.7756104071213</v>
      </c>
      <c r="V53" s="1404"/>
      <c r="W53" s="1404">
        <f t="shared" si="8189"/>
        <v>9785.7988787193353</v>
      </c>
      <c r="X53" s="1404"/>
      <c r="Y53" s="1404">
        <f t="shared" si="8189"/>
        <v>10079.372845080916</v>
      </c>
      <c r="Z53" s="1404"/>
      <c r="AA53" s="1404">
        <f t="shared" si="8189"/>
        <v>10381.754030433343</v>
      </c>
      <c r="AB53" s="1404"/>
      <c r="AC53" s="1404">
        <f t="shared" si="8189"/>
        <v>10693.206651346343</v>
      </c>
      <c r="AD53" s="1404"/>
      <c r="AE53" s="1404">
        <f t="shared" si="8189"/>
        <v>11014.002850886734</v>
      </c>
      <c r="AF53" s="1404"/>
      <c r="AG53" s="1404">
        <f t="shared" si="8189"/>
        <v>11344.422936413337</v>
      </c>
      <c r="AH53" s="607"/>
      <c r="AI53" s="607"/>
    </row>
    <row r="54" spans="1:35">
      <c r="A54" s="582" t="s">
        <v>1211</v>
      </c>
      <c r="B54" s="582"/>
      <c r="C54" s="635"/>
      <c r="D54" s="582"/>
      <c r="E54" s="628"/>
      <c r="F54" s="607"/>
      <c r="G54" s="1404">
        <f t="shared" si="8189"/>
        <v>0</v>
      </c>
      <c r="H54" s="1404"/>
      <c r="I54" s="1404">
        <f t="shared" si="8189"/>
        <v>0</v>
      </c>
      <c r="J54" s="1404"/>
      <c r="K54" s="1404">
        <f t="shared" si="8189"/>
        <v>0</v>
      </c>
      <c r="L54" s="1404"/>
      <c r="M54" s="1404">
        <f t="shared" si="8189"/>
        <v>0</v>
      </c>
      <c r="N54" s="1404"/>
      <c r="O54" s="1404">
        <f t="shared" si="8189"/>
        <v>0</v>
      </c>
      <c r="P54" s="1404"/>
      <c r="Q54" s="1404">
        <f t="shared" si="8189"/>
        <v>0</v>
      </c>
      <c r="R54" s="1404"/>
      <c r="S54" s="1404">
        <f t="shared" si="8189"/>
        <v>0</v>
      </c>
      <c r="T54" s="1404"/>
      <c r="U54" s="1404">
        <f t="shared" si="8189"/>
        <v>0</v>
      </c>
      <c r="V54" s="1404"/>
      <c r="W54" s="1404">
        <f t="shared" si="8189"/>
        <v>0</v>
      </c>
      <c r="X54" s="1404"/>
      <c r="Y54" s="1404">
        <f t="shared" si="8189"/>
        <v>0</v>
      </c>
      <c r="Z54" s="1404"/>
      <c r="AA54" s="1404">
        <f t="shared" si="8189"/>
        <v>0</v>
      </c>
      <c r="AB54" s="1404"/>
      <c r="AC54" s="1404">
        <f t="shared" si="8189"/>
        <v>0</v>
      </c>
      <c r="AD54" s="1404"/>
      <c r="AE54" s="1404">
        <f t="shared" si="8189"/>
        <v>0</v>
      </c>
      <c r="AF54" s="1404"/>
      <c r="AG54" s="1404">
        <f t="shared" si="8189"/>
        <v>0</v>
      </c>
      <c r="AH54" s="607"/>
      <c r="AI54" s="607"/>
    </row>
    <row r="55" spans="1:35">
      <c r="A55" s="626"/>
      <c r="B55" s="626"/>
      <c r="C55" s="635"/>
      <c r="D55" s="582"/>
      <c r="E55" s="628"/>
      <c r="F55" s="607"/>
      <c r="G55" s="1404">
        <f t="shared" si="8189"/>
        <v>0</v>
      </c>
      <c r="H55" s="1404"/>
      <c r="I55" s="1404">
        <f t="shared" si="8189"/>
        <v>0</v>
      </c>
      <c r="J55" s="1404"/>
      <c r="K55" s="1404">
        <f t="shared" si="8189"/>
        <v>0</v>
      </c>
      <c r="L55" s="1404"/>
      <c r="M55" s="1404">
        <f t="shared" si="8189"/>
        <v>0</v>
      </c>
      <c r="N55" s="1404"/>
      <c r="O55" s="1404">
        <f t="shared" si="8189"/>
        <v>0</v>
      </c>
      <c r="P55" s="1404"/>
      <c r="Q55" s="1404">
        <f t="shared" si="8189"/>
        <v>0</v>
      </c>
      <c r="R55" s="1404"/>
      <c r="S55" s="1404">
        <f t="shared" si="8189"/>
        <v>0</v>
      </c>
      <c r="T55" s="1404"/>
      <c r="U55" s="1404">
        <f t="shared" si="8189"/>
        <v>0</v>
      </c>
      <c r="V55" s="1404"/>
      <c r="W55" s="1404">
        <f t="shared" si="8189"/>
        <v>0</v>
      </c>
      <c r="X55" s="1404"/>
      <c r="Y55" s="1404">
        <f t="shared" si="8189"/>
        <v>0</v>
      </c>
      <c r="Z55" s="1404"/>
      <c r="AA55" s="1404">
        <f t="shared" si="8189"/>
        <v>0</v>
      </c>
      <c r="AB55" s="1404"/>
      <c r="AC55" s="1404">
        <f t="shared" si="8189"/>
        <v>0</v>
      </c>
      <c r="AD55" s="1404"/>
      <c r="AE55" s="1404">
        <f t="shared" si="8189"/>
        <v>0</v>
      </c>
      <c r="AF55" s="1404"/>
      <c r="AG55" s="1404">
        <f t="shared" si="8189"/>
        <v>0</v>
      </c>
      <c r="AH55" s="607"/>
      <c r="AI55" s="607"/>
    </row>
    <row r="56" spans="1:35">
      <c r="A56" s="626"/>
      <c r="B56" s="626"/>
      <c r="C56" s="635"/>
      <c r="D56" s="582"/>
      <c r="E56" s="632"/>
      <c r="F56" s="607"/>
      <c r="G56" s="1406">
        <f t="shared" si="8189"/>
        <v>0</v>
      </c>
      <c r="H56" s="1404"/>
      <c r="I56" s="1406">
        <f t="shared" si="8189"/>
        <v>0</v>
      </c>
      <c r="J56" s="1404"/>
      <c r="K56" s="1406">
        <f t="shared" si="8189"/>
        <v>0</v>
      </c>
      <c r="L56" s="1404"/>
      <c r="M56" s="1406">
        <f t="shared" si="8189"/>
        <v>0</v>
      </c>
      <c r="N56" s="1404"/>
      <c r="O56" s="1406">
        <f t="shared" si="8189"/>
        <v>0</v>
      </c>
      <c r="P56" s="1404"/>
      <c r="Q56" s="1406">
        <f t="shared" si="8189"/>
        <v>0</v>
      </c>
      <c r="R56" s="1404"/>
      <c r="S56" s="1406">
        <f t="shared" si="8189"/>
        <v>0</v>
      </c>
      <c r="T56" s="1404"/>
      <c r="U56" s="1406">
        <f t="shared" si="8189"/>
        <v>0</v>
      </c>
      <c r="V56" s="1404"/>
      <c r="W56" s="1406">
        <f t="shared" si="8189"/>
        <v>0</v>
      </c>
      <c r="X56" s="1404"/>
      <c r="Y56" s="1406">
        <f t="shared" si="8189"/>
        <v>0</v>
      </c>
      <c r="Z56" s="1404"/>
      <c r="AA56" s="1406">
        <f t="shared" si="8189"/>
        <v>0</v>
      </c>
      <c r="AB56" s="1404"/>
      <c r="AC56" s="1406">
        <f t="shared" si="8189"/>
        <v>0</v>
      </c>
      <c r="AD56" s="1404"/>
      <c r="AE56" s="1406">
        <f t="shared" si="8189"/>
        <v>0</v>
      </c>
      <c r="AF56" s="1404"/>
      <c r="AG56" s="1406">
        <f t="shared" si="8189"/>
        <v>0</v>
      </c>
      <c r="AH56" s="607"/>
      <c r="AI56" s="607"/>
    </row>
    <row r="57" spans="1:35">
      <c r="A57" s="598" t="s">
        <v>1212</v>
      </c>
      <c r="B57" s="582"/>
      <c r="C57" s="624"/>
      <c r="D57" s="582"/>
      <c r="E57" s="607">
        <f>SUM(E52:E56)</f>
        <v>32500</v>
      </c>
      <c r="F57" s="607"/>
      <c r="G57" s="607">
        <f>SUM(G52:G56)</f>
        <v>33475</v>
      </c>
      <c r="H57" s="607"/>
      <c r="I57" s="607">
        <f>SUM(I52:I56)</f>
        <v>34479.25</v>
      </c>
      <c r="J57" s="607"/>
      <c r="K57" s="607">
        <f>SUM(K52:K56)</f>
        <v>35513.627500000002</v>
      </c>
      <c r="L57" s="607"/>
      <c r="M57" s="607">
        <f>SUM(M52:M56)</f>
        <v>36579.036324999994</v>
      </c>
      <c r="N57" s="607"/>
      <c r="O57" s="607">
        <f>SUM(O52:O56)</f>
        <v>37676.40741475</v>
      </c>
      <c r="P57" s="607"/>
      <c r="Q57" s="607">
        <f>SUM(Q52:Q56)</f>
        <v>38806.699637192498</v>
      </c>
      <c r="R57" s="607"/>
      <c r="S57" s="607">
        <f>SUM(S52:S56)</f>
        <v>39970.900626308277</v>
      </c>
      <c r="T57" s="607"/>
      <c r="U57" s="607">
        <f>SUM(U52:U56)</f>
        <v>41170.027645097522</v>
      </c>
      <c r="V57" s="607"/>
      <c r="W57" s="607">
        <f>SUM(W52:W56)</f>
        <v>42405.128474450452</v>
      </c>
      <c r="X57" s="607"/>
      <c r="Y57" s="607">
        <f>SUM(Y52:Y56)</f>
        <v>43677.282328683963</v>
      </c>
      <c r="Z57" s="607"/>
      <c r="AA57" s="607">
        <f>SUM(AA52:AA56)</f>
        <v>44987.600798544488</v>
      </c>
      <c r="AB57" s="607"/>
      <c r="AC57" s="607">
        <f>SUM(AC52:AC56)</f>
        <v>46337.228822500823</v>
      </c>
      <c r="AD57" s="607"/>
      <c r="AE57" s="607">
        <f>SUM(AE52:AE56)</f>
        <v>47727.345687175846</v>
      </c>
      <c r="AF57" s="607"/>
      <c r="AG57" s="607">
        <f>SUM(AG52:AG56)</f>
        <v>49159.166057791124</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65455.478977999795</v>
      </c>
      <c r="F59" s="598"/>
      <c r="G59" s="598">
        <f>G44-G57</f>
        <v>59146.006912449753</v>
      </c>
      <c r="H59" s="598"/>
      <c r="I59" s="598">
        <f>I44-I57</f>
        <v>52337.365145261312</v>
      </c>
      <c r="J59" s="598"/>
      <c r="K59" s="598">
        <f>K44-K57</f>
        <v>45005.147607392719</v>
      </c>
      <c r="L59" s="598"/>
      <c r="M59" s="598">
        <f>M44-M57</f>
        <v>37123.921349400334</v>
      </c>
      <c r="N59" s="598"/>
      <c r="O59" s="598">
        <f>O44-O57</f>
        <v>28667.186305438743</v>
      </c>
      <c r="P59" s="598"/>
      <c r="Q59" s="598">
        <f>Q44-Q57</f>
        <v>19607.333542278917</v>
      </c>
      <c r="R59" s="598"/>
      <c r="S59" s="598">
        <f>S44-S57</f>
        <v>19915.601937655279</v>
      </c>
      <c r="T59" s="598"/>
      <c r="U59" s="598">
        <f>U44-U57</f>
        <v>19562.033230269066</v>
      </c>
      <c r="V59" s="598"/>
      <c r="W59" s="598">
        <f>W44-W57</f>
        <v>18515.425381661291</v>
      </c>
      <c r="X59" s="598"/>
      <c r="Y59" s="598">
        <f>Y44-Y57</f>
        <v>16743.28418803501</v>
      </c>
      <c r="Z59" s="598"/>
      <c r="AA59" s="598">
        <f>AA44-AA57</f>
        <v>19211.773077834296</v>
      </c>
      <c r="AB59" s="598"/>
      <c r="AC59" s="598">
        <f>AC44-AC57</f>
        <v>15885.661028608214</v>
      </c>
      <c r="AD59" s="598"/>
      <c r="AE59" s="598">
        <f>AE44-AE57</f>
        <v>16728.268534253984</v>
      </c>
      <c r="AF59" s="598"/>
      <c r="AG59" s="598">
        <f>AG44-AG57</f>
        <v>16701.41155126493</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2"/>
      <c r="D61" s="598"/>
      <c r="E61" s="627"/>
      <c r="F61" s="598"/>
      <c r="G61" s="1411">
        <f>G59*$C$61</f>
        <v>0</v>
      </c>
      <c r="H61" s="1407"/>
      <c r="I61" s="1411">
        <f>I59*$C$61</f>
        <v>0</v>
      </c>
      <c r="J61" s="1407"/>
      <c r="K61" s="1411">
        <f>K59*$C$61</f>
        <v>0</v>
      </c>
      <c r="L61" s="1407"/>
      <c r="M61" s="1411">
        <f>M59*$C$61</f>
        <v>0</v>
      </c>
      <c r="N61" s="1407"/>
      <c r="O61" s="1411">
        <f>O59*$C$61</f>
        <v>0</v>
      </c>
      <c r="P61" s="1407"/>
      <c r="Q61" s="1411">
        <f>Q59*$C$61</f>
        <v>0</v>
      </c>
      <c r="R61" s="1407"/>
      <c r="S61" s="1411">
        <f>S59*$C$61</f>
        <v>0</v>
      </c>
      <c r="T61" s="1407"/>
      <c r="U61" s="1411">
        <f>U59*$C$61</f>
        <v>0</v>
      </c>
      <c r="V61" s="1407"/>
      <c r="W61" s="1411">
        <f>W59*$C$61</f>
        <v>0</v>
      </c>
      <c r="X61" s="1407"/>
      <c r="Y61" s="1411">
        <f>Y59*$C$61</f>
        <v>0</v>
      </c>
      <c r="Z61" s="1407"/>
      <c r="AA61" s="1411">
        <f>AA59*$C$61</f>
        <v>0</v>
      </c>
      <c r="AB61" s="598"/>
      <c r="AC61" s="1411">
        <f>AC59*$C$61</f>
        <v>0</v>
      </c>
      <c r="AD61" s="598"/>
      <c r="AE61" s="1411">
        <f>AE59*$C$61</f>
        <v>0</v>
      </c>
      <c r="AF61" s="598"/>
      <c r="AG61" s="1411">
        <f>AG59*$C$61</f>
        <v>0</v>
      </c>
      <c r="AH61" s="598"/>
      <c r="AI61" s="598"/>
    </row>
    <row r="62" spans="1:35" s="2" customFormat="1">
      <c r="A62" s="1407"/>
      <c r="B62" s="1407"/>
      <c r="C62" s="1408"/>
      <c r="D62" s="1407"/>
      <c r="E62" s="1407"/>
      <c r="F62" s="1407"/>
      <c r="G62" s="1407"/>
      <c r="H62" s="1407"/>
      <c r="I62" s="1407"/>
      <c r="J62" s="1407"/>
      <c r="K62" s="1407"/>
      <c r="L62" s="1407"/>
      <c r="M62" s="1407"/>
      <c r="N62" s="1407"/>
      <c r="O62" s="1407"/>
      <c r="P62" s="1407"/>
      <c r="Q62" s="1407"/>
      <c r="R62" s="1407"/>
      <c r="S62" s="1407"/>
      <c r="T62" s="1407"/>
      <c r="U62" s="1407"/>
      <c r="V62" s="1407"/>
      <c r="W62" s="1407"/>
      <c r="X62" s="1407"/>
      <c r="Y62" s="1407"/>
      <c r="Z62" s="1407"/>
      <c r="AA62" s="1407"/>
      <c r="AB62" s="1407"/>
      <c r="AC62" s="1407"/>
      <c r="AD62" s="1407"/>
      <c r="AE62" s="1407"/>
      <c r="AF62" s="1407"/>
      <c r="AG62" s="1407"/>
      <c r="AH62" s="1407"/>
      <c r="AI62" s="1407"/>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3"/>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4">
        <f>G59*$C$64</f>
        <v>0</v>
      </c>
      <c r="H66" s="607"/>
      <c r="I66" s="1414">
        <f>I59*$C$64</f>
        <v>0</v>
      </c>
      <c r="J66" s="607"/>
      <c r="K66" s="1414">
        <f>K59*$C$64</f>
        <v>0</v>
      </c>
      <c r="L66" s="607"/>
      <c r="M66" s="1414">
        <f>M59*$C$64</f>
        <v>0</v>
      </c>
      <c r="N66" s="607"/>
      <c r="O66" s="1414">
        <f>O59*$C$64</f>
        <v>0</v>
      </c>
      <c r="P66" s="607"/>
      <c r="Q66" s="1414">
        <f>Q59*$C$64</f>
        <v>0</v>
      </c>
      <c r="R66" s="607"/>
      <c r="S66" s="1414">
        <f>S59*$C$64</f>
        <v>0</v>
      </c>
      <c r="T66" s="607"/>
      <c r="U66" s="1414">
        <f>U59*$C$64</f>
        <v>0</v>
      </c>
      <c r="V66" s="607"/>
      <c r="W66" s="1414">
        <f>W59*$C$64</f>
        <v>0</v>
      </c>
      <c r="X66" s="607"/>
      <c r="Y66" s="1414">
        <f>Y59*$C$64</f>
        <v>0</v>
      </c>
      <c r="Z66" s="607"/>
      <c r="AA66" s="1414">
        <f>AA59*$C$64</f>
        <v>0</v>
      </c>
      <c r="AB66" s="607"/>
      <c r="AC66" s="1414">
        <f>AC59*$C$64</f>
        <v>0</v>
      </c>
      <c r="AD66" s="607"/>
      <c r="AE66" s="1414">
        <f>AE59*$C$64</f>
        <v>0</v>
      </c>
      <c r="AF66" s="607"/>
      <c r="AG66" s="1414">
        <f>AG59*$C$64</f>
        <v>0</v>
      </c>
      <c r="AH66" s="607"/>
      <c r="AI66" s="607"/>
    </row>
    <row r="67" spans="1:35" s="1382" customFormat="1">
      <c r="A67" s="627"/>
      <c r="B67" s="627"/>
      <c r="C67" s="625"/>
      <c r="D67" s="598"/>
      <c r="E67" s="627"/>
      <c r="F67" s="598"/>
      <c r="G67" s="1414">
        <f>G59*$C$64</f>
        <v>0</v>
      </c>
      <c r="H67" s="598"/>
      <c r="I67" s="1414">
        <f>I59*$C$64</f>
        <v>0</v>
      </c>
      <c r="J67" s="598"/>
      <c r="K67" s="1414">
        <f>K59*$C$64</f>
        <v>0</v>
      </c>
      <c r="L67" s="598"/>
      <c r="M67" s="1414">
        <f>M59*$C$64</f>
        <v>0</v>
      </c>
      <c r="N67" s="598"/>
      <c r="O67" s="1414">
        <f>O59*$C$64</f>
        <v>0</v>
      </c>
      <c r="P67" s="598"/>
      <c r="Q67" s="1414">
        <f>Q59*$C$64</f>
        <v>0</v>
      </c>
      <c r="R67" s="598"/>
      <c r="S67" s="1414">
        <f>S59*$C$64</f>
        <v>0</v>
      </c>
      <c r="T67" s="598"/>
      <c r="U67" s="1414">
        <f>U59*$C$64</f>
        <v>0</v>
      </c>
      <c r="V67" s="598"/>
      <c r="W67" s="1414">
        <f>W59*$C$64</f>
        <v>0</v>
      </c>
      <c r="X67" s="598"/>
      <c r="Y67" s="1414">
        <f>Y59*$C$64</f>
        <v>0</v>
      </c>
      <c r="Z67" s="598"/>
      <c r="AA67" s="1414">
        <f>AA59*$C$64</f>
        <v>0</v>
      </c>
      <c r="AB67" s="598"/>
      <c r="AC67" s="1414">
        <f>AC59*$C$64</f>
        <v>0</v>
      </c>
      <c r="AD67" s="598"/>
      <c r="AE67" s="1414">
        <f>AE59*$C$64</f>
        <v>0</v>
      </c>
      <c r="AF67" s="598"/>
      <c r="AG67" s="1414">
        <f>AG59*$C$64</f>
        <v>0</v>
      </c>
      <c r="AH67" s="598"/>
      <c r="AI67" s="598"/>
    </row>
    <row r="68" spans="1:35" s="1382" customFormat="1">
      <c r="A68" s="628"/>
      <c r="B68" s="628"/>
      <c r="C68" s="608"/>
      <c r="D68" s="607"/>
      <c r="E68" s="632"/>
      <c r="F68" s="607"/>
      <c r="G68" s="1415">
        <f>G59*$C$64</f>
        <v>0</v>
      </c>
      <c r="H68" s="607"/>
      <c r="I68" s="1415">
        <f>I59*$C$64</f>
        <v>0</v>
      </c>
      <c r="J68" s="607"/>
      <c r="K68" s="1415">
        <f>K59*$C$64</f>
        <v>0</v>
      </c>
      <c r="L68" s="607"/>
      <c r="M68" s="1415">
        <f>M59*$C$64</f>
        <v>0</v>
      </c>
      <c r="N68" s="607"/>
      <c r="O68" s="1415">
        <f>O59*$C$64</f>
        <v>0</v>
      </c>
      <c r="P68" s="607"/>
      <c r="Q68" s="1415">
        <f>Q59*$C$64</f>
        <v>0</v>
      </c>
      <c r="R68" s="607"/>
      <c r="S68" s="1415">
        <f>S59*$C$64</f>
        <v>0</v>
      </c>
      <c r="T68" s="607"/>
      <c r="U68" s="1415">
        <f>U59*$C$64</f>
        <v>0</v>
      </c>
      <c r="V68" s="607"/>
      <c r="W68" s="1415">
        <f>W59*$C$64</f>
        <v>0</v>
      </c>
      <c r="X68" s="607"/>
      <c r="Y68" s="1415">
        <f>Y59*$C$64</f>
        <v>0</v>
      </c>
      <c r="Z68" s="607"/>
      <c r="AA68" s="1415">
        <f>AA59*$C$64</f>
        <v>0</v>
      </c>
      <c r="AB68" s="607"/>
      <c r="AC68" s="1415">
        <f>AC59*$C$64</f>
        <v>0</v>
      </c>
      <c r="AD68" s="607"/>
      <c r="AE68" s="1415">
        <f>AE59*$C$64</f>
        <v>0</v>
      </c>
      <c r="AF68" s="607"/>
      <c r="AG68" s="1415">
        <f>AG59*$C$64</f>
        <v>0</v>
      </c>
      <c r="AH68" s="607"/>
      <c r="AI68" s="607"/>
    </row>
    <row r="69" spans="1:35" s="2" customFormat="1">
      <c r="A69" s="1416" t="s">
        <v>1212</v>
      </c>
      <c r="B69" s="1409"/>
      <c r="C69" s="1410"/>
      <c r="D69" s="1409"/>
      <c r="E69" s="1407">
        <f>SUM(E65:E68)</f>
        <v>0</v>
      </c>
      <c r="F69" s="1407"/>
      <c r="G69" s="1407">
        <f>SUM(G65:G68)</f>
        <v>0</v>
      </c>
      <c r="H69" s="1407"/>
      <c r="I69" s="1407">
        <f>SUM(I65:I68)</f>
        <v>0</v>
      </c>
      <c r="J69" s="1407"/>
      <c r="K69" s="1407">
        <f>SUM(K65:K68)</f>
        <v>0</v>
      </c>
      <c r="L69" s="1407"/>
      <c r="M69" s="1407">
        <f>SUM(M65:M68)</f>
        <v>0</v>
      </c>
      <c r="N69" s="1407"/>
      <c r="O69" s="1407">
        <f>SUM(O65:O68)</f>
        <v>0</v>
      </c>
      <c r="P69" s="1407"/>
      <c r="Q69" s="1407">
        <f>SUM(Q65:Q68)</f>
        <v>0</v>
      </c>
      <c r="R69" s="1407"/>
      <c r="S69" s="1407">
        <f>SUM(S65:S68)</f>
        <v>0</v>
      </c>
      <c r="T69" s="1407"/>
      <c r="U69" s="1407">
        <f>SUM(U65:U68)</f>
        <v>0</v>
      </c>
      <c r="V69" s="1407"/>
      <c r="W69" s="1407">
        <f>SUM(W65:W68)</f>
        <v>0</v>
      </c>
      <c r="X69" s="1407"/>
      <c r="Y69" s="1407">
        <f>SUM(Y65:Y68)</f>
        <v>0</v>
      </c>
      <c r="Z69" s="1407"/>
      <c r="AA69" s="1407">
        <f>SUM(AA65:AA68)</f>
        <v>0</v>
      </c>
      <c r="AB69" s="1407"/>
      <c r="AC69" s="1407">
        <f>SUM(AC65:AC68)</f>
        <v>0</v>
      </c>
      <c r="AD69" s="1407"/>
      <c r="AE69" s="1407">
        <f>SUM(AE65:AE68)</f>
        <v>0</v>
      </c>
      <c r="AF69" s="1407"/>
      <c r="AG69" s="1407">
        <f>SUM(AG65:AG68)</f>
        <v>0</v>
      </c>
      <c r="AH69" s="1409"/>
      <c r="AI69" s="1409"/>
    </row>
    <row r="70" spans="1:35" s="2" customFormat="1">
      <c r="A70" s="1409"/>
      <c r="B70" s="1409"/>
      <c r="C70" s="1410"/>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c r="AA70" s="1409"/>
      <c r="AB70" s="1409"/>
      <c r="AC70" s="1409"/>
      <c r="AD70" s="1409"/>
      <c r="AE70" s="1409"/>
      <c r="AF70" s="1409"/>
      <c r="AG70" s="1409"/>
      <c r="AH70" s="1409"/>
      <c r="AI70" s="1409"/>
    </row>
    <row r="71" spans="1:35">
      <c r="A71" s="1416" t="s">
        <v>2220</v>
      </c>
      <c r="B71" s="607"/>
      <c r="C71" s="608"/>
      <c r="D71" s="607"/>
      <c r="E71" s="598">
        <f>E59-E61-E69</f>
        <v>65455.478977999795</v>
      </c>
      <c r="F71" s="607"/>
      <c r="G71" s="598">
        <f>G59-G61-G69</f>
        <v>59146.006912449753</v>
      </c>
      <c r="H71" s="607"/>
      <c r="I71" s="598">
        <f>I59-I61-I69</f>
        <v>52337.365145261312</v>
      </c>
      <c r="J71" s="607"/>
      <c r="K71" s="598">
        <f>K59-K61-K69</f>
        <v>45005.147607392719</v>
      </c>
      <c r="L71" s="607"/>
      <c r="M71" s="598">
        <f>M59-M61-M69</f>
        <v>37123.921349400334</v>
      </c>
      <c r="N71" s="607"/>
      <c r="O71" s="598">
        <f>O59-O61-O69</f>
        <v>28667.186305438743</v>
      </c>
      <c r="P71" s="607"/>
      <c r="Q71" s="598">
        <f>Q59-Q61-Q69</f>
        <v>19607.333542278917</v>
      </c>
      <c r="R71" s="607"/>
      <c r="S71" s="598">
        <f>S59-S61-S69</f>
        <v>19915.601937655279</v>
      </c>
      <c r="T71" s="607"/>
      <c r="U71" s="598">
        <f>U59-U61-U69</f>
        <v>19562.033230269066</v>
      </c>
      <c r="V71" s="607"/>
      <c r="W71" s="598">
        <f>W59-W61-W69</f>
        <v>18515.425381661291</v>
      </c>
      <c r="X71" s="607"/>
      <c r="Y71" s="598">
        <f>Y59-Y61-Y69</f>
        <v>16743.28418803501</v>
      </c>
      <c r="Z71" s="607"/>
      <c r="AA71" s="598">
        <f>AA59-AA61-AA69</f>
        <v>19211.773077834296</v>
      </c>
      <c r="AB71" s="607"/>
      <c r="AC71" s="598">
        <f>AC59-AC61-AC69</f>
        <v>15885.661028608214</v>
      </c>
      <c r="AD71" s="607"/>
      <c r="AE71" s="598">
        <f>AE59-AE61-AE69</f>
        <v>16728.268534253984</v>
      </c>
      <c r="AF71" s="607"/>
      <c r="AG71" s="598">
        <f>AG59-AG61-AG69</f>
        <v>16701.41155126493</v>
      </c>
      <c r="AH71" s="607"/>
      <c r="AI71" s="607"/>
    </row>
    <row r="72" spans="1:35" s="1382"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2"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6" t="s">
        <v>1216</v>
      </c>
      <c r="B76" s="2716"/>
      <c r="C76" s="2716"/>
      <c r="D76" s="2716"/>
      <c r="E76" s="2716"/>
      <c r="F76" s="2716"/>
      <c r="G76" s="2716"/>
      <c r="H76" s="2716"/>
      <c r="I76" s="2716"/>
      <c r="J76" s="2716"/>
      <c r="K76" s="2716"/>
      <c r="L76" s="2716"/>
      <c r="M76" s="2716"/>
      <c r="N76" s="2716"/>
      <c r="O76" s="2716"/>
      <c r="P76" s="2716"/>
      <c r="Q76" s="2716"/>
      <c r="R76" s="2716"/>
      <c r="S76" s="2716"/>
      <c r="T76" s="2716"/>
      <c r="U76" s="2716"/>
      <c r="V76" s="2716"/>
      <c r="W76" s="2716"/>
      <c r="X76" s="2716"/>
      <c r="Y76" s="2716"/>
      <c r="Z76" s="2716"/>
      <c r="AA76" s="2716"/>
      <c r="AB76" s="2716"/>
      <c r="AC76" s="2716"/>
      <c r="AD76" s="2716"/>
      <c r="AE76" s="2716"/>
      <c r="AF76" s="2716"/>
      <c r="AG76" s="2716"/>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row r="218" spans="3:3"/>
    <row r="219" spans="3:3"/>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22" sqref="E22"/>
    </sheetView>
  </sheetViews>
  <sheetFormatPr defaultColWidth="9.109375" defaultRowHeight="13.8" zeroHeight="1"/>
  <cols>
    <col min="1" max="3" width="15.44140625" style="509" customWidth="1"/>
    <col min="4" max="4" width="3.44140625" style="509" customWidth="1"/>
    <col min="5" max="6" width="15.44140625" style="509" customWidth="1"/>
    <col min="7" max="7" width="3.44140625" style="461" customWidth="1"/>
    <col min="8" max="9" width="15.44140625" style="509" customWidth="1"/>
    <col min="10" max="16383" width="9.109375" style="509"/>
    <col min="16384" max="16384" width="0.44140625" style="509" customWidth="1"/>
  </cols>
  <sheetData>
    <row r="1" spans="1:9">
      <c r="A1" s="2717" t="s">
        <v>1296</v>
      </c>
      <c r="B1" s="2717"/>
      <c r="C1" s="2717"/>
      <c r="D1" s="2717"/>
      <c r="E1" s="2717"/>
      <c r="F1" s="2717"/>
      <c r="G1" s="2717"/>
      <c r="H1" s="2717"/>
      <c r="I1" s="2717"/>
    </row>
    <row r="2" spans="1:9">
      <c r="A2" s="933"/>
      <c r="B2" s="932"/>
      <c r="C2" s="932"/>
      <c r="D2" s="932"/>
      <c r="E2" s="932"/>
      <c r="F2" s="932"/>
      <c r="G2" s="933"/>
      <c r="H2" s="932"/>
      <c r="I2" s="932"/>
    </row>
    <row r="3" spans="1:9" ht="105" customHeight="1">
      <c r="A3" s="934" t="s">
        <v>1289</v>
      </c>
      <c r="B3" s="934" t="s">
        <v>1515</v>
      </c>
      <c r="C3" s="737" t="s">
        <v>1291</v>
      </c>
      <c r="D3" s="932"/>
      <c r="E3" s="737" t="s">
        <v>1292</v>
      </c>
      <c r="F3" s="934" t="s">
        <v>1293</v>
      </c>
      <c r="G3" s="935"/>
      <c r="H3" s="934" t="s">
        <v>1290</v>
      </c>
      <c r="I3" s="934" t="s">
        <v>1294</v>
      </c>
    </row>
    <row r="4" spans="1:9">
      <c r="A4" s="936" t="str">
        <f>Application!$B706</f>
        <v>SRO/Studio</v>
      </c>
      <c r="B4" s="944">
        <v>29</v>
      </c>
      <c r="C4" s="936">
        <f>Application!$O706</f>
        <v>398</v>
      </c>
      <c r="D4" s="937"/>
      <c r="E4" s="738">
        <v>1464</v>
      </c>
      <c r="F4" s="938">
        <f>$E4*$B4</f>
        <v>42456</v>
      </c>
      <c r="G4" s="939"/>
      <c r="H4" s="936">
        <f>IF($E4=0,0,MAX($E4-$C4,0))</f>
        <v>1066</v>
      </c>
      <c r="I4" s="938">
        <f>IF($H4=0,0,($H4*$B4))</f>
        <v>30914</v>
      </c>
    </row>
    <row r="5" spans="1:9">
      <c r="A5" s="936">
        <f>Application!$B707</f>
        <v>0</v>
      </c>
      <c r="B5" s="944">
        <v>0</v>
      </c>
      <c r="C5" s="936">
        <f>Application!$O707</f>
        <v>0</v>
      </c>
      <c r="D5" s="937"/>
      <c r="E5" s="738"/>
      <c r="F5" s="938">
        <f t="shared" ref="F5:F28" si="0">$E5*$B5</f>
        <v>0</v>
      </c>
      <c r="G5" s="939"/>
      <c r="H5" s="936">
        <f t="shared" ref="H5:H28" si="1">IF($E5=0,0,MAX($E5-$C5,0))</f>
        <v>0</v>
      </c>
      <c r="I5" s="938">
        <f t="shared" ref="I5:I28" si="2">IF($H5=0,0,($H5*$B5))</f>
        <v>0</v>
      </c>
    </row>
    <row r="6" spans="1:9">
      <c r="A6" s="936" t="str">
        <f>Application!$B708</f>
        <v>1 Bedroom</v>
      </c>
      <c r="B6" s="944">
        <v>0</v>
      </c>
      <c r="C6" s="936">
        <f>Application!$O708</f>
        <v>398</v>
      </c>
      <c r="D6" s="937"/>
      <c r="E6" s="738"/>
      <c r="F6" s="938">
        <f t="shared" si="0"/>
        <v>0</v>
      </c>
      <c r="G6" s="939"/>
      <c r="H6" s="936">
        <f t="shared" si="1"/>
        <v>0</v>
      </c>
      <c r="I6" s="938">
        <f t="shared" si="2"/>
        <v>0</v>
      </c>
    </row>
    <row r="7" spans="1:9">
      <c r="A7" s="936" t="str">
        <f>Application!$B709</f>
        <v>SRO/Studio</v>
      </c>
      <c r="B7" s="944">
        <v>0</v>
      </c>
      <c r="C7" s="936">
        <f>Application!$O709</f>
        <v>597</v>
      </c>
      <c r="D7" s="937"/>
      <c r="E7" s="738"/>
      <c r="F7" s="938">
        <f t="shared" si="0"/>
        <v>0</v>
      </c>
      <c r="G7" s="939"/>
      <c r="H7" s="936">
        <f t="shared" si="1"/>
        <v>0</v>
      </c>
      <c r="I7" s="938">
        <f t="shared" si="2"/>
        <v>0</v>
      </c>
    </row>
    <row r="8" spans="1:9">
      <c r="A8" s="936" t="str">
        <f>Application!$B710</f>
        <v>1 Bedroom</v>
      </c>
      <c r="B8" s="944">
        <v>3</v>
      </c>
      <c r="C8" s="936">
        <f>Application!$O710</f>
        <v>639</v>
      </c>
      <c r="D8" s="937"/>
      <c r="E8" s="738">
        <v>1684</v>
      </c>
      <c r="F8" s="938">
        <f t="shared" si="0"/>
        <v>5052</v>
      </c>
      <c r="G8" s="939"/>
      <c r="H8" s="936">
        <f t="shared" si="1"/>
        <v>1045</v>
      </c>
      <c r="I8" s="938">
        <f t="shared" si="2"/>
        <v>3135</v>
      </c>
    </row>
    <row r="9" spans="1:9">
      <c r="A9" s="936" t="str">
        <f>Application!$B711</f>
        <v>SRO/Studio</v>
      </c>
      <c r="B9" s="944">
        <v>0</v>
      </c>
      <c r="C9" s="936">
        <f>Application!$O711</f>
        <v>745</v>
      </c>
      <c r="D9" s="937"/>
      <c r="E9" s="738"/>
      <c r="F9" s="938">
        <f t="shared" si="0"/>
        <v>0</v>
      </c>
      <c r="G9" s="939"/>
      <c r="H9" s="936">
        <f t="shared" si="1"/>
        <v>0</v>
      </c>
      <c r="I9" s="938">
        <f t="shared" si="2"/>
        <v>0</v>
      </c>
    </row>
    <row r="10" spans="1:9">
      <c r="A10" s="936" t="str">
        <f>Application!$B712</f>
        <v>SRO/Studio</v>
      </c>
      <c r="B10" s="944">
        <v>0</v>
      </c>
      <c r="C10" s="936">
        <f>Application!$O712</f>
        <v>745</v>
      </c>
      <c r="D10" s="937"/>
      <c r="E10" s="738"/>
      <c r="F10" s="938">
        <f t="shared" si="0"/>
        <v>0</v>
      </c>
      <c r="G10" s="939"/>
      <c r="H10" s="936">
        <f t="shared" si="1"/>
        <v>0</v>
      </c>
      <c r="I10" s="938">
        <f t="shared" si="2"/>
        <v>0</v>
      </c>
    </row>
    <row r="11" spans="1:9">
      <c r="A11" s="936" t="str">
        <f>Application!$B713</f>
        <v>SRO/Studio</v>
      </c>
      <c r="B11" s="944">
        <v>0</v>
      </c>
      <c r="C11" s="936">
        <f>Application!$O713</f>
        <v>745</v>
      </c>
      <c r="D11" s="937"/>
      <c r="E11" s="738"/>
      <c r="F11" s="938">
        <f t="shared" si="0"/>
        <v>0</v>
      </c>
      <c r="G11" s="939"/>
      <c r="H11" s="936">
        <f t="shared" si="1"/>
        <v>0</v>
      </c>
      <c r="I11" s="938">
        <f t="shared" si="2"/>
        <v>0</v>
      </c>
    </row>
    <row r="12" spans="1:9">
      <c r="A12" s="936" t="str">
        <f>Application!$B714</f>
        <v>1 Bedroom</v>
      </c>
      <c r="B12" s="944">
        <f>Application!$G714</f>
        <v>4</v>
      </c>
      <c r="C12" s="936">
        <f>Application!$O714</f>
        <v>378</v>
      </c>
      <c r="D12" s="937"/>
      <c r="E12" s="738">
        <v>1636</v>
      </c>
      <c r="F12" s="938">
        <f t="shared" si="0"/>
        <v>6544</v>
      </c>
      <c r="G12" s="939"/>
      <c r="H12" s="936">
        <f t="shared" si="1"/>
        <v>1258</v>
      </c>
      <c r="I12" s="938">
        <f t="shared" si="2"/>
        <v>5032</v>
      </c>
    </row>
    <row r="13" spans="1:9">
      <c r="A13" s="936" t="str">
        <f>Application!$B715</f>
        <v>1 Bedroom</v>
      </c>
      <c r="B13" s="944">
        <v>0</v>
      </c>
      <c r="C13" s="936">
        <f>Application!$O715</f>
        <v>591</v>
      </c>
      <c r="D13" s="937"/>
      <c r="E13" s="738"/>
      <c r="F13" s="938">
        <f t="shared" si="0"/>
        <v>0</v>
      </c>
      <c r="G13" s="939"/>
      <c r="H13" s="936">
        <f t="shared" si="1"/>
        <v>0</v>
      </c>
      <c r="I13" s="938">
        <f t="shared" si="2"/>
        <v>0</v>
      </c>
    </row>
    <row r="14" spans="1:9">
      <c r="A14" s="936" t="str">
        <f>Application!$B716</f>
        <v>2 Bedrooms</v>
      </c>
      <c r="B14" s="944">
        <f>Application!$G716</f>
        <v>1</v>
      </c>
      <c r="C14" s="936">
        <f>Application!$O716</f>
        <v>699</v>
      </c>
      <c r="D14" s="937"/>
      <c r="E14" s="738">
        <v>2150</v>
      </c>
      <c r="F14" s="938">
        <f t="shared" si="0"/>
        <v>2150</v>
      </c>
      <c r="G14" s="939"/>
      <c r="H14" s="936">
        <f t="shared" si="1"/>
        <v>1451</v>
      </c>
      <c r="I14" s="938">
        <f t="shared" si="2"/>
        <v>1451</v>
      </c>
    </row>
    <row r="15" spans="1:9">
      <c r="A15" s="936" t="str">
        <f>Application!$B717</f>
        <v>3 Bedrooms</v>
      </c>
      <c r="B15" s="944">
        <f>Application!$G717</f>
        <v>1</v>
      </c>
      <c r="C15" s="936">
        <f>Application!$O717</f>
        <v>797</v>
      </c>
      <c r="D15" s="937"/>
      <c r="E15" s="738">
        <v>3019</v>
      </c>
      <c r="F15" s="938">
        <f t="shared" si="0"/>
        <v>3019</v>
      </c>
      <c r="G15" s="939"/>
      <c r="H15" s="936">
        <f t="shared" si="1"/>
        <v>2222</v>
      </c>
      <c r="I15" s="938">
        <f t="shared" si="2"/>
        <v>2222</v>
      </c>
    </row>
    <row r="16" spans="1:9">
      <c r="A16" s="936" t="str">
        <f>Application!$B718</f>
        <v>1 Bedroom</v>
      </c>
      <c r="B16" s="944">
        <v>0</v>
      </c>
      <c r="C16" s="936">
        <f>Application!$O718</f>
        <v>1018</v>
      </c>
      <c r="D16" s="937"/>
      <c r="E16" s="738"/>
      <c r="F16" s="938">
        <f t="shared" si="0"/>
        <v>0</v>
      </c>
      <c r="G16" s="939"/>
      <c r="H16" s="936">
        <f t="shared" si="1"/>
        <v>0</v>
      </c>
      <c r="I16" s="938">
        <f t="shared" si="2"/>
        <v>0</v>
      </c>
    </row>
    <row r="17" spans="1:9">
      <c r="A17" s="936" t="str">
        <f>Application!$B719</f>
        <v>1 Bedroom</v>
      </c>
      <c r="B17" s="944">
        <v>0</v>
      </c>
      <c r="C17" s="936">
        <f>Application!$O719</f>
        <v>1231</v>
      </c>
      <c r="D17" s="937"/>
      <c r="E17" s="738"/>
      <c r="F17" s="938">
        <f t="shared" si="0"/>
        <v>0</v>
      </c>
      <c r="G17" s="939"/>
      <c r="H17" s="936">
        <f t="shared" si="1"/>
        <v>0</v>
      </c>
      <c r="I17" s="938">
        <f t="shared" si="2"/>
        <v>0</v>
      </c>
    </row>
    <row r="18" spans="1:9">
      <c r="A18" s="936" t="str">
        <f>Application!$B720</f>
        <v>2 Bedrooms</v>
      </c>
      <c r="B18" s="944">
        <v>0</v>
      </c>
      <c r="C18" s="936">
        <f>Application!$O720</f>
        <v>1467</v>
      </c>
      <c r="D18" s="937"/>
      <c r="E18" s="738"/>
      <c r="F18" s="938">
        <f t="shared" si="0"/>
        <v>0</v>
      </c>
      <c r="G18" s="939"/>
      <c r="H18" s="936">
        <f t="shared" si="1"/>
        <v>0</v>
      </c>
      <c r="I18" s="938">
        <f t="shared" si="2"/>
        <v>0</v>
      </c>
    </row>
    <row r="19" spans="1:9">
      <c r="A19" s="936" t="str">
        <f>Application!$B721</f>
        <v>3 Bedrooms</v>
      </c>
      <c r="B19" s="944">
        <v>0</v>
      </c>
      <c r="C19" s="936">
        <f>Application!$O721</f>
        <v>1684</v>
      </c>
      <c r="D19" s="937"/>
      <c r="E19" s="738"/>
      <c r="F19" s="938">
        <f t="shared" si="0"/>
        <v>0</v>
      </c>
      <c r="G19" s="939"/>
      <c r="H19" s="936">
        <f t="shared" si="1"/>
        <v>0</v>
      </c>
      <c r="I19" s="938">
        <f t="shared" si="2"/>
        <v>0</v>
      </c>
    </row>
    <row r="20" spans="1:9">
      <c r="A20" s="936">
        <f>Application!$B722</f>
        <v>0</v>
      </c>
      <c r="B20" s="944">
        <v>0</v>
      </c>
      <c r="C20" s="936">
        <f>Application!$O722</f>
        <v>0</v>
      </c>
      <c r="D20" s="937"/>
      <c r="E20" s="738"/>
      <c r="F20" s="938">
        <f t="shared" si="0"/>
        <v>0</v>
      </c>
      <c r="G20" s="939"/>
      <c r="H20" s="936">
        <f t="shared" si="1"/>
        <v>0</v>
      </c>
      <c r="I20" s="938">
        <f t="shared" si="2"/>
        <v>0</v>
      </c>
    </row>
    <row r="21" spans="1:9">
      <c r="A21" s="936">
        <f>Application!$B723</f>
        <v>0</v>
      </c>
      <c r="B21" s="944">
        <f>Application!$G723</f>
        <v>0</v>
      </c>
      <c r="C21" s="936">
        <f>Application!$O723</f>
        <v>0</v>
      </c>
      <c r="D21" s="937"/>
      <c r="E21" s="738"/>
      <c r="F21" s="938">
        <f t="shared" si="0"/>
        <v>0</v>
      </c>
      <c r="G21" s="939"/>
      <c r="H21" s="936">
        <f t="shared" si="1"/>
        <v>0</v>
      </c>
      <c r="I21" s="938">
        <f t="shared" si="2"/>
        <v>0</v>
      </c>
    </row>
    <row r="22" spans="1:9">
      <c r="A22" s="936">
        <f>Application!$B724</f>
        <v>0</v>
      </c>
      <c r="B22" s="944">
        <f>Application!$G724</f>
        <v>0</v>
      </c>
      <c r="C22" s="936">
        <f>Application!$O724</f>
        <v>0</v>
      </c>
      <c r="D22" s="937"/>
      <c r="E22" s="738"/>
      <c r="F22" s="938">
        <f t="shared" si="0"/>
        <v>0</v>
      </c>
      <c r="G22" s="939"/>
      <c r="H22" s="936">
        <f t="shared" si="1"/>
        <v>0</v>
      </c>
      <c r="I22" s="938">
        <f t="shared" si="2"/>
        <v>0</v>
      </c>
    </row>
    <row r="23" spans="1:9">
      <c r="A23" s="936">
        <f>Application!$B725</f>
        <v>0</v>
      </c>
      <c r="B23" s="944">
        <f>Application!$G725</f>
        <v>0</v>
      </c>
      <c r="C23" s="936">
        <f>Application!$O725</f>
        <v>0</v>
      </c>
      <c r="D23" s="937"/>
      <c r="E23" s="738"/>
      <c r="F23" s="938">
        <f t="shared" si="0"/>
        <v>0</v>
      </c>
      <c r="G23" s="939"/>
      <c r="H23" s="936">
        <f t="shared" si="1"/>
        <v>0</v>
      </c>
      <c r="I23" s="938">
        <f t="shared" si="2"/>
        <v>0</v>
      </c>
    </row>
    <row r="24" spans="1:9">
      <c r="A24" s="936">
        <f>Application!$B726</f>
        <v>0</v>
      </c>
      <c r="B24" s="944">
        <f>Application!$G726</f>
        <v>0</v>
      </c>
      <c r="C24" s="936">
        <f>Application!$O726</f>
        <v>0</v>
      </c>
      <c r="D24" s="937"/>
      <c r="E24" s="738"/>
      <c r="F24" s="938">
        <f t="shared" si="0"/>
        <v>0</v>
      </c>
      <c r="G24" s="939"/>
      <c r="H24" s="936">
        <f t="shared" si="1"/>
        <v>0</v>
      </c>
      <c r="I24" s="938">
        <f t="shared" si="2"/>
        <v>0</v>
      </c>
    </row>
    <row r="25" spans="1:9">
      <c r="A25" s="936">
        <f>Application!$B727</f>
        <v>0</v>
      </c>
      <c r="B25" s="944">
        <f>Application!$G727</f>
        <v>0</v>
      </c>
      <c r="C25" s="936">
        <f>Application!$O727</f>
        <v>0</v>
      </c>
      <c r="D25" s="937"/>
      <c r="E25" s="738"/>
      <c r="F25" s="938">
        <f t="shared" si="0"/>
        <v>0</v>
      </c>
      <c r="G25" s="939"/>
      <c r="H25" s="936">
        <f t="shared" si="1"/>
        <v>0</v>
      </c>
      <c r="I25" s="938">
        <f t="shared" si="2"/>
        <v>0</v>
      </c>
    </row>
    <row r="26" spans="1:9">
      <c r="A26" s="936">
        <f>Application!$B728</f>
        <v>0</v>
      </c>
      <c r="B26" s="944">
        <f>Application!$G728</f>
        <v>0</v>
      </c>
      <c r="C26" s="936">
        <f>Application!$O728</f>
        <v>0</v>
      </c>
      <c r="D26" s="937"/>
      <c r="E26" s="738"/>
      <c r="F26" s="938">
        <f t="shared" si="0"/>
        <v>0</v>
      </c>
      <c r="G26" s="939"/>
      <c r="H26" s="936">
        <f t="shared" si="1"/>
        <v>0</v>
      </c>
      <c r="I26" s="938">
        <f t="shared" si="2"/>
        <v>0</v>
      </c>
    </row>
    <row r="27" spans="1:9">
      <c r="A27" s="936">
        <f>Application!$B729</f>
        <v>0</v>
      </c>
      <c r="B27" s="944">
        <f>Application!$G729</f>
        <v>0</v>
      </c>
      <c r="C27" s="936">
        <f>Application!$O729</f>
        <v>0</v>
      </c>
      <c r="D27" s="937"/>
      <c r="E27" s="738"/>
      <c r="F27" s="938">
        <f t="shared" si="0"/>
        <v>0</v>
      </c>
      <c r="G27" s="939"/>
      <c r="H27" s="936">
        <f t="shared" si="1"/>
        <v>0</v>
      </c>
      <c r="I27" s="938">
        <f t="shared" si="2"/>
        <v>0</v>
      </c>
    </row>
    <row r="28" spans="1:9">
      <c r="A28" s="936">
        <f>Application!$B730</f>
        <v>0</v>
      </c>
      <c r="B28" s="944">
        <f>Application!$G730</f>
        <v>0</v>
      </c>
      <c r="C28" s="936">
        <f>Application!$O730</f>
        <v>0</v>
      </c>
      <c r="D28" s="937"/>
      <c r="E28" s="738"/>
      <c r="F28" s="938">
        <f t="shared" si="0"/>
        <v>0</v>
      </c>
      <c r="G28" s="939"/>
      <c r="H28" s="936">
        <f t="shared" si="1"/>
        <v>0</v>
      </c>
      <c r="I28" s="938">
        <f t="shared" si="2"/>
        <v>0</v>
      </c>
    </row>
    <row r="29" spans="1:9">
      <c r="A29" s="932"/>
      <c r="B29" s="932"/>
      <c r="C29" s="937"/>
      <c r="D29" s="937"/>
      <c r="E29" s="937"/>
      <c r="F29" s="937"/>
      <c r="G29" s="939"/>
      <c r="H29" s="937"/>
      <c r="I29" s="932"/>
    </row>
    <row r="30" spans="1:9">
      <c r="A30" s="940" t="s">
        <v>1295</v>
      </c>
      <c r="B30" s="941"/>
      <c r="C30" s="942">
        <f>Application!$T$731*12</f>
        <v>708048</v>
      </c>
      <c r="D30" s="937"/>
      <c r="E30" s="937"/>
      <c r="F30" s="942">
        <f>SUM(F4:F28)*12</f>
        <v>710652</v>
      </c>
      <c r="G30" s="943"/>
      <c r="H30" s="941"/>
      <c r="I30" s="942">
        <f>SUM(I4:I28)*12</f>
        <v>513048</v>
      </c>
    </row>
    <row r="31" spans="1:9">
      <c r="A31" s="940"/>
      <c r="B31" s="941"/>
      <c r="C31" s="943"/>
      <c r="D31" s="937"/>
      <c r="E31" s="937"/>
      <c r="F31" s="943"/>
      <c r="G31" s="943"/>
      <c r="H31" s="941"/>
      <c r="I31" s="943"/>
    </row>
    <row r="32" spans="1:9">
      <c r="A32" s="932" t="s">
        <v>1297</v>
      </c>
      <c r="B32" s="932"/>
      <c r="C32" s="932"/>
      <c r="D32" s="932"/>
      <c r="E32" s="932"/>
      <c r="F32" s="932"/>
      <c r="G32" s="933"/>
      <c r="H32" s="932"/>
      <c r="I32" s="932"/>
    </row>
    <row r="33" spans="1:9">
      <c r="A33" s="932" t="s">
        <v>1299</v>
      </c>
      <c r="B33" s="932"/>
      <c r="C33" s="932"/>
      <c r="D33" s="932"/>
      <c r="E33" s="932"/>
      <c r="F33" s="932"/>
      <c r="G33" s="933"/>
      <c r="H33" s="932"/>
      <c r="I33" s="932"/>
    </row>
    <row r="34" spans="1:9">
      <c r="A34" s="932" t="s">
        <v>1516</v>
      </c>
      <c r="B34" s="932"/>
      <c r="C34" s="932"/>
      <c r="D34" s="932"/>
      <c r="E34" s="932"/>
      <c r="F34" s="932"/>
      <c r="G34" s="933"/>
      <c r="H34" s="932"/>
      <c r="I34" s="932"/>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V1"/>
  <sheetViews>
    <sheetView zoomScaleNormal="100" workbookViewId="0">
      <selection activeCell="D17" sqref="D17"/>
    </sheetView>
  </sheetViews>
  <sheetFormatPr defaultColWidth="9.109375" defaultRowHeight="13.2"/>
  <cols>
    <col min="1" max="16384" width="9.109375" style="533"/>
  </cols>
  <sheetData>
    <row r="1" spans="1:22">
      <c r="A1" s="1552" t="s">
        <v>2545</v>
      </c>
      <c r="B1" s="1553"/>
      <c r="C1" s="1553"/>
      <c r="D1" s="1553"/>
      <c r="E1" s="1553"/>
      <c r="F1" s="1553"/>
      <c r="G1" s="1553"/>
      <c r="H1" s="1553"/>
      <c r="I1" s="1553"/>
      <c r="J1" s="1553"/>
      <c r="K1" s="1553"/>
      <c r="L1" s="1553"/>
      <c r="M1" s="1553"/>
      <c r="N1" s="1553"/>
      <c r="O1" s="1553"/>
      <c r="P1" s="1553"/>
      <c r="Q1" s="1553"/>
      <c r="R1" s="1553"/>
      <c r="S1" s="1553"/>
      <c r="T1" s="1553"/>
      <c r="U1" s="1553"/>
      <c r="V1" s="1553"/>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44140625" customWidth="1"/>
    <col min="2" max="16384" width="8.6640625" hidden="1"/>
  </cols>
  <sheetData>
    <row r="1" spans="1:1" s="483" customFormat="1" ht="45" customHeight="1">
      <c r="A1" s="770" t="s">
        <v>1359</v>
      </c>
    </row>
    <row r="2" spans="1:1" ht="15.6">
      <c r="A2" s="768"/>
    </row>
    <row r="3" spans="1:1" ht="15.6">
      <c r="A3" s="769" t="s">
        <v>1354</v>
      </c>
    </row>
    <row r="4" spans="1:1" ht="15.6">
      <c r="A4" s="769" t="s">
        <v>1355</v>
      </c>
    </row>
    <row r="5" spans="1:1" ht="15.6">
      <c r="A5" s="769" t="s">
        <v>1356</v>
      </c>
    </row>
    <row r="6" spans="1:1" ht="15.6">
      <c r="A6" s="769" t="s">
        <v>1357</v>
      </c>
    </row>
    <row r="7" spans="1:1" ht="15.6">
      <c r="A7" s="769" t="s">
        <v>1358</v>
      </c>
    </row>
    <row r="8" spans="1:1" ht="15.6">
      <c r="A8" s="894" t="s">
        <v>1485</v>
      </c>
    </row>
    <row r="9" spans="1:1" ht="15.6">
      <c r="A9" s="769"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5" customWidth="1"/>
    <col min="2" max="2" width="0.6640625" style="1265" customWidth="1"/>
    <col min="3" max="18" width="2.44140625" style="1265" customWidth="1"/>
    <col min="19" max="19" width="4" style="1265" customWidth="1"/>
    <col min="20" max="39" width="2.44140625" style="1265" customWidth="1"/>
    <col min="40" max="40" width="1.44140625" style="1265" customWidth="1"/>
    <col min="41" max="16384" width="2.44140625" style="2" hidden="1"/>
  </cols>
  <sheetData>
    <row r="1" spans="1:40" ht="12.75" customHeight="1">
      <c r="A1" s="2299" t="s">
        <v>1217</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row>
    <row r="2" spans="1:40" ht="13.8" thickBot="1">
      <c r="A2" s="2301"/>
      <c r="B2" s="2301"/>
      <c r="C2" s="2301"/>
      <c r="D2" s="2301"/>
      <c r="E2" s="2301"/>
      <c r="F2" s="2301"/>
      <c r="G2" s="2301"/>
      <c r="H2" s="2301"/>
      <c r="I2" s="2301"/>
      <c r="J2" s="2301"/>
      <c r="K2" s="2301"/>
      <c r="L2" s="2301"/>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30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4"/>
      <c r="AA6" s="2"/>
    </row>
    <row r="7" spans="1:40" ht="13.95" customHeight="1">
      <c r="B7" s="9"/>
      <c r="C7" s="10"/>
      <c r="D7" s="10"/>
      <c r="E7" s="10"/>
      <c r="F7" s="10"/>
      <c r="G7" s="10"/>
      <c r="H7" s="10"/>
      <c r="I7" s="10"/>
      <c r="J7" s="10"/>
      <c r="K7" s="10"/>
      <c r="L7" s="10"/>
      <c r="M7" s="10"/>
      <c r="N7" s="10"/>
      <c r="O7" s="10"/>
      <c r="P7" s="10"/>
      <c r="Q7" s="10"/>
      <c r="R7" s="10"/>
      <c r="S7" s="10"/>
      <c r="T7" s="2279" t="s">
        <v>1811</v>
      </c>
      <c r="U7" s="2279"/>
      <c r="V7" s="2279"/>
      <c r="W7" s="2279"/>
      <c r="X7" s="2279"/>
      <c r="Y7" s="2279" t="s">
        <v>1974</v>
      </c>
      <c r="Z7" s="2279"/>
      <c r="AA7" s="2279"/>
      <c r="AB7" s="2279"/>
      <c r="AC7" s="2279"/>
      <c r="AD7" s="2279" t="s">
        <v>1512</v>
      </c>
      <c r="AE7" s="2279"/>
      <c r="AF7" s="2279"/>
      <c r="AG7" s="2279"/>
      <c r="AH7" s="2279"/>
      <c r="AI7" s="2279" t="s">
        <v>1975</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3.2">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7"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3.2">
      <c r="B11" s="2276" t="s">
        <v>566</v>
      </c>
      <c r="C11" s="2277"/>
      <c r="D11" s="2277"/>
      <c r="E11" s="2277"/>
      <c r="F11" s="2277"/>
      <c r="G11" s="2277"/>
      <c r="H11" s="2277"/>
      <c r="I11" s="2277"/>
      <c r="J11" s="2277"/>
      <c r="K11" s="2277"/>
      <c r="L11" s="2277"/>
      <c r="M11" s="2277"/>
      <c r="N11" s="2277"/>
      <c r="O11" s="2277"/>
      <c r="P11" s="2277"/>
      <c r="Q11" s="2277"/>
      <c r="R11" s="2277"/>
      <c r="S11" s="2278"/>
      <c r="T11" s="2316">
        <f>IF('Sources and Basis Breakdown'!F105=0,'Sources and Basis Breakdown'!E105,'Sources and Basis Breakdown'!F105)</f>
        <v>38498808</v>
      </c>
      <c r="U11" s="2304"/>
      <c r="V11" s="2304"/>
      <c r="W11" s="2304"/>
      <c r="X11" s="2304"/>
      <c r="Y11" s="2303">
        <f>IF('Sources and Basis Breakdown'!G105+'Sources and Basis Breakdown'!F105='Sources and Basis Breakdown'!E105,'Sources and Basis Breakdown'!G105,0)</f>
        <v>0</v>
      </c>
      <c r="Z11" s="2304"/>
      <c r="AA11" s="2304"/>
      <c r="AB11" s="2304"/>
      <c r="AC11" s="2304"/>
      <c r="AD11" s="2304">
        <f>IF('Sources and Basis Breakdown'!I105=0,'Sources and Basis Breakdown'!H105,'Sources and Basis Breakdown'!I105)</f>
        <v>0</v>
      </c>
      <c r="AE11" s="2304"/>
      <c r="AF11" s="2304"/>
      <c r="AG11" s="2304"/>
      <c r="AH11" s="2304"/>
      <c r="AI11" s="2304">
        <f>IF('Sources and Basis Breakdown'!I105+'Sources and Basis Breakdown'!J105='Sources and Basis Breakdown'!H105,'Sources and Basis Breakdown'!J105,0)</f>
        <v>0</v>
      </c>
      <c r="AJ11" s="2304"/>
      <c r="AK11" s="2304"/>
      <c r="AL11" s="2304"/>
      <c r="AM11" s="2304"/>
    </row>
    <row r="12" spans="1:40" ht="13.2">
      <c r="B12" s="2309" t="s">
        <v>496</v>
      </c>
      <c r="C12" s="2310"/>
      <c r="D12" s="2310"/>
      <c r="E12" s="2310"/>
      <c r="F12" s="2310"/>
      <c r="G12" s="2310"/>
      <c r="H12" s="2310"/>
      <c r="I12" s="2310"/>
      <c r="J12" s="2310"/>
      <c r="K12" s="2310"/>
      <c r="L12" s="2310"/>
      <c r="M12" s="2310"/>
      <c r="N12" s="2310"/>
      <c r="O12" s="2310"/>
      <c r="P12" s="2310"/>
      <c r="Q12" s="2310"/>
      <c r="R12" s="2310"/>
      <c r="S12" s="2311"/>
      <c r="T12" s="2306"/>
      <c r="U12" s="2307"/>
      <c r="V12" s="2307"/>
      <c r="W12" s="2307"/>
      <c r="X12" s="2308"/>
      <c r="Y12" s="2306"/>
      <c r="Z12" s="2307"/>
      <c r="AA12" s="2307"/>
      <c r="AB12" s="2307"/>
      <c r="AC12" s="2308"/>
      <c r="AD12" s="2306"/>
      <c r="AE12" s="2307"/>
      <c r="AF12" s="2307"/>
      <c r="AG12" s="2307"/>
      <c r="AH12" s="2308"/>
      <c r="AI12" s="2306"/>
      <c r="AJ12" s="2307"/>
      <c r="AK12" s="2307"/>
      <c r="AL12" s="2307"/>
      <c r="AM12" s="2308"/>
    </row>
    <row r="13" spans="1:40" ht="13.2">
      <c r="B13" s="11"/>
      <c r="C13" s="2312" t="s">
        <v>1929</v>
      </c>
      <c r="D13" s="2313"/>
      <c r="E13" s="2313"/>
      <c r="F13" s="2313"/>
      <c r="G13" s="2313"/>
      <c r="H13" s="2313"/>
      <c r="I13" s="2313"/>
      <c r="J13" s="2313"/>
      <c r="K13" s="2313"/>
      <c r="L13" s="2313"/>
      <c r="M13" s="2313"/>
      <c r="N13" s="2313"/>
      <c r="O13" s="2313"/>
      <c r="P13" s="2313"/>
      <c r="Q13" s="2313"/>
      <c r="R13" s="2313"/>
      <c r="S13" s="2314"/>
      <c r="T13" s="2305">
        <f>'Basis &amp; Credits'!T13</f>
        <v>0</v>
      </c>
      <c r="U13" s="2302"/>
      <c r="V13" s="2302"/>
      <c r="W13" s="2302"/>
      <c r="X13" s="2302"/>
      <c r="Y13" s="2305">
        <f>'Basis &amp; Credits'!Y13</f>
        <v>0</v>
      </c>
      <c r="Z13" s="2302"/>
      <c r="AA13" s="2302"/>
      <c r="AB13" s="2302"/>
      <c r="AC13" s="2302"/>
      <c r="AD13" s="2302">
        <f>'Basis &amp; Credits'!AD13</f>
        <v>0</v>
      </c>
      <c r="AE13" s="2302"/>
      <c r="AF13" s="2302"/>
      <c r="AG13" s="2302"/>
      <c r="AH13" s="2302"/>
      <c r="AI13" s="2302">
        <f>'Basis &amp; Credits'!AI13</f>
        <v>0</v>
      </c>
      <c r="AJ13" s="2302"/>
      <c r="AK13" s="2302"/>
      <c r="AL13" s="2302"/>
      <c r="AM13" s="2302"/>
    </row>
    <row r="14" spans="1:40" ht="13.2">
      <c r="B14" s="11"/>
      <c r="C14" s="2313" t="s">
        <v>841</v>
      </c>
      <c r="D14" s="2313"/>
      <c r="E14" s="2313"/>
      <c r="F14" s="2313"/>
      <c r="G14" s="2313"/>
      <c r="H14" s="2313"/>
      <c r="I14" s="2313"/>
      <c r="J14" s="2313"/>
      <c r="K14" s="2313"/>
      <c r="L14" s="2313"/>
      <c r="M14" s="2313"/>
      <c r="N14" s="2313"/>
      <c r="O14" s="2313"/>
      <c r="P14" s="2313"/>
      <c r="Q14" s="2313"/>
      <c r="R14" s="2313"/>
      <c r="S14" s="2314"/>
      <c r="T14" s="1777">
        <f>'Basis &amp; Credits'!T14</f>
        <v>0</v>
      </c>
      <c r="U14" s="1811"/>
      <c r="V14" s="1811"/>
      <c r="W14" s="1811"/>
      <c r="X14" s="1811"/>
      <c r="Y14" s="1777">
        <f>'Basis &amp; Credits'!Y14</f>
        <v>0</v>
      </c>
      <c r="Z14" s="1811"/>
      <c r="AA14" s="1811"/>
      <c r="AB14" s="1811"/>
      <c r="AC14" s="1811"/>
      <c r="AD14" s="1811">
        <f>'Basis &amp; Credits'!AD14</f>
        <v>0</v>
      </c>
      <c r="AE14" s="1811"/>
      <c r="AF14" s="1811"/>
      <c r="AG14" s="1811"/>
      <c r="AH14" s="1811"/>
      <c r="AI14" s="1811">
        <f>'Basis &amp; Credits'!AI14</f>
        <v>0</v>
      </c>
      <c r="AJ14" s="1811"/>
      <c r="AK14" s="1811"/>
      <c r="AL14" s="1811"/>
      <c r="AM14" s="1811"/>
    </row>
    <row r="15" spans="1:40" ht="13.2">
      <c r="B15" s="11"/>
      <c r="C15" s="2313" t="s">
        <v>842</v>
      </c>
      <c r="D15" s="2313"/>
      <c r="E15" s="2313"/>
      <c r="F15" s="2313"/>
      <c r="G15" s="2313"/>
      <c r="H15" s="2313"/>
      <c r="I15" s="2313"/>
      <c r="J15" s="2313"/>
      <c r="K15" s="2313"/>
      <c r="L15" s="2313"/>
      <c r="M15" s="2313"/>
      <c r="N15" s="2313"/>
      <c r="O15" s="2313"/>
      <c r="P15" s="2313"/>
      <c r="Q15" s="2313"/>
      <c r="R15" s="2313"/>
      <c r="S15" s="2314"/>
      <c r="T15" s="1777">
        <f>'Basis &amp; Credits'!T15</f>
        <v>0</v>
      </c>
      <c r="U15" s="1811"/>
      <c r="V15" s="1811"/>
      <c r="W15" s="1811"/>
      <c r="X15" s="1811"/>
      <c r="Y15" s="1777">
        <f>'Basis &amp; Credits'!Y15</f>
        <v>0</v>
      </c>
      <c r="Z15" s="1811"/>
      <c r="AA15" s="1811"/>
      <c r="AB15" s="1811"/>
      <c r="AC15" s="1811"/>
      <c r="AD15" s="1811">
        <f>'Basis &amp; Credits'!AD15</f>
        <v>0</v>
      </c>
      <c r="AE15" s="1811"/>
      <c r="AF15" s="1811"/>
      <c r="AG15" s="1811"/>
      <c r="AH15" s="1811"/>
      <c r="AI15" s="1811">
        <f>'Basis &amp; Credits'!AI15</f>
        <v>0</v>
      </c>
      <c r="AJ15" s="1811"/>
      <c r="AK15" s="1811"/>
      <c r="AL15" s="1811"/>
      <c r="AM15" s="1811"/>
    </row>
    <row r="16" spans="1:40" ht="13.2">
      <c r="B16" s="11"/>
      <c r="C16" s="2312" t="s">
        <v>1117</v>
      </c>
      <c r="D16" s="2312"/>
      <c r="E16" s="2312"/>
      <c r="F16" s="2312"/>
      <c r="G16" s="2312"/>
      <c r="H16" s="2312"/>
      <c r="I16" s="2312"/>
      <c r="J16" s="2312"/>
      <c r="K16" s="2312"/>
      <c r="L16" s="2312"/>
      <c r="M16" s="2312"/>
      <c r="N16" s="2312"/>
      <c r="O16" s="2312"/>
      <c r="P16" s="2312"/>
      <c r="Q16" s="2312"/>
      <c r="R16" s="2312"/>
      <c r="S16" s="2315"/>
      <c r="T16" s="1777">
        <f>'Basis &amp; Credits'!T16</f>
        <v>0</v>
      </c>
      <c r="U16" s="1811"/>
      <c r="V16" s="1811"/>
      <c r="W16" s="1811"/>
      <c r="X16" s="1811"/>
      <c r="Y16" s="1777">
        <f>'Basis &amp; Credits'!Y16</f>
        <v>0</v>
      </c>
      <c r="Z16" s="1811"/>
      <c r="AA16" s="1811"/>
      <c r="AB16" s="1811"/>
      <c r="AC16" s="1811"/>
      <c r="AD16" s="1811">
        <f>'Basis &amp; Credits'!AD16</f>
        <v>0</v>
      </c>
      <c r="AE16" s="1811"/>
      <c r="AF16" s="1811"/>
      <c r="AG16" s="1811"/>
      <c r="AH16" s="1811"/>
      <c r="AI16" s="1811">
        <f>'Basis &amp; Credits'!AI16</f>
        <v>0</v>
      </c>
      <c r="AJ16" s="1811"/>
      <c r="AK16" s="1811"/>
      <c r="AL16" s="1811"/>
      <c r="AM16" s="1811"/>
    </row>
    <row r="17" spans="1:39" ht="13.2">
      <c r="B17" s="11"/>
      <c r="C17" s="2313" t="s">
        <v>843</v>
      </c>
      <c r="D17" s="2313"/>
      <c r="E17" s="2313"/>
      <c r="F17" s="2313"/>
      <c r="G17" s="2313"/>
      <c r="H17" s="2313"/>
      <c r="I17" s="2313"/>
      <c r="J17" s="2313"/>
      <c r="K17" s="2313"/>
      <c r="L17" s="2313"/>
      <c r="M17" s="2313"/>
      <c r="N17" s="2313"/>
      <c r="O17" s="2313"/>
      <c r="P17" s="2313"/>
      <c r="Q17" s="2313"/>
      <c r="R17" s="2313"/>
      <c r="S17" s="2314"/>
      <c r="T17" s="1777">
        <f>'Basis &amp; Credits'!T17</f>
        <v>0</v>
      </c>
      <c r="U17" s="1811"/>
      <c r="V17" s="1811"/>
      <c r="W17" s="1811"/>
      <c r="X17" s="1811"/>
      <c r="Y17" s="1777">
        <f>'Basis &amp; Credits'!Y17</f>
        <v>0</v>
      </c>
      <c r="Z17" s="1811"/>
      <c r="AA17" s="1811"/>
      <c r="AB17" s="1811"/>
      <c r="AC17" s="1811"/>
      <c r="AD17" s="1811">
        <f>'Basis &amp; Credits'!AD17</f>
        <v>0</v>
      </c>
      <c r="AE17" s="1811"/>
      <c r="AF17" s="1811"/>
      <c r="AG17" s="1811"/>
      <c r="AH17" s="1811"/>
      <c r="AI17" s="1811">
        <f>'Basis &amp; Credits'!AI17</f>
        <v>0</v>
      </c>
      <c r="AJ17" s="1811"/>
      <c r="AK17" s="1811"/>
      <c r="AL17" s="1811"/>
      <c r="AM17" s="1811"/>
    </row>
    <row r="18" spans="1:39" ht="13.2">
      <c r="B18" s="926"/>
      <c r="C18" s="2312" t="s">
        <v>1517</v>
      </c>
      <c r="D18" s="2313"/>
      <c r="E18" s="2313"/>
      <c r="F18" s="2313"/>
      <c r="G18" s="2313"/>
      <c r="H18" s="2313"/>
      <c r="I18" s="2313"/>
      <c r="J18" s="2313"/>
      <c r="K18" s="2313"/>
      <c r="L18" s="2313"/>
      <c r="M18" s="2313"/>
      <c r="N18" s="2313"/>
      <c r="O18" s="2313"/>
      <c r="P18" s="2313"/>
      <c r="Q18" s="2313"/>
      <c r="R18" s="2313"/>
      <c r="S18" s="2314"/>
      <c r="T18" s="1775">
        <f>'Basis &amp; Credits'!T18</f>
        <v>0</v>
      </c>
      <c r="U18" s="1776"/>
      <c r="V18" s="1776"/>
      <c r="W18" s="1776"/>
      <c r="X18" s="1777"/>
      <c r="Y18" s="1777">
        <f>'Basis &amp; Credits'!Y18</f>
        <v>0</v>
      </c>
      <c r="Z18" s="1811"/>
      <c r="AA18" s="1811"/>
      <c r="AB18" s="1811"/>
      <c r="AC18" s="1811"/>
      <c r="AD18" s="1811">
        <f>'Basis &amp; Credits'!AD18</f>
        <v>0</v>
      </c>
      <c r="AE18" s="1811"/>
      <c r="AF18" s="1811"/>
      <c r="AG18" s="1811"/>
      <c r="AH18" s="1811"/>
      <c r="AI18" s="1811">
        <f>'Basis &amp; Credits'!AI18</f>
        <v>0</v>
      </c>
      <c r="AJ18" s="1811"/>
      <c r="AK18" s="1811"/>
      <c r="AL18" s="1811"/>
      <c r="AM18" s="1811"/>
    </row>
    <row r="19" spans="1:39" ht="13.2">
      <c r="B19" s="766"/>
      <c r="C19" s="1875" t="str">
        <f>'Basis &amp; Credits'!C19:S19</f>
        <v>Subtract (specify other ineligible amounts):</v>
      </c>
      <c r="D19" s="1875"/>
      <c r="E19" s="1875"/>
      <c r="F19" s="1875"/>
      <c r="G19" s="1875"/>
      <c r="H19" s="1875"/>
      <c r="I19" s="1875"/>
      <c r="J19" s="1875"/>
      <c r="K19" s="1875"/>
      <c r="L19" s="1875"/>
      <c r="M19" s="1875"/>
      <c r="N19" s="1875"/>
      <c r="O19" s="1875"/>
      <c r="P19" s="1875"/>
      <c r="Q19" s="1875"/>
      <c r="R19" s="1875"/>
      <c r="S19" s="1876"/>
      <c r="T19" s="1777">
        <f>'Basis &amp; Credits'!T19</f>
        <v>0</v>
      </c>
      <c r="U19" s="1811"/>
      <c r="V19" s="1811"/>
      <c r="W19" s="1811"/>
      <c r="X19" s="1811"/>
      <c r="Y19" s="1777">
        <f>'Basis &amp; Credits'!Y19</f>
        <v>0</v>
      </c>
      <c r="Z19" s="1811"/>
      <c r="AA19" s="1811"/>
      <c r="AB19" s="1811"/>
      <c r="AC19" s="1811"/>
      <c r="AD19" s="1811">
        <f>'Basis &amp; Credits'!AD19</f>
        <v>0</v>
      </c>
      <c r="AE19" s="1811"/>
      <c r="AF19" s="1811"/>
      <c r="AG19" s="1811"/>
      <c r="AH19" s="1811"/>
      <c r="AI19" s="1811">
        <f>'Basis &amp; Credits'!AI19</f>
        <v>0</v>
      </c>
      <c r="AJ19" s="1811"/>
      <c r="AK19" s="1811"/>
      <c r="AL19" s="1811"/>
      <c r="AM19" s="1811"/>
    </row>
    <row r="20" spans="1:39" ht="13.2">
      <c r="B20" s="2276" t="s">
        <v>844</v>
      </c>
      <c r="C20" s="2277"/>
      <c r="D20" s="2277"/>
      <c r="E20" s="2277"/>
      <c r="F20" s="2277"/>
      <c r="G20" s="2277"/>
      <c r="H20" s="2277"/>
      <c r="I20" s="2277"/>
      <c r="J20" s="2277"/>
      <c r="K20" s="2277"/>
      <c r="L20" s="2277"/>
      <c r="M20" s="2277"/>
      <c r="N20" s="2277"/>
      <c r="O20" s="2277"/>
      <c r="P20" s="2277"/>
      <c r="Q20" s="2277"/>
      <c r="R20" s="2277"/>
      <c r="S20" s="2278"/>
      <c r="T20" s="2271">
        <f>SUM(T13:X19)</f>
        <v>0</v>
      </c>
      <c r="U20" s="2272"/>
      <c r="V20" s="2272"/>
      <c r="W20" s="2272"/>
      <c r="X20" s="2272"/>
      <c r="Y20" s="2271">
        <f>SUM(Y13:AC19)</f>
        <v>0</v>
      </c>
      <c r="Z20" s="2272"/>
      <c r="AA20" s="2272"/>
      <c r="AB20" s="2272"/>
      <c r="AC20" s="2272"/>
      <c r="AD20" s="2272">
        <f>SUM(AD13:AH19)</f>
        <v>0</v>
      </c>
      <c r="AE20" s="2272"/>
      <c r="AF20" s="2272"/>
      <c r="AG20" s="2272"/>
      <c r="AH20" s="2272"/>
      <c r="AI20" s="2272">
        <f>SUM(AI13:AM19)</f>
        <v>0</v>
      </c>
      <c r="AJ20" s="2272"/>
      <c r="AK20" s="2272"/>
      <c r="AL20" s="2272"/>
      <c r="AM20" s="2272"/>
    </row>
    <row r="21" spans="1:39" ht="13.2">
      <c r="B21" s="2276" t="s">
        <v>1928</v>
      </c>
      <c r="C21" s="2277"/>
      <c r="D21" s="2277"/>
      <c r="E21" s="2277"/>
      <c r="F21" s="2277"/>
      <c r="G21" s="2277"/>
      <c r="H21" s="2277"/>
      <c r="I21" s="2277"/>
      <c r="J21" s="2277"/>
      <c r="K21" s="2277"/>
      <c r="L21" s="2277"/>
      <c r="M21" s="2277"/>
      <c r="N21" s="2277"/>
      <c r="O21" s="2277"/>
      <c r="P21" s="2277"/>
      <c r="Q21" s="2277"/>
      <c r="R21" s="2277"/>
      <c r="S21" s="2278"/>
      <c r="T21" s="1777">
        <f>'Basis &amp; Credits'!E21</f>
        <v>0</v>
      </c>
      <c r="U21" s="1811"/>
      <c r="V21" s="1811"/>
      <c r="W21" s="1811"/>
      <c r="X21" s="1811"/>
      <c r="Y21" s="1777">
        <f>'Basis &amp; Credits'!J21</f>
        <v>0</v>
      </c>
      <c r="Z21" s="1811"/>
      <c r="AA21" s="1811"/>
      <c r="AB21" s="1811"/>
      <c r="AC21" s="1811"/>
      <c r="AD21" s="1811">
        <f>'Basis &amp; Credits'!O21</f>
        <v>0</v>
      </c>
      <c r="AE21" s="1811"/>
      <c r="AF21" s="1811"/>
      <c r="AG21" s="1811"/>
      <c r="AH21" s="1811"/>
      <c r="AI21" s="1811">
        <f>'Basis &amp; Credits'!T21</f>
        <v>13849855</v>
      </c>
      <c r="AJ21" s="1811"/>
      <c r="AK21" s="1811"/>
      <c r="AL21" s="1811"/>
      <c r="AM21" s="1811"/>
    </row>
    <row r="22" spans="1:39" ht="13.2">
      <c r="B22" s="2276" t="s">
        <v>845</v>
      </c>
      <c r="C22" s="2277"/>
      <c r="D22" s="2277"/>
      <c r="E22" s="2277"/>
      <c r="F22" s="2277"/>
      <c r="G22" s="2277"/>
      <c r="H22" s="2277"/>
      <c r="I22" s="2277"/>
      <c r="J22" s="2277"/>
      <c r="K22" s="2277"/>
      <c r="L22" s="2277"/>
      <c r="M22" s="2277"/>
      <c r="N22" s="2277"/>
      <c r="O22" s="2277"/>
      <c r="P22" s="2277"/>
      <c r="Q22" s="2277"/>
      <c r="R22" s="2277"/>
      <c r="S22" s="2278"/>
      <c r="T22" s="2317">
        <f>(T20+T21)*-1</f>
        <v>0</v>
      </c>
      <c r="U22" s="2318"/>
      <c r="V22" s="2318"/>
      <c r="W22" s="2318"/>
      <c r="X22" s="2318"/>
      <c r="Y22" s="2317">
        <f>(Y20+Y21)*-1</f>
        <v>0</v>
      </c>
      <c r="Z22" s="2318"/>
      <c r="AA22" s="2318"/>
      <c r="AB22" s="2318"/>
      <c r="AC22" s="2318"/>
      <c r="AD22" s="2317">
        <f>(AD20+AD21)*-1</f>
        <v>0</v>
      </c>
      <c r="AE22" s="2318"/>
      <c r="AF22" s="2318"/>
      <c r="AG22" s="2318"/>
      <c r="AH22" s="2318"/>
      <c r="AI22" s="2317">
        <f>(AI20+AI21)*-1</f>
        <v>-13849855</v>
      </c>
      <c r="AJ22" s="2318"/>
      <c r="AK22" s="2318"/>
      <c r="AL22" s="2318"/>
      <c r="AM22" s="2318"/>
    </row>
    <row r="23" spans="1:39" ht="13.2">
      <c r="A23" s="2"/>
      <c r="B23" s="2334" t="s">
        <v>846</v>
      </c>
      <c r="C23" s="2335"/>
      <c r="D23" s="2335"/>
      <c r="E23" s="2335"/>
      <c r="F23" s="2335"/>
      <c r="G23" s="2335"/>
      <c r="H23" s="2335"/>
      <c r="I23" s="2335"/>
      <c r="J23" s="2335"/>
      <c r="K23" s="2335"/>
      <c r="L23" s="2335"/>
      <c r="M23" s="2335"/>
      <c r="N23" s="2335"/>
      <c r="O23" s="2335"/>
      <c r="P23" s="2335"/>
      <c r="Q23" s="2335"/>
      <c r="R23" s="2335"/>
      <c r="S23" s="2336"/>
      <c r="T23" s="2271">
        <f>T11+T22</f>
        <v>38498808</v>
      </c>
      <c r="U23" s="2272"/>
      <c r="V23" s="2272"/>
      <c r="W23" s="2272"/>
      <c r="X23" s="2272"/>
      <c r="Y23" s="2271">
        <f>Y11+Y22</f>
        <v>0</v>
      </c>
      <c r="Z23" s="2272"/>
      <c r="AA23" s="2272"/>
      <c r="AB23" s="2272"/>
      <c r="AC23" s="2272"/>
      <c r="AD23" s="2271">
        <f>AD11+AD22</f>
        <v>0</v>
      </c>
      <c r="AE23" s="2272"/>
      <c r="AF23" s="2272"/>
      <c r="AG23" s="2272"/>
      <c r="AH23" s="2272"/>
      <c r="AI23" s="2271">
        <f>AI11+AI22</f>
        <v>-13849855</v>
      </c>
      <c r="AJ23" s="2272"/>
      <c r="AK23" s="2272"/>
      <c r="AL23" s="2272"/>
      <c r="AM23" s="2272"/>
    </row>
    <row r="24" spans="1:39" ht="13.2">
      <c r="B24" s="2276" t="s">
        <v>1349</v>
      </c>
      <c r="C24" s="2277"/>
      <c r="D24" s="2277"/>
      <c r="E24" s="2277"/>
      <c r="F24" s="2277"/>
      <c r="G24" s="2277"/>
      <c r="H24" s="2277"/>
      <c r="I24" s="2277"/>
      <c r="J24" s="2277"/>
      <c r="K24" s="2277"/>
      <c r="L24" s="2277"/>
      <c r="M24" s="2277"/>
      <c r="N24" s="2277"/>
      <c r="O24" s="2277"/>
      <c r="P24" s="2277"/>
      <c r="Q24" s="2277"/>
      <c r="R24" s="2277"/>
      <c r="S24" s="2278"/>
      <c r="T24" s="2337">
        <f>Application!AD993</f>
        <v>0</v>
      </c>
      <c r="U24" s="2338"/>
      <c r="V24" s="2338"/>
      <c r="W24" s="2338"/>
      <c r="X24" s="2338"/>
      <c r="Y24" s="2338"/>
      <c r="Z24" s="2338"/>
      <c r="AA24" s="2338"/>
      <c r="AB24" s="2338"/>
      <c r="AC24" s="2338"/>
      <c r="AD24" s="2338"/>
      <c r="AE24" s="2338"/>
      <c r="AF24" s="2338"/>
      <c r="AG24" s="2338"/>
      <c r="AH24" s="2338"/>
      <c r="AI24" s="2338"/>
      <c r="AJ24" s="2338"/>
      <c r="AK24" s="2338"/>
      <c r="AL24" s="2338"/>
      <c r="AM24" s="2271"/>
    </row>
    <row r="25" spans="1:39" ht="13.2">
      <c r="B25" s="2328" t="s">
        <v>1973</v>
      </c>
      <c r="C25" s="2329"/>
      <c r="D25" s="2329"/>
      <c r="E25" s="2329"/>
      <c r="F25" s="2329"/>
      <c r="G25" s="2329"/>
      <c r="H25" s="2329"/>
      <c r="I25" s="2329"/>
      <c r="J25" s="2329"/>
      <c r="K25" s="2329"/>
      <c r="L25" s="2329"/>
      <c r="M25" s="2329"/>
      <c r="N25" s="2329"/>
      <c r="O25" s="2329"/>
      <c r="P25" s="2329"/>
      <c r="Q25" s="2329"/>
      <c r="R25" s="2329"/>
      <c r="S25" s="2330"/>
      <c r="T25" s="2319">
        <v>1</v>
      </c>
      <c r="U25" s="2320"/>
      <c r="V25" s="2320"/>
      <c r="W25" s="2320"/>
      <c r="X25" s="2323"/>
      <c r="Y25" s="2319">
        <v>1</v>
      </c>
      <c r="Z25" s="2320"/>
      <c r="AA25" s="2320"/>
      <c r="AB25" s="2320"/>
      <c r="AC25" s="2323"/>
      <c r="AD25" s="2319">
        <v>1</v>
      </c>
      <c r="AE25" s="2320"/>
      <c r="AF25" s="2320"/>
      <c r="AG25" s="2320"/>
      <c r="AH25" s="2323"/>
      <c r="AI25" s="2319">
        <v>1</v>
      </c>
      <c r="AJ25" s="2320"/>
      <c r="AK25" s="2320"/>
      <c r="AL25" s="2320"/>
      <c r="AM25" s="2323"/>
    </row>
    <row r="26" spans="1:39" ht="13.2">
      <c r="B26" s="2276" t="s">
        <v>847</v>
      </c>
      <c r="C26" s="2277"/>
      <c r="D26" s="2277"/>
      <c r="E26" s="2277"/>
      <c r="F26" s="2277"/>
      <c r="G26" s="2277"/>
      <c r="H26" s="2277"/>
      <c r="I26" s="2277"/>
      <c r="J26" s="2277"/>
      <c r="K26" s="2277"/>
      <c r="L26" s="2277"/>
      <c r="M26" s="2277"/>
      <c r="N26" s="2277"/>
      <c r="O26" s="2277"/>
      <c r="P26" s="2277"/>
      <c r="Q26" s="2277"/>
      <c r="R26" s="2277"/>
      <c r="S26" s="2278"/>
      <c r="T26" s="2324">
        <f>T23*T25</f>
        <v>38498808</v>
      </c>
      <c r="U26" s="2325"/>
      <c r="V26" s="2325"/>
      <c r="W26" s="2325"/>
      <c r="X26" s="2325"/>
      <c r="Y26" s="2324">
        <f>Y23*Y25</f>
        <v>0</v>
      </c>
      <c r="Z26" s="2325"/>
      <c r="AA26" s="2325"/>
      <c r="AB26" s="2325"/>
      <c r="AC26" s="2325"/>
      <c r="AD26" s="2324">
        <f>AD23*AD25</f>
        <v>0</v>
      </c>
      <c r="AE26" s="2325"/>
      <c r="AF26" s="2325"/>
      <c r="AG26" s="2325"/>
      <c r="AH26" s="2325"/>
      <c r="AI26" s="2324">
        <f>AI23*AI25</f>
        <v>-13849855</v>
      </c>
      <c r="AJ26" s="2325"/>
      <c r="AK26" s="2325"/>
      <c r="AL26" s="2325"/>
      <c r="AM26" s="2325"/>
    </row>
    <row r="27" spans="1:39" ht="13.2">
      <c r="A27" s="7"/>
      <c r="B27" s="2331" t="s">
        <v>978</v>
      </c>
      <c r="C27" s="2332"/>
      <c r="D27" s="2332"/>
      <c r="E27" s="2332"/>
      <c r="F27" s="2332"/>
      <c r="G27" s="2332"/>
      <c r="H27" s="2332"/>
      <c r="I27" s="2332"/>
      <c r="J27" s="2332"/>
      <c r="K27" s="2332"/>
      <c r="L27" s="2332"/>
      <c r="M27" s="2332"/>
      <c r="N27" s="2332"/>
      <c r="O27" s="2332"/>
      <c r="P27" s="2332"/>
      <c r="Q27" s="2332"/>
      <c r="R27" s="2332"/>
      <c r="S27" s="2333"/>
      <c r="T27" s="2321">
        <f>Application!AG438</f>
        <v>1</v>
      </c>
      <c r="U27" s="2322"/>
      <c r="V27" s="2322"/>
      <c r="W27" s="2322"/>
      <c r="X27" s="2322"/>
      <c r="Y27" s="2321">
        <f>Application!AG438</f>
        <v>1</v>
      </c>
      <c r="Z27" s="2322"/>
      <c r="AA27" s="2322"/>
      <c r="AB27" s="2322"/>
      <c r="AC27" s="2322"/>
      <c r="AD27" s="2321">
        <f>Application!AG438</f>
        <v>1</v>
      </c>
      <c r="AE27" s="2322"/>
      <c r="AF27" s="2322"/>
      <c r="AG27" s="2322"/>
      <c r="AH27" s="2322"/>
      <c r="AI27" s="2321">
        <f>Application!AG438</f>
        <v>1</v>
      </c>
      <c r="AJ27" s="2322"/>
      <c r="AK27" s="2322"/>
      <c r="AL27" s="2322"/>
      <c r="AM27" s="2322"/>
    </row>
    <row r="28" spans="1:39" ht="12.75" customHeight="1">
      <c r="A28" s="6"/>
      <c r="B28" s="2276" t="s">
        <v>925</v>
      </c>
      <c r="C28" s="2277"/>
      <c r="D28" s="2277"/>
      <c r="E28" s="2277"/>
      <c r="F28" s="2277"/>
      <c r="G28" s="2277"/>
      <c r="H28" s="2277"/>
      <c r="I28" s="2277"/>
      <c r="J28" s="2277"/>
      <c r="K28" s="2277"/>
      <c r="L28" s="2277"/>
      <c r="M28" s="2277"/>
      <c r="N28" s="2277"/>
      <c r="O28" s="2277"/>
      <c r="P28" s="2277"/>
      <c r="Q28" s="2277"/>
      <c r="R28" s="2277"/>
      <c r="S28" s="2278"/>
      <c r="T28" s="1787">
        <f>IF(ISERROR((T26*T27)),0,(T26*T27))</f>
        <v>38498808</v>
      </c>
      <c r="U28" s="2293"/>
      <c r="V28" s="2293"/>
      <c r="W28" s="2293"/>
      <c r="X28" s="2293"/>
      <c r="Y28" s="1787">
        <f>IF(ISERROR((Y26*Y27)),0,(Y26*Y27))</f>
        <v>0</v>
      </c>
      <c r="Z28" s="2293"/>
      <c r="AA28" s="2293"/>
      <c r="AB28" s="2293"/>
      <c r="AC28" s="2293"/>
      <c r="AD28" s="1787">
        <f>IF(ISERROR((AD26*AD27)),0,(AD26*AD27))</f>
        <v>0</v>
      </c>
      <c r="AE28" s="2293"/>
      <c r="AF28" s="2293"/>
      <c r="AG28" s="2293"/>
      <c r="AH28" s="2293"/>
      <c r="AI28" s="1787">
        <f>IF(ISERROR((AI26*AI27)),0,(AI26*AI27))</f>
        <v>-13849855</v>
      </c>
      <c r="AJ28" s="2293"/>
      <c r="AK28" s="2293"/>
      <c r="AL28" s="2293"/>
      <c r="AM28" s="2293"/>
    </row>
    <row r="29" spans="1:39" ht="13.2">
      <c r="B29" s="2276" t="s">
        <v>689</v>
      </c>
      <c r="C29" s="2277"/>
      <c r="D29" s="2277"/>
      <c r="E29" s="2277"/>
      <c r="F29" s="2277"/>
      <c r="G29" s="2277"/>
      <c r="H29" s="2277"/>
      <c r="I29" s="2277"/>
      <c r="J29" s="2277"/>
      <c r="K29" s="2277"/>
      <c r="L29" s="2277"/>
      <c r="M29" s="2277"/>
      <c r="N29" s="2277"/>
      <c r="O29" s="2277"/>
      <c r="P29" s="2277"/>
      <c r="Q29" s="2277"/>
      <c r="R29" s="2277"/>
      <c r="S29" s="2278"/>
      <c r="T29" s="2337">
        <f>T28+Y28+AD28+AI28</f>
        <v>24648953</v>
      </c>
      <c r="U29" s="2338"/>
      <c r="V29" s="2338"/>
      <c r="W29" s="2338"/>
      <c r="X29" s="2338"/>
      <c r="Y29" s="2338"/>
      <c r="Z29" s="2338"/>
      <c r="AA29" s="2338"/>
      <c r="AB29" s="2338"/>
      <c r="AC29" s="2338"/>
      <c r="AD29" s="2338"/>
      <c r="AE29" s="2338"/>
      <c r="AF29" s="2338"/>
      <c r="AG29" s="2338"/>
      <c r="AH29" s="2338"/>
      <c r="AI29" s="2338"/>
      <c r="AJ29" s="2338"/>
      <c r="AK29" s="2338"/>
      <c r="AL29" s="2338"/>
      <c r="AM29" s="2271"/>
    </row>
    <row r="30" spans="1:39" ht="12.75" customHeight="1">
      <c r="B30" s="2718"/>
      <c r="C30" s="2718"/>
      <c r="D30" s="2718"/>
      <c r="E30" s="2718"/>
      <c r="F30" s="2718"/>
      <c r="G30" s="2718"/>
      <c r="H30" s="2718"/>
      <c r="I30" s="2718"/>
      <c r="J30" s="2718"/>
      <c r="K30" s="2718"/>
      <c r="L30" s="2718"/>
      <c r="M30" s="2718"/>
      <c r="N30" s="2718"/>
      <c r="O30" s="2718"/>
      <c r="P30" s="2718"/>
      <c r="Q30" s="2718"/>
      <c r="R30" s="2718"/>
      <c r="S30" s="2718"/>
      <c r="T30" s="2718"/>
      <c r="U30" s="2718"/>
      <c r="V30" s="2718"/>
      <c r="W30" s="2718"/>
      <c r="X30" s="2718"/>
      <c r="Y30" s="2718"/>
      <c r="Z30" s="2718"/>
      <c r="AA30" s="2718"/>
      <c r="AB30" s="2718"/>
      <c r="AC30" s="2718"/>
      <c r="AD30" s="2718"/>
      <c r="AE30" s="2718"/>
      <c r="AF30" s="2718"/>
      <c r="AG30" s="2718"/>
      <c r="AH30" s="2718"/>
      <c r="AI30" s="2718"/>
      <c r="AJ30" s="2718"/>
      <c r="AK30" s="2718"/>
      <c r="AL30" s="2718"/>
      <c r="AM30" s="2718"/>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9" t="s">
        <v>1810</v>
      </c>
      <c r="Z35" s="2279"/>
      <c r="AA35" s="2279"/>
      <c r="AB35" s="2279"/>
      <c r="AC35" s="2279"/>
      <c r="AD35" s="2261" t="s">
        <v>46</v>
      </c>
      <c r="AE35" s="2261"/>
      <c r="AF35" s="2261"/>
      <c r="AG35" s="2261"/>
      <c r="AH35" s="226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261"/>
      <c r="AE36" s="2261"/>
      <c r="AF36" s="2261"/>
      <c r="AG36" s="2261"/>
      <c r="AH36" s="2261"/>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261"/>
      <c r="AE37" s="2261"/>
      <c r="AF37" s="2261"/>
      <c r="AG37" s="2261"/>
      <c r="AH37" s="2261"/>
    </row>
    <row r="38" spans="1:40" ht="12.75" customHeight="1">
      <c r="A38" s="6"/>
      <c r="B38" s="2276" t="s">
        <v>925</v>
      </c>
      <c r="C38" s="2277"/>
      <c r="D38" s="2277"/>
      <c r="E38" s="2277"/>
      <c r="F38" s="2277"/>
      <c r="G38" s="2277"/>
      <c r="H38" s="2277"/>
      <c r="I38" s="2277"/>
      <c r="J38" s="2277"/>
      <c r="K38" s="2277"/>
      <c r="L38" s="2277"/>
      <c r="M38" s="2277"/>
      <c r="N38" s="2277"/>
      <c r="O38" s="2277"/>
      <c r="P38" s="2277"/>
      <c r="Q38" s="2277"/>
      <c r="R38" s="2277"/>
      <c r="S38" s="2277"/>
      <c r="T38" s="2277"/>
      <c r="U38" s="2277"/>
      <c r="V38" s="2277"/>
      <c r="W38" s="2277"/>
      <c r="X38" s="2278"/>
      <c r="Y38" s="2272">
        <f>IF(T24&gt;=(T23+Y23+AD23+AI23),T28+Y28,0)</f>
        <v>0</v>
      </c>
      <c r="Z38" s="2272"/>
      <c r="AA38" s="2272"/>
      <c r="AB38" s="2272"/>
      <c r="AC38" s="2272"/>
      <c r="AD38" s="2272">
        <f>IF(T24&gt;=(T23+Y23+AD23+AI23),AD28+AI28,0)</f>
        <v>0</v>
      </c>
      <c r="AE38" s="2272"/>
      <c r="AF38" s="2272"/>
      <c r="AG38" s="2272"/>
      <c r="AH38" s="2272"/>
    </row>
    <row r="39" spans="1:40" ht="13.2">
      <c r="B39" s="2276" t="s">
        <v>837</v>
      </c>
      <c r="C39" s="2277"/>
      <c r="D39" s="2277"/>
      <c r="E39" s="2277"/>
      <c r="F39" s="2277"/>
      <c r="G39" s="2277"/>
      <c r="H39" s="2277"/>
      <c r="I39" s="2277"/>
      <c r="J39" s="2277"/>
      <c r="K39" s="2277"/>
      <c r="L39" s="2277"/>
      <c r="M39" s="2277"/>
      <c r="N39" s="2277"/>
      <c r="O39" s="2277"/>
      <c r="P39" s="2277"/>
      <c r="Q39" s="2277"/>
      <c r="R39" s="2277"/>
      <c r="S39" s="2277"/>
      <c r="T39" s="2277"/>
      <c r="U39" s="2277"/>
      <c r="V39" s="2277"/>
      <c r="W39" s="2277"/>
      <c r="X39" s="2278"/>
      <c r="Y39" s="2270">
        <v>0.09</v>
      </c>
      <c r="Z39" s="2270"/>
      <c r="AA39" s="2270"/>
      <c r="AB39" s="2270"/>
      <c r="AC39" s="2270"/>
      <c r="AD39" s="2270">
        <f>'Basis &amp; Credits'!AD39:AH39</f>
        <v>0.04</v>
      </c>
      <c r="AE39" s="2270"/>
      <c r="AF39" s="2270"/>
      <c r="AG39" s="2270"/>
      <c r="AH39" s="2270"/>
    </row>
    <row r="40" spans="1:40" ht="12.75" customHeight="1">
      <c r="A40" s="6"/>
      <c r="B40" s="2276" t="s">
        <v>26</v>
      </c>
      <c r="C40" s="2277"/>
      <c r="D40" s="2277"/>
      <c r="E40" s="2277"/>
      <c r="F40" s="2277"/>
      <c r="G40" s="2277"/>
      <c r="H40" s="2277"/>
      <c r="I40" s="2277"/>
      <c r="J40" s="2277"/>
      <c r="K40" s="2277"/>
      <c r="L40" s="2277"/>
      <c r="M40" s="2277"/>
      <c r="N40" s="2277"/>
      <c r="O40" s="2277"/>
      <c r="P40" s="2277"/>
      <c r="Q40" s="2277"/>
      <c r="R40" s="2277"/>
      <c r="S40" s="2277"/>
      <c r="T40" s="2277"/>
      <c r="U40" s="2277"/>
      <c r="V40" s="2277"/>
      <c r="W40" s="2277"/>
      <c r="X40" s="2278"/>
      <c r="Y40" s="2272">
        <f>ROUND(Y38*Y39,0)</f>
        <v>0</v>
      </c>
      <c r="Z40" s="2272"/>
      <c r="AA40" s="2272"/>
      <c r="AB40" s="2272"/>
      <c r="AC40" s="2272"/>
      <c r="AD40" s="2271">
        <f>ROUND(AD38*AD39,0)</f>
        <v>0</v>
      </c>
      <c r="AE40" s="2272"/>
      <c r="AF40" s="2272"/>
      <c r="AG40" s="2272"/>
      <c r="AH40" s="2272"/>
    </row>
    <row r="41" spans="1:40" ht="13.2">
      <c r="B41" s="2276" t="s">
        <v>683</v>
      </c>
      <c r="C41" s="2277"/>
      <c r="D41" s="2277"/>
      <c r="E41" s="2277"/>
      <c r="F41" s="2277"/>
      <c r="G41" s="2277"/>
      <c r="H41" s="2277"/>
      <c r="I41" s="2277"/>
      <c r="J41" s="2277"/>
      <c r="K41" s="2277"/>
      <c r="L41" s="2277"/>
      <c r="M41" s="2277"/>
      <c r="N41" s="2277"/>
      <c r="O41" s="2277"/>
      <c r="P41" s="2277"/>
      <c r="Q41" s="2277"/>
      <c r="R41" s="2277"/>
      <c r="S41" s="2277"/>
      <c r="T41" s="2277"/>
      <c r="U41" s="2277"/>
      <c r="V41" s="2277"/>
      <c r="W41" s="2277"/>
      <c r="X41" s="2278"/>
      <c r="Y41" s="2273">
        <f>IF((Y40+AD40)&gt;2500000,2500000,Y40+AD40)</f>
        <v>0</v>
      </c>
      <c r="Z41" s="2274"/>
      <c r="AA41" s="2274"/>
      <c r="AB41" s="2274"/>
      <c r="AC41" s="2274"/>
      <c r="AD41" s="2274"/>
      <c r="AE41" s="2274"/>
      <c r="AF41" s="2274"/>
      <c r="AG41" s="2274"/>
      <c r="AH41" s="2275"/>
    </row>
    <row r="42" spans="1:40" ht="12.75" customHeight="1">
      <c r="A42" s="6"/>
      <c r="B42" s="2292" t="s">
        <v>1288</v>
      </c>
      <c r="C42" s="2292"/>
      <c r="D42" s="2292"/>
      <c r="E42" s="2292"/>
      <c r="F42" s="2292"/>
      <c r="G42" s="2292"/>
      <c r="H42" s="2292"/>
      <c r="I42" s="2292"/>
      <c r="J42" s="2292"/>
      <c r="K42" s="2292"/>
      <c r="L42" s="2292"/>
      <c r="M42" s="2292"/>
      <c r="N42" s="2292"/>
      <c r="O42" s="2292"/>
      <c r="P42" s="2292"/>
      <c r="Q42" s="2292"/>
      <c r="R42" s="2292"/>
      <c r="S42" s="2292"/>
      <c r="T42" s="2292"/>
      <c r="U42" s="2292"/>
      <c r="V42" s="2292"/>
      <c r="W42" s="2292"/>
      <c r="X42" s="2292"/>
      <c r="Y42" s="2292"/>
      <c r="Z42" s="2292"/>
      <c r="AA42" s="2292"/>
      <c r="AB42" s="2292"/>
      <c r="AC42" s="2292"/>
      <c r="AD42" s="2292"/>
      <c r="AE42" s="2292"/>
      <c r="AF42" s="2292"/>
      <c r="AG42" s="2292"/>
      <c r="AH42" s="2292"/>
      <c r="AI42" s="946"/>
      <c r="AJ42" s="946"/>
      <c r="AK42" s="946"/>
      <c r="AL42" s="946"/>
      <c r="AM42" s="946"/>
      <c r="AN42" s="946"/>
    </row>
    <row r="43" spans="1:40" ht="13.2">
      <c r="B43" s="930"/>
      <c r="C43" s="930"/>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row>
    <row r="44" spans="1:40" ht="13.2">
      <c r="A44" s="6"/>
      <c r="B44" s="930"/>
      <c r="C44" s="930"/>
      <c r="D44" s="930"/>
      <c r="E44" s="930"/>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row>
    <row r="45" spans="1:40" ht="13.2">
      <c r="A45" s="6" t="s">
        <v>131</v>
      </c>
      <c r="C45" s="6" t="s">
        <v>281</v>
      </c>
    </row>
    <row r="46" spans="1:40" ht="13.2">
      <c r="D46" s="6" t="s">
        <v>282</v>
      </c>
      <c r="AB46" s="2267">
        <f>'Sources and Uses Budget'!B104-'Sources and Uses Budget'!$B$15</f>
        <v>48114421</v>
      </c>
      <c r="AC46" s="2268"/>
      <c r="AD46" s="2268"/>
      <c r="AE46" s="2268"/>
      <c r="AF46" s="2269"/>
    </row>
    <row r="47" spans="1:40" ht="12.75" customHeight="1">
      <c r="D47" s="6" t="s">
        <v>919</v>
      </c>
      <c r="AB47" s="2267">
        <f>Application!AG644-MIN('Sources and Uses Budget'!B15,Application!AG385)</f>
        <v>0</v>
      </c>
      <c r="AC47" s="2268"/>
      <c r="AD47" s="2268"/>
      <c r="AE47" s="2268"/>
      <c r="AF47" s="2269"/>
    </row>
    <row r="48" spans="1:40" ht="13.2">
      <c r="D48" s="6" t="s">
        <v>422</v>
      </c>
      <c r="AB48" s="2267">
        <f>AB46-AB47</f>
        <v>48114421</v>
      </c>
      <c r="AC48" s="2268"/>
      <c r="AD48" s="2268"/>
      <c r="AE48" s="2268"/>
      <c r="AF48" s="2269"/>
    </row>
    <row r="49" spans="1:40" ht="13.2">
      <c r="D49" s="6" t="s">
        <v>958</v>
      </c>
      <c r="X49" s="2"/>
      <c r="Y49" s="2"/>
      <c r="Z49" s="2"/>
      <c r="AA49" s="409"/>
      <c r="AB49" s="2286"/>
      <c r="AC49" s="2287"/>
      <c r="AD49" s="2287"/>
      <c r="AE49" s="2287"/>
      <c r="AF49" s="2288"/>
    </row>
    <row r="50" spans="1:40" s="515" customFormat="1" ht="15" customHeight="1">
      <c r="A50" s="2"/>
      <c r="B50" s="2"/>
      <c r="C50" s="2"/>
      <c r="D50" s="272"/>
      <c r="E50" s="2297" t="s">
        <v>1505</v>
      </c>
      <c r="F50" s="2297"/>
      <c r="G50" s="2297"/>
      <c r="H50" s="2297"/>
      <c r="I50" s="2297"/>
      <c r="J50" s="2297"/>
      <c r="K50" s="2297"/>
      <c r="L50" s="2297"/>
      <c r="M50" s="2297"/>
      <c r="N50" s="2297"/>
      <c r="O50" s="2297"/>
      <c r="P50" s="2297"/>
      <c r="Q50" s="2297"/>
      <c r="R50" s="2297"/>
      <c r="S50" s="2297"/>
      <c r="T50" s="2297"/>
      <c r="U50" s="2297"/>
      <c r="V50" s="2297"/>
      <c r="W50" s="2297"/>
      <c r="X50" s="2297"/>
      <c r="Y50" s="2297"/>
      <c r="Z50" s="2297"/>
      <c r="AA50" s="775"/>
      <c r="AB50" s="775"/>
      <c r="AC50" s="775"/>
      <c r="AD50" s="775"/>
      <c r="AE50" s="775"/>
      <c r="AF50" s="775"/>
      <c r="AG50" s="2"/>
      <c r="AH50" s="2"/>
      <c r="AI50" s="2"/>
      <c r="AJ50" s="2"/>
      <c r="AK50" s="2"/>
      <c r="AL50" s="2"/>
      <c r="AM50" s="2"/>
      <c r="AN50" s="2"/>
    </row>
    <row r="51" spans="1:40" s="515" customFormat="1" ht="12" customHeight="1">
      <c r="A51" s="2"/>
      <c r="B51" s="2"/>
      <c r="C51" s="2"/>
      <c r="D51" s="272"/>
      <c r="E51" s="2297"/>
      <c r="F51" s="2297"/>
      <c r="G51" s="2297"/>
      <c r="H51" s="2297"/>
      <c r="I51" s="2297"/>
      <c r="J51" s="2297"/>
      <c r="K51" s="2297"/>
      <c r="L51" s="2297"/>
      <c r="M51" s="2297"/>
      <c r="N51" s="2297"/>
      <c r="O51" s="2297"/>
      <c r="P51" s="2297"/>
      <c r="Q51" s="2297"/>
      <c r="R51" s="2297"/>
      <c r="S51" s="2297"/>
      <c r="T51" s="2297"/>
      <c r="U51" s="2297"/>
      <c r="V51" s="2297"/>
      <c r="W51" s="2297"/>
      <c r="X51" s="2297"/>
      <c r="Y51" s="2297"/>
      <c r="Z51" s="2297"/>
      <c r="AA51" s="776"/>
      <c r="AB51" s="776"/>
      <c r="AC51" s="776"/>
      <c r="AD51" s="776"/>
      <c r="AE51" s="776"/>
      <c r="AF51" s="776"/>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7">
        <f>ROUND(IF(ISERROR((AB48/AB49)),0,(AB48/AB49)),0)</f>
        <v>0</v>
      </c>
      <c r="AC53" s="2268"/>
      <c r="AD53" s="2268"/>
      <c r="AE53" s="2268"/>
      <c r="AF53" s="2269"/>
    </row>
    <row r="54" spans="1:40" ht="12.75" customHeight="1">
      <c r="D54" s="6" t="s">
        <v>621</v>
      </c>
      <c r="AB54" s="2267">
        <f>(AB53/10)</f>
        <v>0</v>
      </c>
      <c r="AC54" s="2268"/>
      <c r="AD54" s="2268"/>
      <c r="AE54" s="2268"/>
      <c r="AF54" s="2269"/>
    </row>
    <row r="55" spans="1:40" ht="13.2">
      <c r="D55" s="6" t="s">
        <v>379</v>
      </c>
      <c r="AB55" s="2294">
        <f>(IF((Y41&lt;AB54),Y41,AB54))</f>
        <v>0</v>
      </c>
      <c r="AC55" s="2295"/>
      <c r="AD55" s="2295"/>
      <c r="AE55" s="2295"/>
      <c r="AF55" s="2296"/>
    </row>
    <row r="56" spans="1:40" ht="13.2">
      <c r="D56" s="6" t="s">
        <v>118</v>
      </c>
      <c r="AB56" s="2267">
        <f>ROUND((10*AB55*AB49),0)</f>
        <v>0</v>
      </c>
      <c r="AC56" s="2268"/>
      <c r="AD56" s="2268"/>
      <c r="AE56" s="2268"/>
      <c r="AF56" s="22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5">
        <f>AB48-AB56</f>
        <v>48114421</v>
      </c>
      <c r="AC58" s="2265"/>
      <c r="AD58" s="2265"/>
      <c r="AE58" s="2265"/>
      <c r="AF58" s="226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2" t="s">
        <v>1976</v>
      </c>
      <c r="B60" s="2262"/>
      <c r="C60" s="2262"/>
      <c r="D60" s="2262"/>
      <c r="E60" s="2262"/>
      <c r="F60" s="2262"/>
      <c r="G60" s="2262"/>
      <c r="H60" s="2262"/>
      <c r="I60" s="2262"/>
      <c r="J60" s="2262"/>
      <c r="K60" s="2262"/>
      <c r="L60" s="226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row>
    <row r="61" spans="1:40" ht="13.95" customHeight="1" thickTop="1">
      <c r="A61" s="2264"/>
      <c r="B61" s="2264"/>
      <c r="C61" s="2264"/>
      <c r="D61" s="2264"/>
      <c r="E61" s="2264"/>
      <c r="F61" s="2264"/>
      <c r="G61" s="2264"/>
      <c r="H61" s="2264"/>
      <c r="I61" s="2264"/>
      <c r="J61" s="2264"/>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66" t="s">
        <v>331</v>
      </c>
      <c r="Z62" s="2266"/>
      <c r="AA62" s="2266"/>
      <c r="AB62" s="2266"/>
      <c r="AC62" s="2266"/>
      <c r="AD62" s="2266" t="s">
        <v>46</v>
      </c>
      <c r="AE62" s="2266"/>
      <c r="AF62" s="2266"/>
      <c r="AG62" s="2266"/>
      <c r="AH62" s="2266"/>
      <c r="AI62" s="1"/>
      <c r="AJ62" s="1"/>
      <c r="AK62" s="1"/>
      <c r="AL62" s="1"/>
      <c r="AM62" s="1"/>
      <c r="AN62" s="1"/>
    </row>
    <row r="63" spans="1:40" ht="13.2">
      <c r="C63" s="330"/>
      <c r="D63" s="1263" t="s">
        <v>1374</v>
      </c>
      <c r="E63" s="799"/>
      <c r="F63" s="799"/>
      <c r="G63" s="799"/>
      <c r="H63" s="799"/>
      <c r="I63" s="799"/>
      <c r="J63" s="799"/>
      <c r="K63" s="799"/>
      <c r="L63" s="22"/>
      <c r="M63" s="22"/>
      <c r="N63" s="22"/>
      <c r="O63" s="22"/>
      <c r="P63" s="22"/>
      <c r="Q63" s="22"/>
      <c r="R63" s="22"/>
      <c r="S63" s="22"/>
      <c r="T63" s="22"/>
      <c r="U63" s="22"/>
      <c r="V63" s="22"/>
      <c r="W63" s="22"/>
      <c r="X63" s="22"/>
      <c r="Y63" s="1810">
        <f>Y28</f>
        <v>0</v>
      </c>
      <c r="Z63" s="2289"/>
      <c r="AA63" s="2289"/>
      <c r="AB63" s="2289"/>
      <c r="AC63" s="2289"/>
      <c r="AD63" s="1810">
        <f>AI28</f>
        <v>-13849855</v>
      </c>
      <c r="AE63" s="2289"/>
      <c r="AF63" s="2289"/>
      <c r="AG63" s="2289"/>
      <c r="AH63" s="2289"/>
    </row>
    <row r="64" spans="1:40" ht="15" customHeight="1">
      <c r="C64" s="6"/>
      <c r="E64" s="2263" t="s">
        <v>1425</v>
      </c>
      <c r="F64" s="2263"/>
      <c r="G64" s="2263"/>
      <c r="H64" s="2263"/>
      <c r="I64" s="2263"/>
      <c r="J64" s="2263"/>
      <c r="K64" s="2263"/>
      <c r="L64" s="2263"/>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row>
    <row r="65" spans="1:40" ht="24.45" customHeight="1">
      <c r="C65" s="6"/>
      <c r="E65" s="2263"/>
      <c r="F65" s="2263"/>
      <c r="G65" s="2263"/>
      <c r="H65" s="2263"/>
      <c r="I65" s="2263"/>
      <c r="J65" s="2263"/>
      <c r="K65" s="2263"/>
      <c r="L65" s="2263"/>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row>
    <row r="66" spans="1:40" ht="13.2">
      <c r="C66" s="6"/>
      <c r="D66" s="6" t="s">
        <v>219</v>
      </c>
      <c r="E66" s="1266"/>
      <c r="F66" s="1266"/>
      <c r="G66" s="1266"/>
      <c r="H66" s="1266"/>
      <c r="I66" s="1266"/>
      <c r="J66" s="1266"/>
      <c r="K66" s="1266"/>
      <c r="L66" s="1266"/>
      <c r="M66" s="1266"/>
      <c r="N66" s="1266"/>
      <c r="O66" s="1266"/>
      <c r="P66" s="1266"/>
      <c r="Q66" s="1266"/>
      <c r="R66" s="1266"/>
      <c r="S66" s="1266"/>
      <c r="T66" s="1266"/>
      <c r="U66" s="1266"/>
      <c r="V66" s="1266"/>
      <c r="W66" s="1266"/>
      <c r="X66" s="1266"/>
      <c r="Y66" s="2285">
        <v>0.3</v>
      </c>
      <c r="Z66" s="2285"/>
      <c r="AA66" s="2285"/>
      <c r="AB66" s="2285"/>
      <c r="AC66" s="2285"/>
      <c r="AD66" s="2285">
        <v>0.13</v>
      </c>
      <c r="AE66" s="2285"/>
      <c r="AF66" s="2285"/>
      <c r="AG66" s="2285"/>
      <c r="AH66" s="2285"/>
    </row>
    <row r="67" spans="1:40" ht="13.2">
      <c r="C67" s="6"/>
      <c r="D67" s="6" t="s">
        <v>1045</v>
      </c>
      <c r="Y67" s="1810">
        <f>ROUND(Y63*Y66,0)</f>
        <v>0</v>
      </c>
      <c r="Z67" s="2289"/>
      <c r="AA67" s="2289"/>
      <c r="AB67" s="2289"/>
      <c r="AC67" s="2289"/>
      <c r="AD67" s="1810" t="str">
        <f>IF(OR(Application!D211="At-Risk",Application!D211="At-Risk/Located in Rural Census Tract",Application!D214="At-Risk"),ROUND(AD63*AD66,0),"$0")</f>
        <v>$0</v>
      </c>
      <c r="AE67" s="2290"/>
      <c r="AF67" s="2290"/>
      <c r="AG67" s="2290"/>
      <c r="AH67" s="2290"/>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6"/>
      <c r="AC70" s="2287"/>
      <c r="AD70" s="2287"/>
      <c r="AE70" s="2287"/>
      <c r="AF70" s="2288"/>
      <c r="AG70" s="2"/>
      <c r="AH70" s="2"/>
      <c r="AI70" s="2"/>
      <c r="AJ70" s="2"/>
      <c r="AK70" s="2"/>
      <c r="AL70" s="2"/>
      <c r="AM70" s="2"/>
      <c r="AN70" s="2"/>
    </row>
    <row r="71" spans="1:40" ht="12.75" customHeight="1">
      <c r="A71" s="330"/>
      <c r="B71" s="2"/>
      <c r="C71" s="330"/>
      <c r="D71" s="330"/>
      <c r="E71" s="2291" t="s">
        <v>1971</v>
      </c>
      <c r="F71" s="2291"/>
      <c r="G71" s="2291"/>
      <c r="H71" s="2291"/>
      <c r="I71" s="2291"/>
      <c r="J71" s="2291"/>
      <c r="K71" s="2291"/>
      <c r="L71" s="2291"/>
      <c r="M71" s="2291"/>
      <c r="N71" s="2291"/>
      <c r="O71" s="2291"/>
      <c r="P71" s="2291"/>
      <c r="Q71" s="2291"/>
      <c r="R71" s="2291"/>
      <c r="S71" s="2291"/>
      <c r="T71" s="2291"/>
      <c r="U71" s="2291"/>
      <c r="V71" s="2291"/>
      <c r="W71" s="2291"/>
      <c r="X71" s="2291"/>
      <c r="Y71" s="2291"/>
      <c r="Z71" s="2291"/>
      <c r="AA71" s="800"/>
      <c r="AB71" s="800"/>
      <c r="AC71" s="800"/>
      <c r="AG71" s="2"/>
      <c r="AH71" s="2"/>
      <c r="AI71" s="2"/>
      <c r="AJ71" s="2"/>
      <c r="AK71" s="2"/>
      <c r="AL71" s="2"/>
      <c r="AM71" s="2"/>
      <c r="AN71" s="2"/>
    </row>
    <row r="72" spans="1:40" ht="12.75" customHeight="1">
      <c r="A72" s="330"/>
      <c r="B72" s="2"/>
      <c r="C72" s="330"/>
      <c r="D72" s="330"/>
      <c r="E72" s="2291"/>
      <c r="F72" s="2291"/>
      <c r="G72" s="2291"/>
      <c r="H72" s="2291"/>
      <c r="I72" s="2291"/>
      <c r="J72" s="2291"/>
      <c r="K72" s="2291"/>
      <c r="L72" s="2291"/>
      <c r="M72" s="2291"/>
      <c r="N72" s="2291"/>
      <c r="O72" s="2291"/>
      <c r="P72" s="2291"/>
      <c r="Q72" s="2291"/>
      <c r="R72" s="2291"/>
      <c r="S72" s="2291"/>
      <c r="T72" s="2291"/>
      <c r="U72" s="2291"/>
      <c r="V72" s="2291"/>
      <c r="W72" s="2291"/>
      <c r="X72" s="2291"/>
      <c r="Y72" s="2291"/>
      <c r="Z72" s="2291"/>
      <c r="AA72" s="800"/>
      <c r="AB72" s="800"/>
      <c r="AC72" s="800"/>
      <c r="AG72" s="2"/>
      <c r="AH72" s="2"/>
      <c r="AI72" s="2"/>
      <c r="AJ72" s="2"/>
      <c r="AK72" s="2"/>
      <c r="AL72" s="2"/>
      <c r="AM72" s="2"/>
      <c r="AN72" s="2"/>
    </row>
    <row r="73" spans="1:40" ht="12" customHeight="1">
      <c r="A73" s="330"/>
      <c r="B73" s="2"/>
      <c r="C73" s="330"/>
      <c r="D73" s="330"/>
      <c r="E73" s="2291"/>
      <c r="F73" s="2291"/>
      <c r="G73" s="2291"/>
      <c r="H73" s="2291"/>
      <c r="I73" s="2291"/>
      <c r="J73" s="2291"/>
      <c r="K73" s="2291"/>
      <c r="L73" s="2291"/>
      <c r="M73" s="2291"/>
      <c r="N73" s="2291"/>
      <c r="O73" s="2291"/>
      <c r="P73" s="2291"/>
      <c r="Q73" s="2291"/>
      <c r="R73" s="2291"/>
      <c r="S73" s="2291"/>
      <c r="T73" s="2291"/>
      <c r="U73" s="2291"/>
      <c r="V73" s="2291"/>
      <c r="W73" s="2291"/>
      <c r="X73" s="2291"/>
      <c r="Y73" s="2291"/>
      <c r="Z73" s="2291"/>
      <c r="AA73" s="800"/>
      <c r="AB73" s="800"/>
      <c r="AC73" s="800"/>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4"/>
      <c r="AG74" s="2"/>
      <c r="AH74" s="2"/>
      <c r="AI74" s="2"/>
      <c r="AJ74" s="2"/>
      <c r="AK74" s="2"/>
      <c r="AL74" s="2"/>
      <c r="AM74" s="2"/>
      <c r="AN74" s="2"/>
    </row>
    <row r="75" spans="1:40" ht="12" customHeight="1">
      <c r="C75" s="6"/>
      <c r="D75" s="6" t="s">
        <v>115</v>
      </c>
      <c r="AB75" s="2284">
        <f>ROUND(IF(ISERROR((AB58/AB70)),0,(AB58/AB70)),0)</f>
        <v>0</v>
      </c>
      <c r="AC75" s="2284"/>
      <c r="AD75" s="2284"/>
      <c r="AE75" s="2284"/>
      <c r="AF75" s="2284"/>
    </row>
    <row r="76" spans="1:40" ht="12.75" customHeight="1">
      <c r="C76" s="6"/>
      <c r="D76" s="6" t="s">
        <v>116</v>
      </c>
      <c r="AB76" s="2281">
        <f>IF((Y67+AD67&lt;AB75),Y67+AD67,AB75)</f>
        <v>0</v>
      </c>
      <c r="AC76" s="2282"/>
      <c r="AD76" s="2282"/>
      <c r="AE76" s="2282"/>
      <c r="AF76" s="2283"/>
    </row>
    <row r="77" spans="1:40" ht="12.75" customHeight="1">
      <c r="C77" s="6"/>
      <c r="D77" s="6" t="s">
        <v>1046</v>
      </c>
      <c r="AB77" s="2280">
        <f>AB76*AB70</f>
        <v>0</v>
      </c>
      <c r="AC77" s="2280"/>
      <c r="AD77" s="2280"/>
      <c r="AE77" s="2280"/>
      <c r="AF77" s="2280"/>
    </row>
    <row r="78" spans="1:40" ht="12.75" customHeight="1">
      <c r="C78" s="6"/>
      <c r="D78" s="6"/>
      <c r="AB78" s="931"/>
      <c r="AC78" s="931"/>
      <c r="AD78" s="931"/>
      <c r="AE78" s="931"/>
      <c r="AF78" s="931"/>
    </row>
    <row r="79" spans="1:40" ht="12.75" customHeight="1">
      <c r="A79" s="1"/>
      <c r="B79" s="1"/>
      <c r="C79" s="1"/>
      <c r="D79" s="6" t="s">
        <v>117</v>
      </c>
      <c r="AB79" s="2265">
        <f>AB48-(AB56+AB77)</f>
        <v>48114421</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29" sqref="T29:AM29"/>
    </sheetView>
  </sheetViews>
  <sheetFormatPr defaultColWidth="0" defaultRowHeight="0" customHeight="1" zeroHeight="1"/>
  <cols>
    <col min="1" max="1" width="1.44140625" style="1265" customWidth="1"/>
    <col min="2" max="2" width="0.6640625" style="1265" customWidth="1"/>
    <col min="3" max="18" width="2.44140625" style="1265" customWidth="1"/>
    <col min="19" max="19" width="4" style="1265" customWidth="1"/>
    <col min="20" max="39" width="2.44140625" style="1265" customWidth="1"/>
    <col min="40" max="40" width="1.44140625" style="1265" customWidth="1"/>
    <col min="41" max="16384" width="2.44140625" style="2" hidden="1"/>
  </cols>
  <sheetData>
    <row r="1" spans="1:40" ht="12.75" customHeight="1">
      <c r="A1" s="2299" t="s">
        <v>1506</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row>
    <row r="2" spans="1:40" ht="13.8" thickBot="1">
      <c r="A2" s="2301"/>
      <c r="B2" s="2301"/>
      <c r="C2" s="2301"/>
      <c r="D2" s="2301"/>
      <c r="E2" s="2301"/>
      <c r="F2" s="2301"/>
      <c r="G2" s="2301"/>
      <c r="H2" s="2301"/>
      <c r="I2" s="2301"/>
      <c r="J2" s="2301"/>
      <c r="K2" s="2301"/>
      <c r="L2" s="2301"/>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30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4"/>
      <c r="AA6" s="2"/>
    </row>
    <row r="7" spans="1:40" ht="13.95" customHeight="1">
      <c r="B7" s="9"/>
      <c r="C7" s="10"/>
      <c r="D7" s="10"/>
      <c r="E7" s="10"/>
      <c r="F7" s="10"/>
      <c r="G7" s="10"/>
      <c r="H7" s="10"/>
      <c r="I7" s="10"/>
      <c r="J7" s="10"/>
      <c r="K7" s="10"/>
      <c r="L7" s="10"/>
      <c r="M7" s="10"/>
      <c r="N7" s="10"/>
      <c r="O7" s="10"/>
      <c r="P7" s="10"/>
      <c r="Q7" s="10"/>
      <c r="R7" s="10"/>
      <c r="S7" s="10"/>
      <c r="T7" s="2279" t="s">
        <v>1811</v>
      </c>
      <c r="U7" s="2279"/>
      <c r="V7" s="2279"/>
      <c r="W7" s="2279"/>
      <c r="X7" s="2279"/>
      <c r="Y7" s="2279" t="s">
        <v>1974</v>
      </c>
      <c r="Z7" s="2279"/>
      <c r="AA7" s="2279"/>
      <c r="AB7" s="2279"/>
      <c r="AC7" s="2279"/>
      <c r="AD7" s="2279" t="s">
        <v>1512</v>
      </c>
      <c r="AE7" s="2279"/>
      <c r="AF7" s="2279"/>
      <c r="AG7" s="2279"/>
      <c r="AH7" s="2279"/>
      <c r="AI7" s="2279" t="s">
        <v>1975</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3.2">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7"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3.2">
      <c r="B11" s="2276" t="s">
        <v>566</v>
      </c>
      <c r="C11" s="2277"/>
      <c r="D11" s="2277"/>
      <c r="E11" s="2277"/>
      <c r="F11" s="2277"/>
      <c r="G11" s="2277"/>
      <c r="H11" s="2277"/>
      <c r="I11" s="2277"/>
      <c r="J11" s="2277"/>
      <c r="K11" s="2277"/>
      <c r="L11" s="2277"/>
      <c r="M11" s="2277"/>
      <c r="N11" s="2277"/>
      <c r="O11" s="2277"/>
      <c r="P11" s="2277"/>
      <c r="Q11" s="2277"/>
      <c r="R11" s="2277"/>
      <c r="S11" s="2278"/>
      <c r="T11" s="2316">
        <f>IF('Sources and Basis Breakdown'!F105=0,'Sources and Basis Breakdown'!E105,'Sources and Basis Breakdown'!F105)</f>
        <v>38498808</v>
      </c>
      <c r="U11" s="2304"/>
      <c r="V11" s="2304"/>
      <c r="W11" s="2304"/>
      <c r="X11" s="2304"/>
      <c r="Y11" s="2303">
        <f>IF('Sources and Basis Breakdown'!G105+'Sources and Basis Breakdown'!F105='Sources and Basis Breakdown'!E105,'Sources and Basis Breakdown'!G105,0)</f>
        <v>0</v>
      </c>
      <c r="Z11" s="2304"/>
      <c r="AA11" s="2304"/>
      <c r="AB11" s="2304"/>
      <c r="AC11" s="2304"/>
      <c r="AD11" s="2304">
        <f>IF('Sources and Basis Breakdown'!I105=0,'Sources and Basis Breakdown'!H105,'Sources and Basis Breakdown'!I105)</f>
        <v>0</v>
      </c>
      <c r="AE11" s="2304"/>
      <c r="AF11" s="2304"/>
      <c r="AG11" s="2304"/>
      <c r="AH11" s="2304"/>
      <c r="AI11" s="2304">
        <f>IF('Sources and Basis Breakdown'!I105+'Sources and Basis Breakdown'!J105='Sources and Basis Breakdown'!H105,'Sources and Basis Breakdown'!J105,0)</f>
        <v>0</v>
      </c>
      <c r="AJ11" s="2304"/>
      <c r="AK11" s="2304"/>
      <c r="AL11" s="2304"/>
      <c r="AM11" s="2304"/>
    </row>
    <row r="12" spans="1:40" ht="13.2">
      <c r="B12" s="2309" t="s">
        <v>496</v>
      </c>
      <c r="C12" s="2310"/>
      <c r="D12" s="2310"/>
      <c r="E12" s="2310"/>
      <c r="F12" s="2310"/>
      <c r="G12" s="2310"/>
      <c r="H12" s="2310"/>
      <c r="I12" s="2310"/>
      <c r="J12" s="2310"/>
      <c r="K12" s="2310"/>
      <c r="L12" s="2310"/>
      <c r="M12" s="2310"/>
      <c r="N12" s="2310"/>
      <c r="O12" s="2310"/>
      <c r="P12" s="2310"/>
      <c r="Q12" s="2310"/>
      <c r="R12" s="2310"/>
      <c r="S12" s="2311"/>
      <c r="T12" s="2306"/>
      <c r="U12" s="2307"/>
      <c r="V12" s="2307"/>
      <c r="W12" s="2307"/>
      <c r="X12" s="2308"/>
      <c r="Y12" s="2306"/>
      <c r="Z12" s="2307"/>
      <c r="AA12" s="2307"/>
      <c r="AB12" s="2307"/>
      <c r="AC12" s="2308"/>
      <c r="AD12" s="2306"/>
      <c r="AE12" s="2307"/>
      <c r="AF12" s="2307"/>
      <c r="AG12" s="2307"/>
      <c r="AH12" s="2308"/>
      <c r="AI12" s="2306"/>
      <c r="AJ12" s="2307"/>
      <c r="AK12" s="2307"/>
      <c r="AL12" s="2307"/>
      <c r="AM12" s="2308"/>
    </row>
    <row r="13" spans="1:40" ht="13.2">
      <c r="B13" s="11"/>
      <c r="C13" s="2312" t="s">
        <v>1929</v>
      </c>
      <c r="D13" s="2313"/>
      <c r="E13" s="2313"/>
      <c r="F13" s="2313"/>
      <c r="G13" s="2313"/>
      <c r="H13" s="2313"/>
      <c r="I13" s="2313"/>
      <c r="J13" s="2313"/>
      <c r="K13" s="2313"/>
      <c r="L13" s="2313"/>
      <c r="M13" s="2313"/>
      <c r="N13" s="2313"/>
      <c r="O13" s="2313"/>
      <c r="P13" s="2313"/>
      <c r="Q13" s="2313"/>
      <c r="R13" s="2313"/>
      <c r="S13" s="2314"/>
      <c r="T13" s="2305">
        <f>'Basis &amp; Credits'!T13</f>
        <v>0</v>
      </c>
      <c r="U13" s="2302"/>
      <c r="V13" s="2302"/>
      <c r="W13" s="2302"/>
      <c r="X13" s="2302"/>
      <c r="Y13" s="2305">
        <f>'Basis &amp; Credits'!Y13</f>
        <v>0</v>
      </c>
      <c r="Z13" s="2302"/>
      <c r="AA13" s="2302"/>
      <c r="AB13" s="2302"/>
      <c r="AC13" s="2302"/>
      <c r="AD13" s="2302">
        <f>'Basis &amp; Credits'!AD13</f>
        <v>0</v>
      </c>
      <c r="AE13" s="2302"/>
      <c r="AF13" s="2302"/>
      <c r="AG13" s="2302"/>
      <c r="AH13" s="2302"/>
      <c r="AI13" s="2302">
        <f>'Basis &amp; Credits'!AI13</f>
        <v>0</v>
      </c>
      <c r="AJ13" s="2302"/>
      <c r="AK13" s="2302"/>
      <c r="AL13" s="2302"/>
      <c r="AM13" s="2302"/>
    </row>
    <row r="14" spans="1:40" ht="13.2">
      <c r="B14" s="11"/>
      <c r="C14" s="2313" t="s">
        <v>841</v>
      </c>
      <c r="D14" s="2313"/>
      <c r="E14" s="2313"/>
      <c r="F14" s="2313"/>
      <c r="G14" s="2313"/>
      <c r="H14" s="2313"/>
      <c r="I14" s="2313"/>
      <c r="J14" s="2313"/>
      <c r="K14" s="2313"/>
      <c r="L14" s="2313"/>
      <c r="M14" s="2313"/>
      <c r="N14" s="2313"/>
      <c r="O14" s="2313"/>
      <c r="P14" s="2313"/>
      <c r="Q14" s="2313"/>
      <c r="R14" s="2313"/>
      <c r="S14" s="2314"/>
      <c r="T14" s="1777">
        <f>'Basis &amp; Credits'!T14</f>
        <v>0</v>
      </c>
      <c r="U14" s="1811"/>
      <c r="V14" s="1811"/>
      <c r="W14" s="1811"/>
      <c r="X14" s="1811"/>
      <c r="Y14" s="1777">
        <f>'Basis &amp; Credits'!Y14</f>
        <v>0</v>
      </c>
      <c r="Z14" s="1811"/>
      <c r="AA14" s="1811"/>
      <c r="AB14" s="1811"/>
      <c r="AC14" s="1811"/>
      <c r="AD14" s="1811">
        <f>'Basis &amp; Credits'!AD14</f>
        <v>0</v>
      </c>
      <c r="AE14" s="1811"/>
      <c r="AF14" s="1811"/>
      <c r="AG14" s="1811"/>
      <c r="AH14" s="1811"/>
      <c r="AI14" s="1811">
        <f>'Basis &amp; Credits'!AI14</f>
        <v>0</v>
      </c>
      <c r="AJ14" s="1811"/>
      <c r="AK14" s="1811"/>
      <c r="AL14" s="1811"/>
      <c r="AM14" s="1811"/>
    </row>
    <row r="15" spans="1:40" ht="13.2">
      <c r="B15" s="11"/>
      <c r="C15" s="2313" t="s">
        <v>842</v>
      </c>
      <c r="D15" s="2313"/>
      <c r="E15" s="2313"/>
      <c r="F15" s="2313"/>
      <c r="G15" s="2313"/>
      <c r="H15" s="2313"/>
      <c r="I15" s="2313"/>
      <c r="J15" s="2313"/>
      <c r="K15" s="2313"/>
      <c r="L15" s="2313"/>
      <c r="M15" s="2313"/>
      <c r="N15" s="2313"/>
      <c r="O15" s="2313"/>
      <c r="P15" s="2313"/>
      <c r="Q15" s="2313"/>
      <c r="R15" s="2313"/>
      <c r="S15" s="2314"/>
      <c r="T15" s="1777">
        <f>'Basis &amp; Credits'!T15</f>
        <v>0</v>
      </c>
      <c r="U15" s="1811"/>
      <c r="V15" s="1811"/>
      <c r="W15" s="1811"/>
      <c r="X15" s="1811"/>
      <c r="Y15" s="1777">
        <f>'Basis &amp; Credits'!Y15</f>
        <v>0</v>
      </c>
      <c r="Z15" s="1811"/>
      <c r="AA15" s="1811"/>
      <c r="AB15" s="1811"/>
      <c r="AC15" s="1811"/>
      <c r="AD15" s="1811">
        <f>'Basis &amp; Credits'!AD15</f>
        <v>0</v>
      </c>
      <c r="AE15" s="1811"/>
      <c r="AF15" s="1811"/>
      <c r="AG15" s="1811"/>
      <c r="AH15" s="1811"/>
      <c r="AI15" s="1811">
        <f>'Basis &amp; Credits'!AI15</f>
        <v>0</v>
      </c>
      <c r="AJ15" s="1811"/>
      <c r="AK15" s="1811"/>
      <c r="AL15" s="1811"/>
      <c r="AM15" s="1811"/>
    </row>
    <row r="16" spans="1:40" ht="13.2">
      <c r="B16" s="11"/>
      <c r="C16" s="2312" t="s">
        <v>1117</v>
      </c>
      <c r="D16" s="2312"/>
      <c r="E16" s="2312"/>
      <c r="F16" s="2312"/>
      <c r="G16" s="2312"/>
      <c r="H16" s="2312"/>
      <c r="I16" s="2312"/>
      <c r="J16" s="2312"/>
      <c r="K16" s="2312"/>
      <c r="L16" s="2312"/>
      <c r="M16" s="2312"/>
      <c r="N16" s="2312"/>
      <c r="O16" s="2312"/>
      <c r="P16" s="2312"/>
      <c r="Q16" s="2312"/>
      <c r="R16" s="2312"/>
      <c r="S16" s="2315"/>
      <c r="T16" s="1777">
        <f>'Basis &amp; Credits'!T16</f>
        <v>0</v>
      </c>
      <c r="U16" s="1811"/>
      <c r="V16" s="1811"/>
      <c r="W16" s="1811"/>
      <c r="X16" s="1811"/>
      <c r="Y16" s="1777">
        <f>'Basis &amp; Credits'!Y16</f>
        <v>0</v>
      </c>
      <c r="Z16" s="1811"/>
      <c r="AA16" s="1811"/>
      <c r="AB16" s="1811"/>
      <c r="AC16" s="1811"/>
      <c r="AD16" s="1811">
        <f>'Basis &amp; Credits'!AD16</f>
        <v>0</v>
      </c>
      <c r="AE16" s="1811"/>
      <c r="AF16" s="1811"/>
      <c r="AG16" s="1811"/>
      <c r="AH16" s="1811"/>
      <c r="AI16" s="1811">
        <f>'Basis &amp; Credits'!AI16</f>
        <v>0</v>
      </c>
      <c r="AJ16" s="1811"/>
      <c r="AK16" s="1811"/>
      <c r="AL16" s="1811"/>
      <c r="AM16" s="1811"/>
    </row>
    <row r="17" spans="1:39" ht="13.2">
      <c r="B17" s="11"/>
      <c r="C17" s="2313" t="s">
        <v>843</v>
      </c>
      <c r="D17" s="2313"/>
      <c r="E17" s="2313"/>
      <c r="F17" s="2313"/>
      <c r="G17" s="2313"/>
      <c r="H17" s="2313"/>
      <c r="I17" s="2313"/>
      <c r="J17" s="2313"/>
      <c r="K17" s="2313"/>
      <c r="L17" s="2313"/>
      <c r="M17" s="2313"/>
      <c r="N17" s="2313"/>
      <c r="O17" s="2313"/>
      <c r="P17" s="2313"/>
      <c r="Q17" s="2313"/>
      <c r="R17" s="2313"/>
      <c r="S17" s="2314"/>
      <c r="T17" s="1777">
        <f>'Basis &amp; Credits'!T17</f>
        <v>0</v>
      </c>
      <c r="U17" s="1811"/>
      <c r="V17" s="1811"/>
      <c r="W17" s="1811"/>
      <c r="X17" s="1811"/>
      <c r="Y17" s="1777">
        <f>'Basis &amp; Credits'!Y17</f>
        <v>0</v>
      </c>
      <c r="Z17" s="1811"/>
      <c r="AA17" s="1811"/>
      <c r="AB17" s="1811"/>
      <c r="AC17" s="1811"/>
      <c r="AD17" s="1811">
        <f>'Basis &amp; Credits'!AD17</f>
        <v>0</v>
      </c>
      <c r="AE17" s="1811"/>
      <c r="AF17" s="1811"/>
      <c r="AG17" s="1811"/>
      <c r="AH17" s="1811"/>
      <c r="AI17" s="1811">
        <f>'Basis &amp; Credits'!AI17</f>
        <v>0</v>
      </c>
      <c r="AJ17" s="1811"/>
      <c r="AK17" s="1811"/>
      <c r="AL17" s="1811"/>
      <c r="AM17" s="1811"/>
    </row>
    <row r="18" spans="1:39" ht="13.2">
      <c r="B18" s="926"/>
      <c r="C18" s="2312" t="s">
        <v>1517</v>
      </c>
      <c r="D18" s="2313"/>
      <c r="E18" s="2313"/>
      <c r="F18" s="2313"/>
      <c r="G18" s="2313"/>
      <c r="H18" s="2313"/>
      <c r="I18" s="2313"/>
      <c r="J18" s="2313"/>
      <c r="K18" s="2313"/>
      <c r="L18" s="2313"/>
      <c r="M18" s="2313"/>
      <c r="N18" s="2313"/>
      <c r="O18" s="2313"/>
      <c r="P18" s="2313"/>
      <c r="Q18" s="2313"/>
      <c r="R18" s="2313"/>
      <c r="S18" s="2314"/>
      <c r="T18" s="1775">
        <f>'Basis &amp; Credits'!T18</f>
        <v>0</v>
      </c>
      <c r="U18" s="1776"/>
      <c r="V18" s="1776"/>
      <c r="W18" s="1776"/>
      <c r="X18" s="1777"/>
      <c r="Y18" s="1777">
        <f>'Basis &amp; Credits'!Y18</f>
        <v>0</v>
      </c>
      <c r="Z18" s="1811"/>
      <c r="AA18" s="1811"/>
      <c r="AB18" s="1811"/>
      <c r="AC18" s="1811"/>
      <c r="AD18" s="1811">
        <f>'Basis &amp; Credits'!AD18</f>
        <v>0</v>
      </c>
      <c r="AE18" s="1811"/>
      <c r="AF18" s="1811"/>
      <c r="AG18" s="1811"/>
      <c r="AH18" s="1811"/>
      <c r="AI18" s="1811">
        <f>'Basis &amp; Credits'!AI18</f>
        <v>0</v>
      </c>
      <c r="AJ18" s="1811"/>
      <c r="AK18" s="1811"/>
      <c r="AL18" s="1811"/>
      <c r="AM18" s="1811"/>
    </row>
    <row r="19" spans="1:39" ht="13.2">
      <c r="B19" s="766"/>
      <c r="C19" s="1875" t="str">
        <f>'Basis &amp; Credits'!C19:S19</f>
        <v>Subtract (specify other ineligible amounts):</v>
      </c>
      <c r="D19" s="1875"/>
      <c r="E19" s="1875"/>
      <c r="F19" s="1875"/>
      <c r="G19" s="1875"/>
      <c r="H19" s="1875"/>
      <c r="I19" s="1875"/>
      <c r="J19" s="1875"/>
      <c r="K19" s="1875"/>
      <c r="L19" s="1875"/>
      <c r="M19" s="1875"/>
      <c r="N19" s="1875"/>
      <c r="O19" s="1875"/>
      <c r="P19" s="1875"/>
      <c r="Q19" s="1875"/>
      <c r="R19" s="1875"/>
      <c r="S19" s="1876"/>
      <c r="T19" s="1777">
        <f>'Basis &amp; Credits'!T19</f>
        <v>0</v>
      </c>
      <c r="U19" s="1811"/>
      <c r="V19" s="1811"/>
      <c r="W19" s="1811"/>
      <c r="X19" s="1811"/>
      <c r="Y19" s="1777">
        <f>'Basis &amp; Credits'!Y19</f>
        <v>0</v>
      </c>
      <c r="Z19" s="1811"/>
      <c r="AA19" s="1811"/>
      <c r="AB19" s="1811"/>
      <c r="AC19" s="1811"/>
      <c r="AD19" s="1811">
        <f>'Basis &amp; Credits'!AD19</f>
        <v>0</v>
      </c>
      <c r="AE19" s="1811"/>
      <c r="AF19" s="1811"/>
      <c r="AG19" s="1811"/>
      <c r="AH19" s="1811"/>
      <c r="AI19" s="1811">
        <f>'Basis &amp; Credits'!AI19</f>
        <v>0</v>
      </c>
      <c r="AJ19" s="1811"/>
      <c r="AK19" s="1811"/>
      <c r="AL19" s="1811"/>
      <c r="AM19" s="1811"/>
    </row>
    <row r="20" spans="1:39" ht="13.2">
      <c r="B20" s="2276" t="s">
        <v>844</v>
      </c>
      <c r="C20" s="2277"/>
      <c r="D20" s="2277"/>
      <c r="E20" s="2277"/>
      <c r="F20" s="2277"/>
      <c r="G20" s="2277"/>
      <c r="H20" s="2277"/>
      <c r="I20" s="2277"/>
      <c r="J20" s="2277"/>
      <c r="K20" s="2277"/>
      <c r="L20" s="2277"/>
      <c r="M20" s="2277"/>
      <c r="N20" s="2277"/>
      <c r="O20" s="2277"/>
      <c r="P20" s="2277"/>
      <c r="Q20" s="2277"/>
      <c r="R20" s="2277"/>
      <c r="S20" s="2278"/>
      <c r="T20" s="2271">
        <f>SUM(T13:X19)</f>
        <v>0</v>
      </c>
      <c r="U20" s="2272"/>
      <c r="V20" s="2272"/>
      <c r="W20" s="2272"/>
      <c r="X20" s="2272"/>
      <c r="Y20" s="2271">
        <f>SUM(Y13:AC19)</f>
        <v>0</v>
      </c>
      <c r="Z20" s="2272"/>
      <c r="AA20" s="2272"/>
      <c r="AB20" s="2272"/>
      <c r="AC20" s="2272"/>
      <c r="AD20" s="2272">
        <f>SUM(AD13:AH19)</f>
        <v>0</v>
      </c>
      <c r="AE20" s="2272"/>
      <c r="AF20" s="2272"/>
      <c r="AG20" s="2272"/>
      <c r="AH20" s="2272"/>
      <c r="AI20" s="2272">
        <f>SUM(AI13:AM19)</f>
        <v>0</v>
      </c>
      <c r="AJ20" s="2272"/>
      <c r="AK20" s="2272"/>
      <c r="AL20" s="2272"/>
      <c r="AM20" s="2272"/>
    </row>
    <row r="21" spans="1:39" ht="13.2">
      <c r="B21" s="2276" t="s">
        <v>1928</v>
      </c>
      <c r="C21" s="2277"/>
      <c r="D21" s="2277"/>
      <c r="E21" s="2277"/>
      <c r="F21" s="2277"/>
      <c r="G21" s="2277"/>
      <c r="H21" s="2277"/>
      <c r="I21" s="2277"/>
      <c r="J21" s="2277"/>
      <c r="K21" s="2277"/>
      <c r="L21" s="2277"/>
      <c r="M21" s="2277"/>
      <c r="N21" s="2277"/>
      <c r="O21" s="2277"/>
      <c r="P21" s="2277"/>
      <c r="Q21" s="2277"/>
      <c r="R21" s="2277"/>
      <c r="S21" s="2278"/>
      <c r="T21" s="1777">
        <f>'Basis &amp; Credits'!T21</f>
        <v>13849855</v>
      </c>
      <c r="U21" s="1811"/>
      <c r="V21" s="1811"/>
      <c r="W21" s="1811"/>
      <c r="X21" s="1811"/>
      <c r="Y21" s="1777">
        <f>'Basis &amp; Credits'!Y21</f>
        <v>0</v>
      </c>
      <c r="Z21" s="1811"/>
      <c r="AA21" s="1811"/>
      <c r="AB21" s="1811"/>
      <c r="AC21" s="1811"/>
      <c r="AD21" s="1811">
        <f>'Basis &amp; Credits'!AD21</f>
        <v>0</v>
      </c>
      <c r="AE21" s="1811"/>
      <c r="AF21" s="1811"/>
      <c r="AG21" s="1811"/>
      <c r="AH21" s="1811"/>
      <c r="AI21" s="1811">
        <f>'Basis &amp; Credits'!AI21</f>
        <v>0</v>
      </c>
      <c r="AJ21" s="1811"/>
      <c r="AK21" s="1811"/>
      <c r="AL21" s="1811"/>
      <c r="AM21" s="1811"/>
    </row>
    <row r="22" spans="1:39" ht="13.2">
      <c r="B22" s="2276" t="s">
        <v>845</v>
      </c>
      <c r="C22" s="2277"/>
      <c r="D22" s="2277"/>
      <c r="E22" s="2277"/>
      <c r="F22" s="2277"/>
      <c r="G22" s="2277"/>
      <c r="H22" s="2277"/>
      <c r="I22" s="2277"/>
      <c r="J22" s="2277"/>
      <c r="K22" s="2277"/>
      <c r="L22" s="2277"/>
      <c r="M22" s="2277"/>
      <c r="N22" s="2277"/>
      <c r="O22" s="2277"/>
      <c r="P22" s="2277"/>
      <c r="Q22" s="2277"/>
      <c r="R22" s="2277"/>
      <c r="S22" s="2278"/>
      <c r="T22" s="2317">
        <f>(T20+T21)*-1</f>
        <v>-13849855</v>
      </c>
      <c r="U22" s="2318"/>
      <c r="V22" s="2318"/>
      <c r="W22" s="2318"/>
      <c r="X22" s="2318"/>
      <c r="Y22" s="2317">
        <f>(Y20+Y21)*-1</f>
        <v>0</v>
      </c>
      <c r="Z22" s="2318"/>
      <c r="AA22" s="2318"/>
      <c r="AB22" s="2318"/>
      <c r="AC22" s="2318"/>
      <c r="AD22" s="2317">
        <f>(AD20+AD21)*-1</f>
        <v>0</v>
      </c>
      <c r="AE22" s="2318"/>
      <c r="AF22" s="2318"/>
      <c r="AG22" s="2318"/>
      <c r="AH22" s="2318"/>
      <c r="AI22" s="2317">
        <f>(AI20+AI21)*-1</f>
        <v>0</v>
      </c>
      <c r="AJ22" s="2318"/>
      <c r="AK22" s="2318"/>
      <c r="AL22" s="2318"/>
      <c r="AM22" s="2318"/>
    </row>
    <row r="23" spans="1:39" ht="13.2">
      <c r="A23" s="2"/>
      <c r="B23" s="2334" t="s">
        <v>846</v>
      </c>
      <c r="C23" s="2335"/>
      <c r="D23" s="2335"/>
      <c r="E23" s="2335"/>
      <c r="F23" s="2335"/>
      <c r="G23" s="2335"/>
      <c r="H23" s="2335"/>
      <c r="I23" s="2335"/>
      <c r="J23" s="2335"/>
      <c r="K23" s="2335"/>
      <c r="L23" s="2335"/>
      <c r="M23" s="2335"/>
      <c r="N23" s="2335"/>
      <c r="O23" s="2335"/>
      <c r="P23" s="2335"/>
      <c r="Q23" s="2335"/>
      <c r="R23" s="2335"/>
      <c r="S23" s="2336"/>
      <c r="T23" s="2271">
        <f>T11+T22</f>
        <v>24648953</v>
      </c>
      <c r="U23" s="2272"/>
      <c r="V23" s="2272"/>
      <c r="W23" s="2272"/>
      <c r="X23" s="2272"/>
      <c r="Y23" s="2271">
        <f>Y11+Y22</f>
        <v>0</v>
      </c>
      <c r="Z23" s="2272"/>
      <c r="AA23" s="2272"/>
      <c r="AB23" s="2272"/>
      <c r="AC23" s="2272"/>
      <c r="AD23" s="2271">
        <f>AD11+AD22</f>
        <v>0</v>
      </c>
      <c r="AE23" s="2272"/>
      <c r="AF23" s="2272"/>
      <c r="AG23" s="2272"/>
      <c r="AH23" s="2272"/>
      <c r="AI23" s="2271">
        <f>AI11+AI22</f>
        <v>0</v>
      </c>
      <c r="AJ23" s="2272"/>
      <c r="AK23" s="2272"/>
      <c r="AL23" s="2272"/>
      <c r="AM23" s="2272"/>
    </row>
    <row r="24" spans="1:39" ht="13.2">
      <c r="B24" s="2276" t="s">
        <v>1349</v>
      </c>
      <c r="C24" s="2277"/>
      <c r="D24" s="2277"/>
      <c r="E24" s="2277"/>
      <c r="F24" s="2277"/>
      <c r="G24" s="2277"/>
      <c r="H24" s="2277"/>
      <c r="I24" s="2277"/>
      <c r="J24" s="2277"/>
      <c r="K24" s="2277"/>
      <c r="L24" s="2277"/>
      <c r="M24" s="2277"/>
      <c r="N24" s="2277"/>
      <c r="O24" s="2277"/>
      <c r="P24" s="2277"/>
      <c r="Q24" s="2277"/>
      <c r="R24" s="2277"/>
      <c r="S24" s="2278"/>
      <c r="T24" s="2337">
        <f>Application!AD993</f>
        <v>0</v>
      </c>
      <c r="U24" s="2338"/>
      <c r="V24" s="2338"/>
      <c r="W24" s="2338"/>
      <c r="X24" s="2338"/>
      <c r="Y24" s="2338"/>
      <c r="Z24" s="2338"/>
      <c r="AA24" s="2338"/>
      <c r="AB24" s="2338"/>
      <c r="AC24" s="2338"/>
      <c r="AD24" s="2338"/>
      <c r="AE24" s="2338"/>
      <c r="AF24" s="2338"/>
      <c r="AG24" s="2338"/>
      <c r="AH24" s="2338"/>
      <c r="AI24" s="2338"/>
      <c r="AJ24" s="2338"/>
      <c r="AK24" s="2338"/>
      <c r="AL24" s="2338"/>
      <c r="AM24" s="2271"/>
    </row>
    <row r="25" spans="1:39" ht="13.2">
      <c r="B25" s="2328" t="s">
        <v>1973</v>
      </c>
      <c r="C25" s="2329"/>
      <c r="D25" s="2329"/>
      <c r="E25" s="2329"/>
      <c r="F25" s="2329"/>
      <c r="G25" s="2329"/>
      <c r="H25" s="2329"/>
      <c r="I25" s="2329"/>
      <c r="J25" s="2329"/>
      <c r="K25" s="2329"/>
      <c r="L25" s="2329"/>
      <c r="M25" s="2329"/>
      <c r="N25" s="2329"/>
      <c r="O25" s="2329"/>
      <c r="P25" s="2329"/>
      <c r="Q25" s="2329"/>
      <c r="R25" s="2329"/>
      <c r="S25" s="2330"/>
      <c r="T25" s="2319">
        <v>1</v>
      </c>
      <c r="U25" s="2320"/>
      <c r="V25" s="2320"/>
      <c r="W25" s="2320"/>
      <c r="X25" s="2320"/>
      <c r="Y25" s="2319">
        <v>1</v>
      </c>
      <c r="Z25" s="2320"/>
      <c r="AA25" s="2320"/>
      <c r="AB25" s="2320"/>
      <c r="AC25" s="2323"/>
      <c r="AD25" s="2319">
        <v>1</v>
      </c>
      <c r="AE25" s="2320"/>
      <c r="AF25" s="2320"/>
      <c r="AG25" s="2320"/>
      <c r="AH25" s="2323"/>
      <c r="AI25" s="2319">
        <v>1</v>
      </c>
      <c r="AJ25" s="2320"/>
      <c r="AK25" s="2320"/>
      <c r="AL25" s="2320"/>
      <c r="AM25" s="2323"/>
    </row>
    <row r="26" spans="1:39" ht="13.2">
      <c r="B26" s="2276" t="s">
        <v>847</v>
      </c>
      <c r="C26" s="2277"/>
      <c r="D26" s="2277"/>
      <c r="E26" s="2277"/>
      <c r="F26" s="2277"/>
      <c r="G26" s="2277"/>
      <c r="H26" s="2277"/>
      <c r="I26" s="2277"/>
      <c r="J26" s="2277"/>
      <c r="K26" s="2277"/>
      <c r="L26" s="2277"/>
      <c r="M26" s="2277"/>
      <c r="N26" s="2277"/>
      <c r="O26" s="2277"/>
      <c r="P26" s="2277"/>
      <c r="Q26" s="2277"/>
      <c r="R26" s="2277"/>
      <c r="S26" s="2278"/>
      <c r="T26" s="2324">
        <f>T23*T25</f>
        <v>24648953</v>
      </c>
      <c r="U26" s="2325"/>
      <c r="V26" s="2325"/>
      <c r="W26" s="2325"/>
      <c r="X26" s="2325"/>
      <c r="Y26" s="2324">
        <f>Y23*Y25</f>
        <v>0</v>
      </c>
      <c r="Z26" s="2325"/>
      <c r="AA26" s="2325"/>
      <c r="AB26" s="2325"/>
      <c r="AC26" s="2325"/>
      <c r="AD26" s="2324">
        <f>AD23*AD25</f>
        <v>0</v>
      </c>
      <c r="AE26" s="2325"/>
      <c r="AF26" s="2325"/>
      <c r="AG26" s="2325"/>
      <c r="AH26" s="2325"/>
      <c r="AI26" s="2324">
        <f>AI23*AI25</f>
        <v>0</v>
      </c>
      <c r="AJ26" s="2325"/>
      <c r="AK26" s="2325"/>
      <c r="AL26" s="2325"/>
      <c r="AM26" s="2325"/>
    </row>
    <row r="27" spans="1:39" ht="13.2">
      <c r="A27" s="7"/>
      <c r="B27" s="2331" t="s">
        <v>978</v>
      </c>
      <c r="C27" s="2332"/>
      <c r="D27" s="2332"/>
      <c r="E27" s="2332"/>
      <c r="F27" s="2332"/>
      <c r="G27" s="2332"/>
      <c r="H27" s="2332"/>
      <c r="I27" s="2332"/>
      <c r="J27" s="2332"/>
      <c r="K27" s="2332"/>
      <c r="L27" s="2332"/>
      <c r="M27" s="2332"/>
      <c r="N27" s="2332"/>
      <c r="O27" s="2332"/>
      <c r="P27" s="2332"/>
      <c r="Q27" s="2332"/>
      <c r="R27" s="2332"/>
      <c r="S27" s="2333"/>
      <c r="T27" s="2321">
        <f>Application!AG438</f>
        <v>1</v>
      </c>
      <c r="U27" s="2322"/>
      <c r="V27" s="2322"/>
      <c r="W27" s="2322"/>
      <c r="X27" s="2322"/>
      <c r="Y27" s="2321">
        <f>Application!AG438</f>
        <v>1</v>
      </c>
      <c r="Z27" s="2322"/>
      <c r="AA27" s="2322"/>
      <c r="AB27" s="2322"/>
      <c r="AC27" s="2322"/>
      <c r="AD27" s="2321">
        <f>Application!AG438</f>
        <v>1</v>
      </c>
      <c r="AE27" s="2322"/>
      <c r="AF27" s="2322"/>
      <c r="AG27" s="2322"/>
      <c r="AH27" s="2322"/>
      <c r="AI27" s="2321">
        <f>Application!AG438</f>
        <v>1</v>
      </c>
      <c r="AJ27" s="2322"/>
      <c r="AK27" s="2322"/>
      <c r="AL27" s="2322"/>
      <c r="AM27" s="2322"/>
    </row>
    <row r="28" spans="1:39" ht="12.75" customHeight="1">
      <c r="A28" s="6"/>
      <c r="B28" s="2276" t="s">
        <v>925</v>
      </c>
      <c r="C28" s="2277"/>
      <c r="D28" s="2277"/>
      <c r="E28" s="2277"/>
      <c r="F28" s="2277"/>
      <c r="G28" s="2277"/>
      <c r="H28" s="2277"/>
      <c r="I28" s="2277"/>
      <c r="J28" s="2277"/>
      <c r="K28" s="2277"/>
      <c r="L28" s="2277"/>
      <c r="M28" s="2277"/>
      <c r="N28" s="2277"/>
      <c r="O28" s="2277"/>
      <c r="P28" s="2277"/>
      <c r="Q28" s="2277"/>
      <c r="R28" s="2277"/>
      <c r="S28" s="2278"/>
      <c r="T28" s="1787">
        <f>IF(ISERROR((T26*T27)),0,(T26*T27))</f>
        <v>24648953</v>
      </c>
      <c r="U28" s="2293"/>
      <c r="V28" s="2293"/>
      <c r="W28" s="2293"/>
      <c r="X28" s="2293"/>
      <c r="Y28" s="1787">
        <f>IF(ISERROR((Y26*Y27)),0,(Y26*Y27))</f>
        <v>0</v>
      </c>
      <c r="Z28" s="2293"/>
      <c r="AA28" s="2293"/>
      <c r="AB28" s="2293"/>
      <c r="AC28" s="2293"/>
      <c r="AD28" s="1787">
        <f>IF(ISERROR((AD26*AD27)),0,(AD26*AD27))</f>
        <v>0</v>
      </c>
      <c r="AE28" s="2293"/>
      <c r="AF28" s="2293"/>
      <c r="AG28" s="2293"/>
      <c r="AH28" s="2293"/>
      <c r="AI28" s="1787">
        <f>IF(ISERROR((AI26*AI27)),0,(AI26*AI27))</f>
        <v>0</v>
      </c>
      <c r="AJ28" s="2293"/>
      <c r="AK28" s="2293"/>
      <c r="AL28" s="2293"/>
      <c r="AM28" s="2293"/>
    </row>
    <row r="29" spans="1:39" ht="13.2">
      <c r="B29" s="2276" t="s">
        <v>689</v>
      </c>
      <c r="C29" s="2277"/>
      <c r="D29" s="2277"/>
      <c r="E29" s="2277"/>
      <c r="F29" s="2277"/>
      <c r="G29" s="2277"/>
      <c r="H29" s="2277"/>
      <c r="I29" s="2277"/>
      <c r="J29" s="2277"/>
      <c r="K29" s="2277"/>
      <c r="L29" s="2277"/>
      <c r="M29" s="2277"/>
      <c r="N29" s="2277"/>
      <c r="O29" s="2277"/>
      <c r="P29" s="2277"/>
      <c r="Q29" s="2277"/>
      <c r="R29" s="2277"/>
      <c r="S29" s="2278"/>
      <c r="T29" s="2337">
        <f>T28+Y28+AD28+AI28</f>
        <v>24648953</v>
      </c>
      <c r="U29" s="2338"/>
      <c r="V29" s="2338"/>
      <c r="W29" s="2338"/>
      <c r="X29" s="2338"/>
      <c r="Y29" s="2338"/>
      <c r="Z29" s="2338"/>
      <c r="AA29" s="2338"/>
      <c r="AB29" s="2338"/>
      <c r="AC29" s="2338"/>
      <c r="AD29" s="2338"/>
      <c r="AE29" s="2338"/>
      <c r="AF29" s="2338"/>
      <c r="AG29" s="2338"/>
      <c r="AH29" s="2338"/>
      <c r="AI29" s="2338"/>
      <c r="AJ29" s="2338"/>
      <c r="AK29" s="2338"/>
      <c r="AL29" s="2338"/>
      <c r="AM29" s="2271"/>
    </row>
    <row r="30" spans="1:39" ht="12.75" customHeight="1">
      <c r="B30" s="2718"/>
      <c r="C30" s="2718"/>
      <c r="D30" s="2718"/>
      <c r="E30" s="2718"/>
      <c r="F30" s="2718"/>
      <c r="G30" s="2718"/>
      <c r="H30" s="2718"/>
      <c r="I30" s="2718"/>
      <c r="J30" s="2718"/>
      <c r="K30" s="2718"/>
      <c r="L30" s="2718"/>
      <c r="M30" s="2718"/>
      <c r="N30" s="2718"/>
      <c r="O30" s="2718"/>
      <c r="P30" s="2718"/>
      <c r="Q30" s="2718"/>
      <c r="R30" s="2718"/>
      <c r="S30" s="2718"/>
      <c r="T30" s="2718"/>
      <c r="U30" s="2718"/>
      <c r="V30" s="2718"/>
      <c r="W30" s="2718"/>
      <c r="X30" s="2718"/>
      <c r="Y30" s="2718"/>
      <c r="Z30" s="2718"/>
      <c r="AA30" s="2718"/>
      <c r="AB30" s="2718"/>
      <c r="AC30" s="2718"/>
      <c r="AD30" s="2718"/>
      <c r="AE30" s="2718"/>
      <c r="AF30" s="2718"/>
      <c r="AG30" s="2718"/>
      <c r="AH30" s="2718"/>
      <c r="AI30" s="2718"/>
      <c r="AJ30" s="2718"/>
      <c r="AK30" s="2718"/>
      <c r="AL30" s="2718"/>
      <c r="AM30" s="2718"/>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79" t="s">
        <v>1810</v>
      </c>
      <c r="Z35" s="2279"/>
      <c r="AA35" s="2279"/>
      <c r="AB35" s="2279"/>
      <c r="AC35" s="2279"/>
      <c r="AD35" s="2261" t="s">
        <v>46</v>
      </c>
      <c r="AE35" s="2261"/>
      <c r="AF35" s="2261"/>
      <c r="AG35" s="2261"/>
      <c r="AH35" s="226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261"/>
      <c r="AE36" s="2261"/>
      <c r="AF36" s="2261"/>
      <c r="AG36" s="2261"/>
      <c r="AH36" s="2261"/>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261"/>
      <c r="AE37" s="2261"/>
      <c r="AF37" s="2261"/>
      <c r="AG37" s="2261"/>
      <c r="AH37" s="2261"/>
    </row>
    <row r="38" spans="1:40" ht="12.75" customHeight="1">
      <c r="A38" s="6"/>
      <c r="B38" s="2276" t="s">
        <v>925</v>
      </c>
      <c r="C38" s="2277"/>
      <c r="D38" s="2277"/>
      <c r="E38" s="2277"/>
      <c r="F38" s="2277"/>
      <c r="G38" s="2277"/>
      <c r="H38" s="2277"/>
      <c r="I38" s="2277"/>
      <c r="J38" s="2277"/>
      <c r="K38" s="2277"/>
      <c r="L38" s="2277"/>
      <c r="M38" s="2277"/>
      <c r="N38" s="2277"/>
      <c r="O38" s="2277"/>
      <c r="P38" s="2277"/>
      <c r="Q38" s="2277"/>
      <c r="R38" s="2277"/>
      <c r="S38" s="2277"/>
      <c r="T38" s="2277"/>
      <c r="U38" s="2277"/>
      <c r="V38" s="2277"/>
      <c r="W38" s="2277"/>
      <c r="X38" s="2278"/>
      <c r="Y38" s="2272">
        <f>IF(T24&gt;=(T23+Y23+AD23+AI23),T28+Y28,0)</f>
        <v>0</v>
      </c>
      <c r="Z38" s="2272"/>
      <c r="AA38" s="2272"/>
      <c r="AB38" s="2272"/>
      <c r="AC38" s="2272"/>
      <c r="AD38" s="2272">
        <f>IF(T24&gt;=(T23+Y23+AD23+AI23),AD28+AI28,0)</f>
        <v>0</v>
      </c>
      <c r="AE38" s="2272"/>
      <c r="AF38" s="2272"/>
      <c r="AG38" s="2272"/>
      <c r="AH38" s="2272"/>
    </row>
    <row r="39" spans="1:40" ht="13.2">
      <c r="B39" s="2276" t="s">
        <v>837</v>
      </c>
      <c r="C39" s="2277"/>
      <c r="D39" s="2277"/>
      <c r="E39" s="2277"/>
      <c r="F39" s="2277"/>
      <c r="G39" s="2277"/>
      <c r="H39" s="2277"/>
      <c r="I39" s="2277"/>
      <c r="J39" s="2277"/>
      <c r="K39" s="2277"/>
      <c r="L39" s="2277"/>
      <c r="M39" s="2277"/>
      <c r="N39" s="2277"/>
      <c r="O39" s="2277"/>
      <c r="P39" s="2277"/>
      <c r="Q39" s="2277"/>
      <c r="R39" s="2277"/>
      <c r="S39" s="2277"/>
      <c r="T39" s="2277"/>
      <c r="U39" s="2277"/>
      <c r="V39" s="2277"/>
      <c r="W39" s="2277"/>
      <c r="X39" s="2278"/>
      <c r="Y39" s="2270">
        <v>0.09</v>
      </c>
      <c r="Z39" s="2270"/>
      <c r="AA39" s="2270"/>
      <c r="AB39" s="2270"/>
      <c r="AC39" s="2270"/>
      <c r="AD39" s="2270">
        <f>'Basis &amp; Credits'!AD39:AH39</f>
        <v>0.04</v>
      </c>
      <c r="AE39" s="2270"/>
      <c r="AF39" s="2270"/>
      <c r="AG39" s="2270"/>
      <c r="AH39" s="2270"/>
    </row>
    <row r="40" spans="1:40" ht="12.75" customHeight="1">
      <c r="A40" s="6"/>
      <c r="B40" s="2276" t="s">
        <v>26</v>
      </c>
      <c r="C40" s="2277"/>
      <c r="D40" s="2277"/>
      <c r="E40" s="2277"/>
      <c r="F40" s="2277"/>
      <c r="G40" s="2277"/>
      <c r="H40" s="2277"/>
      <c r="I40" s="2277"/>
      <c r="J40" s="2277"/>
      <c r="K40" s="2277"/>
      <c r="L40" s="2277"/>
      <c r="M40" s="2277"/>
      <c r="N40" s="2277"/>
      <c r="O40" s="2277"/>
      <c r="P40" s="2277"/>
      <c r="Q40" s="2277"/>
      <c r="R40" s="2277"/>
      <c r="S40" s="2277"/>
      <c r="T40" s="2277"/>
      <c r="U40" s="2277"/>
      <c r="V40" s="2277"/>
      <c r="W40" s="2277"/>
      <c r="X40" s="2278"/>
      <c r="Y40" s="2272">
        <f>ROUND(Y38*Y39,0)</f>
        <v>0</v>
      </c>
      <c r="Z40" s="2272"/>
      <c r="AA40" s="2272"/>
      <c r="AB40" s="2272"/>
      <c r="AC40" s="2272"/>
      <c r="AD40" s="2271">
        <f>ROUND(AD38*AD39,0)</f>
        <v>0</v>
      </c>
      <c r="AE40" s="2272"/>
      <c r="AF40" s="2272"/>
      <c r="AG40" s="2272"/>
      <c r="AH40" s="2272"/>
    </row>
    <row r="41" spans="1:40" ht="13.2">
      <c r="B41" s="2276" t="s">
        <v>683</v>
      </c>
      <c r="C41" s="2277"/>
      <c r="D41" s="2277"/>
      <c r="E41" s="2277"/>
      <c r="F41" s="2277"/>
      <c r="G41" s="2277"/>
      <c r="H41" s="2277"/>
      <c r="I41" s="2277"/>
      <c r="J41" s="2277"/>
      <c r="K41" s="2277"/>
      <c r="L41" s="2277"/>
      <c r="M41" s="2277"/>
      <c r="N41" s="2277"/>
      <c r="O41" s="2277"/>
      <c r="P41" s="2277"/>
      <c r="Q41" s="2277"/>
      <c r="R41" s="2277"/>
      <c r="S41" s="2277"/>
      <c r="T41" s="2277"/>
      <c r="U41" s="2277"/>
      <c r="V41" s="2277"/>
      <c r="W41" s="2277"/>
      <c r="X41" s="2278"/>
      <c r="Y41" s="2273">
        <f>IF((Y40+AD40)&gt;2500000,2500000,Y40+AD40)</f>
        <v>0</v>
      </c>
      <c r="Z41" s="2274"/>
      <c r="AA41" s="2274"/>
      <c r="AB41" s="2274"/>
      <c r="AC41" s="2274"/>
      <c r="AD41" s="2274"/>
      <c r="AE41" s="2274"/>
      <c r="AF41" s="2274"/>
      <c r="AG41" s="2274"/>
      <c r="AH41" s="2275"/>
    </row>
    <row r="42" spans="1:40" ht="12.75" customHeight="1">
      <c r="A42" s="6"/>
      <c r="B42" s="2292" t="s">
        <v>1288</v>
      </c>
      <c r="C42" s="2292"/>
      <c r="D42" s="2292"/>
      <c r="E42" s="2292"/>
      <c r="F42" s="2292"/>
      <c r="G42" s="2292"/>
      <c r="H42" s="2292"/>
      <c r="I42" s="2292"/>
      <c r="J42" s="2292"/>
      <c r="K42" s="2292"/>
      <c r="L42" s="2292"/>
      <c r="M42" s="2292"/>
      <c r="N42" s="2292"/>
      <c r="O42" s="2292"/>
      <c r="P42" s="2292"/>
      <c r="Q42" s="2292"/>
      <c r="R42" s="2292"/>
      <c r="S42" s="2292"/>
      <c r="T42" s="2292"/>
      <c r="U42" s="2292"/>
      <c r="V42" s="2292"/>
      <c r="W42" s="2292"/>
      <c r="X42" s="2292"/>
      <c r="Y42" s="2292"/>
      <c r="Z42" s="2292"/>
      <c r="AA42" s="2292"/>
      <c r="AB42" s="2292"/>
      <c r="AC42" s="2292"/>
      <c r="AD42" s="2292"/>
      <c r="AE42" s="2292"/>
      <c r="AF42" s="2292"/>
      <c r="AG42" s="2292"/>
      <c r="AH42" s="2292"/>
      <c r="AI42" s="946"/>
      <c r="AJ42" s="946"/>
      <c r="AK42" s="946"/>
      <c r="AL42" s="946"/>
      <c r="AM42" s="946"/>
      <c r="AN42" s="946"/>
    </row>
    <row r="43" spans="1:40" ht="13.2">
      <c r="B43" s="930"/>
      <c r="C43" s="930"/>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row>
    <row r="44" spans="1:40" ht="13.2">
      <c r="A44" s="6"/>
      <c r="B44" s="930"/>
      <c r="C44" s="930"/>
      <c r="D44" s="930"/>
      <c r="E44" s="930"/>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row>
    <row r="45" spans="1:40" ht="13.2">
      <c r="A45" s="6" t="s">
        <v>131</v>
      </c>
      <c r="C45" s="6" t="s">
        <v>281</v>
      </c>
    </row>
    <row r="46" spans="1:40" ht="13.2">
      <c r="D46" s="6" t="s">
        <v>282</v>
      </c>
      <c r="AB46" s="2267">
        <f>'Sources and Uses Budget'!B104-'Sources and Uses Budget'!$B$15</f>
        <v>48114421</v>
      </c>
      <c r="AC46" s="2268"/>
      <c r="AD46" s="2268"/>
      <c r="AE46" s="2268"/>
      <c r="AF46" s="2269"/>
    </row>
    <row r="47" spans="1:40" ht="12.75" customHeight="1">
      <c r="D47" s="6" t="s">
        <v>919</v>
      </c>
      <c r="AB47" s="2267">
        <f>Application!AG644-MIN('Sources and Uses Budget'!B15,Application!AG385)</f>
        <v>0</v>
      </c>
      <c r="AC47" s="2268"/>
      <c r="AD47" s="2268"/>
      <c r="AE47" s="2268"/>
      <c r="AF47" s="2269"/>
    </row>
    <row r="48" spans="1:40" ht="13.2">
      <c r="D48" s="6" t="s">
        <v>422</v>
      </c>
      <c r="AB48" s="2267">
        <f>AB46-AB47</f>
        <v>48114421</v>
      </c>
      <c r="AC48" s="2268"/>
      <c r="AD48" s="2268"/>
      <c r="AE48" s="2268"/>
      <c r="AF48" s="2269"/>
    </row>
    <row r="49" spans="1:40" ht="13.2">
      <c r="D49" s="6" t="s">
        <v>958</v>
      </c>
      <c r="X49" s="2"/>
      <c r="Y49" s="2"/>
      <c r="Z49" s="2"/>
      <c r="AA49" s="409"/>
      <c r="AB49" s="2286"/>
      <c r="AC49" s="2287"/>
      <c r="AD49" s="2287"/>
      <c r="AE49" s="2287"/>
      <c r="AF49" s="2288"/>
    </row>
    <row r="50" spans="1:40" s="515" customFormat="1" ht="15" customHeight="1">
      <c r="A50" s="2"/>
      <c r="B50" s="2"/>
      <c r="C50" s="2"/>
      <c r="D50" s="272"/>
      <c r="E50" s="2297" t="s">
        <v>1505</v>
      </c>
      <c r="F50" s="2297"/>
      <c r="G50" s="2297"/>
      <c r="H50" s="2297"/>
      <c r="I50" s="2297"/>
      <c r="J50" s="2297"/>
      <c r="K50" s="2297"/>
      <c r="L50" s="2297"/>
      <c r="M50" s="2297"/>
      <c r="N50" s="2297"/>
      <c r="O50" s="2297"/>
      <c r="P50" s="2297"/>
      <c r="Q50" s="2297"/>
      <c r="R50" s="2297"/>
      <c r="S50" s="2297"/>
      <c r="T50" s="2297"/>
      <c r="U50" s="2297"/>
      <c r="V50" s="2297"/>
      <c r="W50" s="2297"/>
      <c r="X50" s="2297"/>
      <c r="Y50" s="2297"/>
      <c r="Z50" s="2297"/>
      <c r="AA50" s="775"/>
      <c r="AB50" s="775"/>
      <c r="AC50" s="775"/>
      <c r="AD50" s="775"/>
      <c r="AE50" s="775"/>
      <c r="AF50" s="775"/>
      <c r="AG50" s="2"/>
      <c r="AH50" s="2"/>
      <c r="AI50" s="2"/>
      <c r="AJ50" s="2"/>
      <c r="AK50" s="2"/>
      <c r="AL50" s="2"/>
      <c r="AM50" s="2"/>
      <c r="AN50" s="2"/>
    </row>
    <row r="51" spans="1:40" s="515" customFormat="1" ht="12" customHeight="1">
      <c r="A51" s="2"/>
      <c r="B51" s="2"/>
      <c r="C51" s="2"/>
      <c r="D51" s="272"/>
      <c r="E51" s="2297"/>
      <c r="F51" s="2297"/>
      <c r="G51" s="2297"/>
      <c r="H51" s="2297"/>
      <c r="I51" s="2297"/>
      <c r="J51" s="2297"/>
      <c r="K51" s="2297"/>
      <c r="L51" s="2297"/>
      <c r="M51" s="2297"/>
      <c r="N51" s="2297"/>
      <c r="O51" s="2297"/>
      <c r="P51" s="2297"/>
      <c r="Q51" s="2297"/>
      <c r="R51" s="2297"/>
      <c r="S51" s="2297"/>
      <c r="T51" s="2297"/>
      <c r="U51" s="2297"/>
      <c r="V51" s="2297"/>
      <c r="W51" s="2297"/>
      <c r="X51" s="2297"/>
      <c r="Y51" s="2297"/>
      <c r="Z51" s="2297"/>
      <c r="AA51" s="776"/>
      <c r="AB51" s="776"/>
      <c r="AC51" s="776"/>
      <c r="AD51" s="776"/>
      <c r="AE51" s="776"/>
      <c r="AF51" s="776"/>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7">
        <f>ROUND(IF(ISERROR((AB48/AB49)),0,(AB48/AB49)),0)</f>
        <v>0</v>
      </c>
      <c r="AC53" s="2268"/>
      <c r="AD53" s="2268"/>
      <c r="AE53" s="2268"/>
      <c r="AF53" s="2269"/>
    </row>
    <row r="54" spans="1:40" ht="12.75" customHeight="1">
      <c r="D54" s="6" t="s">
        <v>621</v>
      </c>
      <c r="AB54" s="2267">
        <f>(AB53/10)</f>
        <v>0</v>
      </c>
      <c r="AC54" s="2268"/>
      <c r="AD54" s="2268"/>
      <c r="AE54" s="2268"/>
      <c r="AF54" s="2269"/>
    </row>
    <row r="55" spans="1:40" ht="13.2">
      <c r="D55" s="6" t="s">
        <v>379</v>
      </c>
      <c r="AB55" s="2294">
        <f>(IF((Y41&lt;AB54),Y41,AB54))</f>
        <v>0</v>
      </c>
      <c r="AC55" s="2295"/>
      <c r="AD55" s="2295"/>
      <c r="AE55" s="2295"/>
      <c r="AF55" s="2296"/>
    </row>
    <row r="56" spans="1:40" ht="13.2">
      <c r="D56" s="6" t="s">
        <v>118</v>
      </c>
      <c r="AB56" s="2267">
        <f>ROUND((10*AB55*AB49),0)</f>
        <v>0</v>
      </c>
      <c r="AC56" s="2268"/>
      <c r="AD56" s="2268"/>
      <c r="AE56" s="2268"/>
      <c r="AF56" s="22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5">
        <f>AB48-AB56</f>
        <v>48114421</v>
      </c>
      <c r="AC58" s="2265"/>
      <c r="AD58" s="2265"/>
      <c r="AE58" s="2265"/>
      <c r="AF58" s="226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2" t="s">
        <v>1976</v>
      </c>
      <c r="B60" s="2262"/>
      <c r="C60" s="2262"/>
      <c r="D60" s="2262"/>
      <c r="E60" s="2262"/>
      <c r="F60" s="2262"/>
      <c r="G60" s="2262"/>
      <c r="H60" s="2262"/>
      <c r="I60" s="2262"/>
      <c r="J60" s="2262"/>
      <c r="K60" s="2262"/>
      <c r="L60" s="226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row>
    <row r="61" spans="1:40" ht="13.95" customHeight="1" thickTop="1">
      <c r="A61" s="2264"/>
      <c r="B61" s="2264"/>
      <c r="C61" s="2264"/>
      <c r="D61" s="2264"/>
      <c r="E61" s="2264"/>
      <c r="F61" s="2264"/>
      <c r="G61" s="2264"/>
      <c r="H61" s="2264"/>
      <c r="I61" s="2264"/>
      <c r="J61" s="2264"/>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66" t="s">
        <v>331</v>
      </c>
      <c r="Z62" s="2266"/>
      <c r="AA62" s="2266"/>
      <c r="AB62" s="2266"/>
      <c r="AC62" s="2266"/>
      <c r="AD62" s="2266" t="s">
        <v>46</v>
      </c>
      <c r="AE62" s="2266"/>
      <c r="AF62" s="2266"/>
      <c r="AG62" s="2266"/>
      <c r="AH62" s="2266"/>
      <c r="AI62" s="1"/>
      <c r="AJ62" s="1"/>
      <c r="AK62" s="1"/>
      <c r="AL62" s="1"/>
      <c r="AM62" s="1"/>
      <c r="AN62" s="1"/>
    </row>
    <row r="63" spans="1:40" ht="13.2">
      <c r="C63" s="330"/>
      <c r="D63" s="1263" t="s">
        <v>1374</v>
      </c>
      <c r="E63" s="799"/>
      <c r="F63" s="799"/>
      <c r="G63" s="799"/>
      <c r="H63" s="799"/>
      <c r="I63" s="799"/>
      <c r="J63" s="799"/>
      <c r="K63" s="799"/>
      <c r="L63" s="22"/>
      <c r="M63" s="22"/>
      <c r="N63" s="22"/>
      <c r="O63" s="22"/>
      <c r="P63" s="22"/>
      <c r="Q63" s="22"/>
      <c r="R63" s="22"/>
      <c r="S63" s="22"/>
      <c r="T63" s="22"/>
      <c r="U63" s="22"/>
      <c r="V63" s="22"/>
      <c r="W63" s="22"/>
      <c r="X63" s="22"/>
      <c r="Y63" s="1810">
        <f>Y28</f>
        <v>0</v>
      </c>
      <c r="Z63" s="2289"/>
      <c r="AA63" s="2289"/>
      <c r="AB63" s="2289"/>
      <c r="AC63" s="2289"/>
      <c r="AD63" s="1810">
        <f>AI28</f>
        <v>0</v>
      </c>
      <c r="AE63" s="2289"/>
      <c r="AF63" s="2289"/>
      <c r="AG63" s="2289"/>
      <c r="AH63" s="2289"/>
    </row>
    <row r="64" spans="1:40" ht="15" customHeight="1">
      <c r="C64" s="6"/>
      <c r="E64" s="2263" t="s">
        <v>1425</v>
      </c>
      <c r="F64" s="2263"/>
      <c r="G64" s="2263"/>
      <c r="H64" s="2263"/>
      <c r="I64" s="2263"/>
      <c r="J64" s="2263"/>
      <c r="K64" s="2263"/>
      <c r="L64" s="2263"/>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row>
    <row r="65" spans="1:40" ht="24.45" customHeight="1">
      <c r="C65" s="6"/>
      <c r="E65" s="2263"/>
      <c r="F65" s="2263"/>
      <c r="G65" s="2263"/>
      <c r="H65" s="2263"/>
      <c r="I65" s="2263"/>
      <c r="J65" s="2263"/>
      <c r="K65" s="2263"/>
      <c r="L65" s="2263"/>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row>
    <row r="66" spans="1:40" ht="13.2">
      <c r="C66" s="6"/>
      <c r="D66" s="6" t="s">
        <v>219</v>
      </c>
      <c r="E66" s="1266"/>
      <c r="F66" s="1266"/>
      <c r="G66" s="1266"/>
      <c r="H66" s="1266"/>
      <c r="I66" s="1266"/>
      <c r="J66" s="1266"/>
      <c r="K66" s="1266"/>
      <c r="L66" s="1266"/>
      <c r="M66" s="1266"/>
      <c r="N66" s="1266"/>
      <c r="O66" s="1266"/>
      <c r="P66" s="1266"/>
      <c r="Q66" s="1266"/>
      <c r="R66" s="1266"/>
      <c r="S66" s="1266"/>
      <c r="T66" s="1266"/>
      <c r="U66" s="1266"/>
      <c r="V66" s="1266"/>
      <c r="W66" s="1266"/>
      <c r="X66" s="1266"/>
      <c r="Y66" s="2285">
        <v>0.3</v>
      </c>
      <c r="Z66" s="2285"/>
      <c r="AA66" s="2285"/>
      <c r="AB66" s="2285"/>
      <c r="AC66" s="2285"/>
      <c r="AD66" s="2285">
        <v>0.13</v>
      </c>
      <c r="AE66" s="2285"/>
      <c r="AF66" s="2285"/>
      <c r="AG66" s="2285"/>
      <c r="AH66" s="2285"/>
    </row>
    <row r="67" spans="1:40" ht="13.2">
      <c r="C67" s="6"/>
      <c r="D67" s="6" t="s">
        <v>1045</v>
      </c>
      <c r="Y67" s="1810">
        <f>ROUND(Y63*Y66,0)</f>
        <v>0</v>
      </c>
      <c r="Z67" s="2289"/>
      <c r="AA67" s="2289"/>
      <c r="AB67" s="2289"/>
      <c r="AC67" s="2289"/>
      <c r="AD67" s="1810" t="str">
        <f>IF(OR(Application!D211="At-Risk",Application!D211="At-Risk/Located in Rural Census Tract",Application!D214="At-Risk"),ROUND(AD63*AD66,0),"$0")</f>
        <v>$0</v>
      </c>
      <c r="AE67" s="2290"/>
      <c r="AF67" s="2290"/>
      <c r="AG67" s="2290"/>
      <c r="AH67" s="2290"/>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6"/>
      <c r="AC70" s="2287"/>
      <c r="AD70" s="2287"/>
      <c r="AE70" s="2287"/>
      <c r="AF70" s="2288"/>
      <c r="AG70" s="2"/>
      <c r="AH70" s="2"/>
      <c r="AI70" s="2"/>
      <c r="AJ70" s="2"/>
      <c r="AK70" s="2"/>
      <c r="AL70" s="2"/>
      <c r="AM70" s="2"/>
      <c r="AN70" s="2"/>
    </row>
    <row r="71" spans="1:40" ht="12.75" customHeight="1">
      <c r="A71" s="330"/>
      <c r="B71" s="2"/>
      <c r="C71" s="330"/>
      <c r="D71" s="330"/>
      <c r="E71" s="2291" t="s">
        <v>1971</v>
      </c>
      <c r="F71" s="2291"/>
      <c r="G71" s="2291"/>
      <c r="H71" s="2291"/>
      <c r="I71" s="2291"/>
      <c r="J71" s="2291"/>
      <c r="K71" s="2291"/>
      <c r="L71" s="2291"/>
      <c r="M71" s="2291"/>
      <c r="N71" s="2291"/>
      <c r="O71" s="2291"/>
      <c r="P71" s="2291"/>
      <c r="Q71" s="2291"/>
      <c r="R71" s="2291"/>
      <c r="S71" s="2291"/>
      <c r="T71" s="2291"/>
      <c r="U71" s="2291"/>
      <c r="V71" s="2291"/>
      <c r="W71" s="2291"/>
      <c r="X71" s="2291"/>
      <c r="Y71" s="2291"/>
      <c r="Z71" s="2291"/>
      <c r="AA71" s="800"/>
      <c r="AB71" s="800"/>
      <c r="AC71" s="800"/>
      <c r="AG71" s="2"/>
      <c r="AH71" s="2"/>
      <c r="AI71" s="2"/>
      <c r="AJ71" s="2"/>
      <c r="AK71" s="2"/>
      <c r="AL71" s="2"/>
      <c r="AM71" s="2"/>
      <c r="AN71" s="2"/>
    </row>
    <row r="72" spans="1:40" ht="12.75" customHeight="1">
      <c r="A72" s="330"/>
      <c r="B72" s="2"/>
      <c r="C72" s="330"/>
      <c r="D72" s="330"/>
      <c r="E72" s="2291"/>
      <c r="F72" s="2291"/>
      <c r="G72" s="2291"/>
      <c r="H72" s="2291"/>
      <c r="I72" s="2291"/>
      <c r="J72" s="2291"/>
      <c r="K72" s="2291"/>
      <c r="L72" s="2291"/>
      <c r="M72" s="2291"/>
      <c r="N72" s="2291"/>
      <c r="O72" s="2291"/>
      <c r="P72" s="2291"/>
      <c r="Q72" s="2291"/>
      <c r="R72" s="2291"/>
      <c r="S72" s="2291"/>
      <c r="T72" s="2291"/>
      <c r="U72" s="2291"/>
      <c r="V72" s="2291"/>
      <c r="W72" s="2291"/>
      <c r="X72" s="2291"/>
      <c r="Y72" s="2291"/>
      <c r="Z72" s="2291"/>
      <c r="AA72" s="800"/>
      <c r="AB72" s="800"/>
      <c r="AC72" s="800"/>
      <c r="AG72" s="2"/>
      <c r="AH72" s="2"/>
      <c r="AI72" s="2"/>
      <c r="AJ72" s="2"/>
      <c r="AK72" s="2"/>
      <c r="AL72" s="2"/>
      <c r="AM72" s="2"/>
      <c r="AN72" s="2"/>
    </row>
    <row r="73" spans="1:40" ht="12" customHeight="1">
      <c r="A73" s="330"/>
      <c r="B73" s="2"/>
      <c r="C73" s="330"/>
      <c r="D73" s="330"/>
      <c r="E73" s="2291"/>
      <c r="F73" s="2291"/>
      <c r="G73" s="2291"/>
      <c r="H73" s="2291"/>
      <c r="I73" s="2291"/>
      <c r="J73" s="2291"/>
      <c r="K73" s="2291"/>
      <c r="L73" s="2291"/>
      <c r="M73" s="2291"/>
      <c r="N73" s="2291"/>
      <c r="O73" s="2291"/>
      <c r="P73" s="2291"/>
      <c r="Q73" s="2291"/>
      <c r="R73" s="2291"/>
      <c r="S73" s="2291"/>
      <c r="T73" s="2291"/>
      <c r="U73" s="2291"/>
      <c r="V73" s="2291"/>
      <c r="W73" s="2291"/>
      <c r="X73" s="2291"/>
      <c r="Y73" s="2291"/>
      <c r="Z73" s="2291"/>
      <c r="AA73" s="800"/>
      <c r="AB73" s="800"/>
      <c r="AC73" s="800"/>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4"/>
      <c r="AG74" s="2"/>
      <c r="AH74" s="2"/>
      <c r="AI74" s="2"/>
      <c r="AJ74" s="2"/>
      <c r="AK74" s="2"/>
      <c r="AL74" s="2"/>
      <c r="AM74" s="2"/>
      <c r="AN74" s="2"/>
    </row>
    <row r="75" spans="1:40" ht="12" customHeight="1">
      <c r="C75" s="6"/>
      <c r="D75" s="6" t="s">
        <v>115</v>
      </c>
      <c r="AB75" s="2284">
        <f>ROUND(IF(ISERROR((AB58/AB70)),0,(AB58/AB70)),0)</f>
        <v>0</v>
      </c>
      <c r="AC75" s="2284"/>
      <c r="AD75" s="2284"/>
      <c r="AE75" s="2284"/>
      <c r="AF75" s="2284"/>
    </row>
    <row r="76" spans="1:40" ht="12.75" customHeight="1">
      <c r="C76" s="6"/>
      <c r="D76" s="6" t="s">
        <v>116</v>
      </c>
      <c r="AB76" s="2281">
        <f>IF((Y67+AD67&lt;AB75),Y67+AD67,AB75)</f>
        <v>0</v>
      </c>
      <c r="AC76" s="2282"/>
      <c r="AD76" s="2282"/>
      <c r="AE76" s="2282"/>
      <c r="AF76" s="2283"/>
    </row>
    <row r="77" spans="1:40" ht="12.75" customHeight="1">
      <c r="C77" s="6"/>
      <c r="D77" s="6" t="s">
        <v>1046</v>
      </c>
      <c r="AB77" s="2280">
        <f>AB76*AB70</f>
        <v>0</v>
      </c>
      <c r="AC77" s="2280"/>
      <c r="AD77" s="2280"/>
      <c r="AE77" s="2280"/>
      <c r="AF77" s="2280"/>
    </row>
    <row r="78" spans="1:40" ht="12.75" customHeight="1">
      <c r="C78" s="6"/>
      <c r="D78" s="6"/>
      <c r="AB78" s="931"/>
      <c r="AC78" s="931"/>
      <c r="AD78" s="931"/>
      <c r="AE78" s="931"/>
      <c r="AF78" s="931"/>
    </row>
    <row r="79" spans="1:40" ht="12.75" customHeight="1">
      <c r="A79" s="1"/>
      <c r="B79" s="1"/>
      <c r="C79" s="1"/>
      <c r="D79" s="6" t="s">
        <v>117</v>
      </c>
      <c r="AB79" s="2265">
        <f>AB48-(AB56+AB77)</f>
        <v>48114421</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4140625" style="527" customWidth="1"/>
    <col min="2" max="2" width="14.44140625" style="565" customWidth="1"/>
    <col min="3" max="4" width="14.44140625" style="528" customWidth="1"/>
    <col min="5" max="5" width="14.44140625" style="565" customWidth="1"/>
    <col min="6" max="6" width="50.4414062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1" t="s">
        <v>1360</v>
      </c>
      <c r="G1" s="896"/>
    </row>
    <row r="2" spans="1:7" ht="13.2">
      <c r="A2" s="399" t="s">
        <v>1056</v>
      </c>
      <c r="B2" s="352"/>
      <c r="C2" s="518"/>
      <c r="D2" s="518"/>
      <c r="E2" s="352"/>
      <c r="F2" s="519"/>
      <c r="G2" s="519"/>
    </row>
    <row r="3" spans="1:7" s="897" customFormat="1" ht="80.25" customHeight="1">
      <c r="A3" s="530"/>
      <c r="B3" s="520" t="s">
        <v>1055</v>
      </c>
      <c r="C3" s="520" t="s">
        <v>1303</v>
      </c>
      <c r="D3" s="520" t="s">
        <v>1058</v>
      </c>
      <c r="E3" s="520" t="s">
        <v>1059</v>
      </c>
      <c r="F3" s="514" t="s">
        <v>1057</v>
      </c>
      <c r="G3" s="520"/>
    </row>
    <row r="4" spans="1:7" s="899" customFormat="1" ht="13.2">
      <c r="A4" s="1489" t="s">
        <v>381</v>
      </c>
      <c r="B4" s="521"/>
      <c r="C4" s="521"/>
      <c r="D4" s="521"/>
      <c r="E4" s="521"/>
      <c r="F4" s="521"/>
      <c r="G4" s="521"/>
    </row>
    <row r="5" spans="1:7" s="899" customFormat="1" ht="13.2">
      <c r="A5" s="1490" t="s">
        <v>1060</v>
      </c>
      <c r="B5" s="523">
        <f>'Sources and Uses Budget'!C4</f>
        <v>5580000</v>
      </c>
      <c r="C5" s="523">
        <f>'Sources and Uses Budget'!C4</f>
        <v>5580000</v>
      </c>
      <c r="D5" s="523">
        <f>'Sources and Uses Budget'!C4</f>
        <v>5580000</v>
      </c>
      <c r="E5" s="525">
        <f>C5-B5</f>
        <v>0</v>
      </c>
      <c r="F5" s="524"/>
      <c r="G5" s="524"/>
    </row>
    <row r="6" spans="1:7" s="899" customFormat="1" ht="13.2">
      <c r="A6" s="1490" t="s">
        <v>1061</v>
      </c>
      <c r="B6" s="523">
        <f>'Sources and Uses Budget'!C5</f>
        <v>401564</v>
      </c>
      <c r="C6" s="523">
        <f>'Sources and Uses Budget'!C5</f>
        <v>401564</v>
      </c>
      <c r="D6" s="523">
        <f>'Sources and Uses Budget'!C5</f>
        <v>401564</v>
      </c>
      <c r="E6" s="525">
        <f t="shared" ref="E6:E73" si="0">C6-B6</f>
        <v>0</v>
      </c>
      <c r="F6" s="524"/>
      <c r="G6" s="524"/>
    </row>
    <row r="7" spans="1:7" s="899" customFormat="1" ht="13.2">
      <c r="A7" s="1490" t="s">
        <v>382</v>
      </c>
      <c r="B7" s="523">
        <f>'Sources and Uses Budget'!C6</f>
        <v>10000</v>
      </c>
      <c r="C7" s="523">
        <f>'Sources and Uses Budget'!C6</f>
        <v>10000</v>
      </c>
      <c r="D7" s="523">
        <f>'Sources and Uses Budget'!C6</f>
        <v>10000</v>
      </c>
      <c r="E7" s="525">
        <f t="shared" si="0"/>
        <v>0</v>
      </c>
      <c r="F7" s="524"/>
      <c r="G7" s="524"/>
    </row>
    <row r="8" spans="1:7" s="899" customFormat="1" ht="13.2">
      <c r="A8" s="1490" t="s">
        <v>310</v>
      </c>
      <c r="B8" s="523">
        <f>'Sources and Uses Budget'!C7</f>
        <v>0</v>
      </c>
      <c r="C8" s="523">
        <f>'Sources and Uses Budget'!C7</f>
        <v>0</v>
      </c>
      <c r="D8" s="523">
        <f>'Sources and Uses Budget'!C7</f>
        <v>0</v>
      </c>
      <c r="E8" s="525">
        <f t="shared" si="0"/>
        <v>0</v>
      </c>
      <c r="F8" s="524"/>
      <c r="G8" s="524"/>
    </row>
    <row r="9" spans="1:7" s="899" customFormat="1" ht="13.2">
      <c r="A9" s="1491" t="s">
        <v>1062</v>
      </c>
      <c r="B9" s="525">
        <f>SUM(B5:B8)</f>
        <v>5991564</v>
      </c>
      <c r="C9" s="525">
        <f>SUM(C5:C8)</f>
        <v>5991564</v>
      </c>
      <c r="D9" s="525">
        <f>SUM(D5:D8)</f>
        <v>5991564</v>
      </c>
      <c r="E9" s="525">
        <f t="shared" si="0"/>
        <v>0</v>
      </c>
      <c r="F9" s="524"/>
      <c r="G9" s="524"/>
    </row>
    <row r="10" spans="1:7" s="899" customFormat="1" ht="13.2">
      <c r="A10" s="1490" t="s">
        <v>645</v>
      </c>
      <c r="B10" s="523">
        <f>'Sources and Uses Budget'!C9</f>
        <v>0</v>
      </c>
      <c r="C10" s="523">
        <f>'Sources and Uses Budget'!C9</f>
        <v>0</v>
      </c>
      <c r="D10" s="523">
        <f>'Sources and Uses Budget'!C9</f>
        <v>0</v>
      </c>
      <c r="E10" s="525">
        <f t="shared" si="0"/>
        <v>0</v>
      </c>
      <c r="F10" s="524"/>
      <c r="G10" s="524"/>
    </row>
    <row r="11" spans="1:7" s="899" customFormat="1" ht="13.2">
      <c r="A11" s="1490" t="s">
        <v>1063</v>
      </c>
      <c r="B11" s="523">
        <f>'Sources and Uses Budget'!C10</f>
        <v>285000</v>
      </c>
      <c r="C11" s="523">
        <f>'Sources and Uses Budget'!C10</f>
        <v>285000</v>
      </c>
      <c r="D11" s="523">
        <f>'Sources and Uses Budget'!C10</f>
        <v>285000</v>
      </c>
      <c r="E11" s="525">
        <f t="shared" si="0"/>
        <v>0</v>
      </c>
      <c r="F11" s="524"/>
      <c r="G11" s="524"/>
    </row>
    <row r="12" spans="1:7" s="899" customFormat="1" ht="13.2">
      <c r="A12" s="1491" t="s">
        <v>646</v>
      </c>
      <c r="B12" s="525">
        <f>SUM(B10:B11)</f>
        <v>285000</v>
      </c>
      <c r="C12" s="525">
        <f>SUM(C10:C11)</f>
        <v>285000</v>
      </c>
      <c r="D12" s="525">
        <f>SUM(D10:D11)</f>
        <v>285000</v>
      </c>
      <c r="E12" s="525">
        <f t="shared" si="0"/>
        <v>0</v>
      </c>
      <c r="F12" s="524"/>
      <c r="G12" s="524"/>
    </row>
    <row r="13" spans="1:7" s="899" customFormat="1" ht="13.2">
      <c r="A13" s="1491" t="s">
        <v>778</v>
      </c>
      <c r="B13" s="525">
        <f>SUM(B9+B12)</f>
        <v>6276564</v>
      </c>
      <c r="C13" s="525">
        <f>SUM(C9+C12)</f>
        <v>6276564</v>
      </c>
      <c r="D13" s="525">
        <f>SUM(D9+D12)</f>
        <v>6276564</v>
      </c>
      <c r="E13" s="525">
        <f t="shared" si="0"/>
        <v>0</v>
      </c>
      <c r="F13" s="524"/>
      <c r="G13" s="524"/>
    </row>
    <row r="14" spans="1:7" s="899" customFormat="1" ht="13.2">
      <c r="A14" s="1492" t="s">
        <v>1229</v>
      </c>
      <c r="B14" s="523">
        <f>'Sources and Uses Budget'!C13</f>
        <v>140000</v>
      </c>
      <c r="C14" s="523">
        <f>'Sources and Uses Budget'!C13</f>
        <v>140000</v>
      </c>
      <c r="D14" s="523">
        <f>'Sources and Uses Budget'!C13</f>
        <v>140000</v>
      </c>
      <c r="E14" s="525">
        <f t="shared" si="0"/>
        <v>0</v>
      </c>
      <c r="F14" s="524"/>
      <c r="G14" s="524"/>
    </row>
    <row r="15" spans="1:7" s="899" customFormat="1" ht="22.8">
      <c r="A15" s="1493" t="s">
        <v>1264</v>
      </c>
      <c r="B15" s="523">
        <f>'Sources and Uses Budget'!C14</f>
        <v>0</v>
      </c>
      <c r="C15" s="523">
        <f>'Sources and Uses Budget'!C14</f>
        <v>0</v>
      </c>
      <c r="D15" s="523">
        <f>'Sources and Uses Budget'!C14</f>
        <v>0</v>
      </c>
      <c r="E15" s="525">
        <f t="shared" si="0"/>
        <v>0</v>
      </c>
      <c r="F15" s="524"/>
      <c r="G15" s="524"/>
    </row>
    <row r="16" spans="1:7" s="899" customFormat="1" ht="13.2">
      <c r="A16" s="1493" t="s">
        <v>1894</v>
      </c>
      <c r="B16" s="523">
        <f>'Sources and Uses Budget'!C15</f>
        <v>0</v>
      </c>
      <c r="C16" s="523">
        <f>'Sources and Uses Budget'!C15</f>
        <v>0</v>
      </c>
      <c r="D16" s="523">
        <f>'Sources and Uses Budget'!C15</f>
        <v>0</v>
      </c>
      <c r="E16" s="525">
        <f t="shared" si="0"/>
        <v>0</v>
      </c>
      <c r="F16" s="524"/>
      <c r="G16" s="524"/>
    </row>
    <row r="17" spans="1:7" s="899" customFormat="1" ht="13.2">
      <c r="A17" s="1489" t="s">
        <v>1013</v>
      </c>
      <c r="B17" s="521"/>
      <c r="C17" s="521"/>
      <c r="D17" s="521"/>
      <c r="E17" s="521"/>
      <c r="F17" s="521"/>
      <c r="G17" s="521"/>
    </row>
    <row r="18" spans="1:7" s="899" customFormat="1" ht="13.2">
      <c r="A18" s="369" t="s">
        <v>1014</v>
      </c>
      <c r="B18" s="523">
        <f>'Sources and Uses Budget'!C17</f>
        <v>0</v>
      </c>
      <c r="C18" s="523">
        <f>'Sources and Uses Budget'!C17</f>
        <v>0</v>
      </c>
      <c r="D18" s="523">
        <f>'Sources and Uses Budget'!C17</f>
        <v>0</v>
      </c>
      <c r="E18" s="525">
        <f t="shared" si="0"/>
        <v>0</v>
      </c>
      <c r="F18" s="524"/>
      <c r="G18" s="524"/>
    </row>
    <row r="19" spans="1:7" s="899"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899" customFormat="1" ht="13.2">
      <c r="A20" s="369" t="s">
        <v>1016</v>
      </c>
      <c r="B20" s="523">
        <f>'Sources and Uses Budget'!C19</f>
        <v>0</v>
      </c>
      <c r="C20" s="523">
        <f>'Sources and Uses Budget'!C19</f>
        <v>0</v>
      </c>
      <c r="D20" s="523">
        <f>'Sources and Uses Budget'!C19</f>
        <v>0</v>
      </c>
      <c r="E20" s="525">
        <f t="shared" si="1"/>
        <v>0</v>
      </c>
      <c r="F20" s="524"/>
      <c r="G20" s="524"/>
    </row>
    <row r="21" spans="1:7" s="899" customFormat="1" ht="13.2">
      <c r="A21" s="369" t="s">
        <v>1017</v>
      </c>
      <c r="B21" s="523">
        <f>'Sources and Uses Budget'!C20</f>
        <v>0</v>
      </c>
      <c r="C21" s="523">
        <f>'Sources and Uses Budget'!C20</f>
        <v>0</v>
      </c>
      <c r="D21" s="523">
        <f>'Sources and Uses Budget'!C20</f>
        <v>0</v>
      </c>
      <c r="E21" s="525">
        <f t="shared" si="1"/>
        <v>0</v>
      </c>
      <c r="F21" s="524"/>
      <c r="G21" s="524"/>
    </row>
    <row r="22" spans="1:7" s="899" customFormat="1" ht="13.2">
      <c r="A22" s="369" t="s">
        <v>1018</v>
      </c>
      <c r="B22" s="523">
        <f>'Sources and Uses Budget'!C21</f>
        <v>0</v>
      </c>
      <c r="C22" s="523">
        <f>'Sources and Uses Budget'!C21</f>
        <v>0</v>
      </c>
      <c r="D22" s="523">
        <f>'Sources and Uses Budget'!C21</f>
        <v>0</v>
      </c>
      <c r="E22" s="525">
        <f t="shared" si="1"/>
        <v>0</v>
      </c>
      <c r="F22" s="524"/>
      <c r="G22" s="524"/>
    </row>
    <row r="23" spans="1:7" s="899" customFormat="1" ht="13.2">
      <c r="A23" s="369" t="s">
        <v>1019</v>
      </c>
      <c r="B23" s="523">
        <f>'Sources and Uses Budget'!C22</f>
        <v>0</v>
      </c>
      <c r="C23" s="523">
        <f>'Sources and Uses Budget'!C22</f>
        <v>0</v>
      </c>
      <c r="D23" s="523">
        <f>'Sources and Uses Budget'!C22</f>
        <v>0</v>
      </c>
      <c r="E23" s="525">
        <f t="shared" si="1"/>
        <v>0</v>
      </c>
      <c r="F23" s="524"/>
      <c r="G23" s="524"/>
    </row>
    <row r="24" spans="1:7" s="899" customFormat="1" ht="13.2">
      <c r="A24" s="369" t="s">
        <v>1020</v>
      </c>
      <c r="B24" s="523">
        <f>'Sources and Uses Budget'!C23</f>
        <v>0</v>
      </c>
      <c r="C24" s="523">
        <f>'Sources and Uses Budget'!C23</f>
        <v>0</v>
      </c>
      <c r="D24" s="523">
        <f>'Sources and Uses Budget'!C23</f>
        <v>0</v>
      </c>
      <c r="E24" s="525">
        <f t="shared" si="1"/>
        <v>0</v>
      </c>
      <c r="F24" s="524"/>
      <c r="G24" s="524"/>
    </row>
    <row r="25" spans="1:7" s="899" customFormat="1" ht="13.2">
      <c r="A25" s="380" t="s">
        <v>2239</v>
      </c>
      <c r="B25" s="523">
        <f>'Sources and Uses Budget'!C24</f>
        <v>0</v>
      </c>
      <c r="C25" s="523">
        <f>'Sources and Uses Budget'!C24</f>
        <v>0</v>
      </c>
      <c r="D25" s="523">
        <f>'Sources and Uses Budget'!C24</f>
        <v>0</v>
      </c>
      <c r="E25" s="525">
        <f t="shared" si="1"/>
        <v>0</v>
      </c>
      <c r="F25" s="524"/>
      <c r="G25" s="524"/>
    </row>
    <row r="26" spans="1:7" s="899" customFormat="1" ht="13.2">
      <c r="A26" s="380" t="s">
        <v>592</v>
      </c>
      <c r="B26" s="523">
        <f>'Sources and Uses Budget'!C25</f>
        <v>0</v>
      </c>
      <c r="C26" s="523">
        <f>'Sources and Uses Budget'!C25</f>
        <v>0</v>
      </c>
      <c r="D26" s="523">
        <f>'Sources and Uses Budget'!C25</f>
        <v>0</v>
      </c>
      <c r="E26" s="525">
        <f t="shared" si="1"/>
        <v>0</v>
      </c>
      <c r="F26" s="524"/>
      <c r="G26" s="524"/>
    </row>
    <row r="27" spans="1:7" s="899" customFormat="1" ht="13.2">
      <c r="A27" s="526" t="s">
        <v>248</v>
      </c>
      <c r="B27" s="1501">
        <f>'Sources and Uses Budget'!C26</f>
        <v>0</v>
      </c>
      <c r="C27" s="1501">
        <f>'Sources and Uses Budget'!C26</f>
        <v>0</v>
      </c>
      <c r="D27" s="1501">
        <f>'Sources and Uses Budget'!C26</f>
        <v>0</v>
      </c>
      <c r="E27" s="525">
        <f>C27-B27</f>
        <v>0</v>
      </c>
      <c r="F27" s="524"/>
      <c r="G27" s="524"/>
    </row>
    <row r="28" spans="1:7" s="899" customFormat="1" ht="13.2">
      <c r="A28" s="1494" t="s">
        <v>1021</v>
      </c>
      <c r="B28" s="523">
        <f>'Sources and Uses Budget'!C27</f>
        <v>0</v>
      </c>
      <c r="C28" s="523">
        <f>'Sources and Uses Budget'!C27</f>
        <v>0</v>
      </c>
      <c r="D28" s="523">
        <f>'Sources and Uses Budget'!C27</f>
        <v>0</v>
      </c>
      <c r="E28" s="525">
        <f>C28-B28</f>
        <v>0</v>
      </c>
      <c r="F28" s="524"/>
      <c r="G28" s="524"/>
    </row>
    <row r="29" spans="1:7" s="899" customFormat="1" ht="13.2">
      <c r="A29" s="1489" t="s">
        <v>1022</v>
      </c>
      <c r="B29" s="521"/>
      <c r="C29" s="521"/>
      <c r="D29" s="521"/>
      <c r="E29" s="521"/>
      <c r="F29" s="521"/>
      <c r="G29" s="521"/>
    </row>
    <row r="30" spans="1:7" s="899" customFormat="1" ht="13.2">
      <c r="A30" s="369" t="s">
        <v>1014</v>
      </c>
      <c r="B30" s="523">
        <f>'Sources and Uses Budget'!C29</f>
        <v>2658753</v>
      </c>
      <c r="C30" s="523">
        <f>'Sources and Uses Budget'!C29</f>
        <v>2658753</v>
      </c>
      <c r="D30" s="523">
        <f>'Sources and Uses Budget'!C29</f>
        <v>2658753</v>
      </c>
      <c r="E30" s="525">
        <f t="shared" si="0"/>
        <v>0</v>
      </c>
      <c r="F30" s="524"/>
      <c r="G30" s="524"/>
    </row>
    <row r="31" spans="1:7" s="899" customFormat="1" ht="13.2">
      <c r="A31" s="369" t="s">
        <v>1015</v>
      </c>
      <c r="B31" s="523">
        <f>'Sources and Uses Budget'!C30</f>
        <v>20318318</v>
      </c>
      <c r="C31" s="523">
        <f>'Sources and Uses Budget'!C30</f>
        <v>20318318</v>
      </c>
      <c r="D31" s="523">
        <f>'Sources and Uses Budget'!C30</f>
        <v>20318318</v>
      </c>
      <c r="E31" s="525">
        <f t="shared" si="0"/>
        <v>0</v>
      </c>
      <c r="F31" s="524"/>
      <c r="G31" s="524"/>
    </row>
    <row r="32" spans="1:7" s="899" customFormat="1" ht="13.2">
      <c r="A32" s="369" t="s">
        <v>1016</v>
      </c>
      <c r="B32" s="523">
        <f>'Sources and Uses Budget'!C31</f>
        <v>1268276</v>
      </c>
      <c r="C32" s="523">
        <f>'Sources and Uses Budget'!C31</f>
        <v>1268276</v>
      </c>
      <c r="D32" s="523">
        <f>'Sources and Uses Budget'!C31</f>
        <v>1268276</v>
      </c>
      <c r="E32" s="525">
        <f t="shared" si="0"/>
        <v>0</v>
      </c>
      <c r="F32" s="524"/>
      <c r="G32" s="524"/>
    </row>
    <row r="33" spans="1:7" s="899" customFormat="1" ht="13.2">
      <c r="A33" s="369" t="s">
        <v>1017</v>
      </c>
      <c r="B33" s="523">
        <f>'Sources and Uses Budget'!C32</f>
        <v>900179</v>
      </c>
      <c r="C33" s="523">
        <f>'Sources and Uses Budget'!C32</f>
        <v>900179</v>
      </c>
      <c r="D33" s="523">
        <f>'Sources and Uses Budget'!C32</f>
        <v>900179</v>
      </c>
      <c r="E33" s="525">
        <f t="shared" si="0"/>
        <v>0</v>
      </c>
      <c r="F33" s="524"/>
      <c r="G33" s="524"/>
    </row>
    <row r="34" spans="1:7" s="899" customFormat="1" ht="13.2">
      <c r="A34" s="369" t="s">
        <v>1018</v>
      </c>
      <c r="B34" s="523">
        <f>'Sources and Uses Budget'!C33</f>
        <v>900179</v>
      </c>
      <c r="C34" s="523">
        <f>'Sources and Uses Budget'!C33</f>
        <v>900179</v>
      </c>
      <c r="D34" s="523">
        <f>'Sources and Uses Budget'!C33</f>
        <v>900179</v>
      </c>
      <c r="E34" s="525">
        <f t="shared" si="0"/>
        <v>0</v>
      </c>
      <c r="F34" s="524"/>
      <c r="G34" s="524"/>
    </row>
    <row r="35" spans="1:7" s="899" customFormat="1" ht="13.2">
      <c r="A35" s="369" t="s">
        <v>1019</v>
      </c>
      <c r="B35" s="523">
        <f>'Sources and Uses Budget'!C34</f>
        <v>0</v>
      </c>
      <c r="C35" s="523">
        <f>'Sources and Uses Budget'!C34</f>
        <v>0</v>
      </c>
      <c r="D35" s="523">
        <f>'Sources and Uses Budget'!C34</f>
        <v>0</v>
      </c>
      <c r="E35" s="525">
        <f t="shared" si="0"/>
        <v>0</v>
      </c>
      <c r="F35" s="524"/>
      <c r="G35" s="524"/>
    </row>
    <row r="36" spans="1:7" s="899" customFormat="1" ht="13.2">
      <c r="A36" s="369" t="s">
        <v>1020</v>
      </c>
      <c r="B36" s="523">
        <f>'Sources and Uses Budget'!C35</f>
        <v>186990</v>
      </c>
      <c r="C36" s="523">
        <f>'Sources and Uses Budget'!C35</f>
        <v>186990</v>
      </c>
      <c r="D36" s="523">
        <f>'Sources and Uses Budget'!C35</f>
        <v>186990</v>
      </c>
      <c r="E36" s="525">
        <f t="shared" si="0"/>
        <v>0</v>
      </c>
      <c r="F36" s="524"/>
      <c r="G36" s="524"/>
    </row>
    <row r="37" spans="1:7" s="899" customFormat="1" ht="13.2">
      <c r="A37" s="720" t="s">
        <v>2239</v>
      </c>
      <c r="B37" s="523">
        <f>'Sources and Uses Budget'!C36</f>
        <v>0</v>
      </c>
      <c r="C37" s="523">
        <f>'Sources and Uses Budget'!C36</f>
        <v>0</v>
      </c>
      <c r="D37" s="523">
        <f>'Sources and Uses Budget'!C36</f>
        <v>0</v>
      </c>
      <c r="E37" s="525">
        <f t="shared" si="0"/>
        <v>0</v>
      </c>
      <c r="F37" s="524"/>
      <c r="G37" s="524"/>
    </row>
    <row r="38" spans="1:7" s="899" customFormat="1" ht="13.2">
      <c r="A38" s="380" t="s">
        <v>592</v>
      </c>
      <c r="B38" s="523">
        <f>'Sources and Uses Budget'!C37</f>
        <v>137852</v>
      </c>
      <c r="C38" s="523">
        <f>'Sources and Uses Budget'!C37</f>
        <v>137852</v>
      </c>
      <c r="D38" s="523">
        <f>'Sources and Uses Budget'!C37</f>
        <v>137852</v>
      </c>
      <c r="E38" s="525">
        <f>C38-B38</f>
        <v>0</v>
      </c>
      <c r="F38" s="524"/>
      <c r="G38" s="524"/>
    </row>
    <row r="39" spans="1:7" s="899" customFormat="1" ht="13.2">
      <c r="A39" s="1494" t="s">
        <v>1023</v>
      </c>
      <c r="B39" s="1501">
        <f>'Sources and Uses Budget'!C38</f>
        <v>26370547</v>
      </c>
      <c r="C39" s="1501">
        <f>'Sources and Uses Budget'!C38</f>
        <v>26370547</v>
      </c>
      <c r="D39" s="1501">
        <f>'Sources and Uses Budget'!C38</f>
        <v>26370547</v>
      </c>
      <c r="E39" s="525">
        <f>C39-B39</f>
        <v>0</v>
      </c>
      <c r="F39" s="524"/>
      <c r="G39" s="524"/>
    </row>
    <row r="40" spans="1:7" s="899" customFormat="1" ht="13.2">
      <c r="A40" s="1489" t="s">
        <v>1024</v>
      </c>
      <c r="B40" s="521"/>
      <c r="C40" s="521"/>
      <c r="D40" s="521"/>
      <c r="E40" s="521"/>
      <c r="F40" s="521"/>
      <c r="G40" s="521"/>
    </row>
    <row r="41" spans="1:7" s="899" customFormat="1" ht="13.2">
      <c r="A41" s="1495" t="s">
        <v>1025</v>
      </c>
      <c r="B41" s="523">
        <f>'Sources and Uses Budget'!C40</f>
        <v>1688927</v>
      </c>
      <c r="C41" s="523">
        <f>'Sources and Uses Budget'!C40</f>
        <v>1688927</v>
      </c>
      <c r="D41" s="523">
        <f>'Sources and Uses Budget'!C40</f>
        <v>1688927</v>
      </c>
      <c r="E41" s="525">
        <f>C41-B41</f>
        <v>0</v>
      </c>
      <c r="F41" s="524"/>
      <c r="G41" s="524"/>
    </row>
    <row r="42" spans="1:7" s="899" customFormat="1" ht="13.2">
      <c r="A42" s="1495" t="s">
        <v>1026</v>
      </c>
      <c r="B42" s="523">
        <f>'Sources and Uses Budget'!C41</f>
        <v>0</v>
      </c>
      <c r="C42" s="523">
        <f>'Sources and Uses Budget'!C41</f>
        <v>0</v>
      </c>
      <c r="D42" s="523">
        <f>'Sources and Uses Budget'!C41</f>
        <v>0</v>
      </c>
      <c r="E42" s="525">
        <f>C42-B42</f>
        <v>0</v>
      </c>
      <c r="F42" s="524"/>
      <c r="G42" s="524"/>
    </row>
    <row r="43" spans="1:7" s="899" customFormat="1" ht="12" customHeight="1">
      <c r="A43" s="1494" t="s">
        <v>1027</v>
      </c>
      <c r="B43" s="1501">
        <f>'Sources and Uses Budget'!C42</f>
        <v>1688927</v>
      </c>
      <c r="C43" s="1501">
        <f>'Sources and Uses Budget'!C42</f>
        <v>1688927</v>
      </c>
      <c r="D43" s="1501">
        <f>'Sources and Uses Budget'!C42</f>
        <v>1688927</v>
      </c>
      <c r="E43" s="525">
        <f>C43-B43</f>
        <v>0</v>
      </c>
      <c r="F43" s="524"/>
      <c r="G43" s="524"/>
    </row>
    <row r="44" spans="1:7" s="899" customFormat="1" ht="13.2">
      <c r="A44" s="1494" t="s">
        <v>1028</v>
      </c>
      <c r="B44" s="523">
        <f>'Sources and Uses Budget'!C43</f>
        <v>600000</v>
      </c>
      <c r="C44" s="523">
        <f>'Sources and Uses Budget'!C43</f>
        <v>600000</v>
      </c>
      <c r="D44" s="523">
        <f>'Sources and Uses Budget'!C43</f>
        <v>600000</v>
      </c>
      <c r="E44" s="525">
        <f>C44-B44</f>
        <v>0</v>
      </c>
      <c r="F44" s="524"/>
      <c r="G44" s="524"/>
    </row>
    <row r="45" spans="1:7" s="899" customFormat="1" ht="13.2">
      <c r="A45" s="365" t="s">
        <v>1029</v>
      </c>
      <c r="B45" s="521"/>
      <c r="C45" s="521"/>
      <c r="D45" s="521"/>
      <c r="E45" s="521"/>
      <c r="F45" s="521"/>
      <c r="G45" s="521"/>
    </row>
    <row r="46" spans="1:7" s="899" customFormat="1" ht="12" customHeight="1">
      <c r="A46" s="369" t="s">
        <v>1030</v>
      </c>
      <c r="B46" s="523">
        <f>'Sources and Uses Budget'!C45</f>
        <v>1237422</v>
      </c>
      <c r="C46" s="523">
        <f>'Sources and Uses Budget'!C45</f>
        <v>1237422</v>
      </c>
      <c r="D46" s="523">
        <f>'Sources and Uses Budget'!C45</f>
        <v>1237422</v>
      </c>
      <c r="E46" s="525">
        <f t="shared" si="0"/>
        <v>0</v>
      </c>
      <c r="F46" s="524"/>
      <c r="G46" s="524"/>
    </row>
    <row r="47" spans="1:7" s="899" customFormat="1" ht="13.2">
      <c r="A47" s="369" t="s">
        <v>1031</v>
      </c>
      <c r="B47" s="523">
        <f>'Sources and Uses Budget'!C46</f>
        <v>277747</v>
      </c>
      <c r="C47" s="523">
        <f>'Sources and Uses Budget'!C46</f>
        <v>277747</v>
      </c>
      <c r="D47" s="523">
        <f>'Sources and Uses Budget'!C46</f>
        <v>277747</v>
      </c>
      <c r="E47" s="525">
        <f t="shared" si="0"/>
        <v>0</v>
      </c>
      <c r="F47" s="524"/>
      <c r="G47" s="524"/>
    </row>
    <row r="48" spans="1:7" s="899" customFormat="1" ht="13.2">
      <c r="A48" s="369" t="s">
        <v>1032</v>
      </c>
      <c r="B48" s="523">
        <f>'Sources and Uses Budget'!C47</f>
        <v>0</v>
      </c>
      <c r="C48" s="523">
        <f>'Sources and Uses Budget'!C47</f>
        <v>0</v>
      </c>
      <c r="D48" s="523">
        <f>'Sources and Uses Budget'!C47</f>
        <v>0</v>
      </c>
      <c r="E48" s="525">
        <f t="shared" si="0"/>
        <v>0</v>
      </c>
      <c r="F48" s="524"/>
      <c r="G48" s="524"/>
    </row>
    <row r="49" spans="1:7" s="899" customFormat="1" ht="13.2">
      <c r="A49" s="369" t="s">
        <v>1033</v>
      </c>
      <c r="B49" s="523">
        <f>'Sources and Uses Budget'!C48</f>
        <v>0</v>
      </c>
      <c r="C49" s="523">
        <f>'Sources and Uses Budget'!C48</f>
        <v>0</v>
      </c>
      <c r="D49" s="523">
        <f>'Sources and Uses Budget'!C48</f>
        <v>0</v>
      </c>
      <c r="E49" s="525">
        <f t="shared" si="0"/>
        <v>0</v>
      </c>
      <c r="F49" s="524"/>
      <c r="G49" s="524"/>
    </row>
    <row r="50" spans="1:7" s="899" customFormat="1" ht="13.2">
      <c r="A50" s="369" t="s">
        <v>1036</v>
      </c>
      <c r="B50" s="523">
        <f>'Sources and Uses Budget'!C49</f>
        <v>50000</v>
      </c>
      <c r="C50" s="523">
        <f>'Sources and Uses Budget'!C49</f>
        <v>50000</v>
      </c>
      <c r="D50" s="523">
        <f>'Sources and Uses Budget'!C49</f>
        <v>50000</v>
      </c>
      <c r="E50" s="525">
        <f t="shared" si="0"/>
        <v>0</v>
      </c>
      <c r="F50" s="524"/>
      <c r="G50" s="524"/>
    </row>
    <row r="51" spans="1:7" s="899" customFormat="1" ht="13.2">
      <c r="A51" s="369" t="s">
        <v>1034</v>
      </c>
      <c r="B51" s="523">
        <f>'Sources and Uses Budget'!C50</f>
        <v>0</v>
      </c>
      <c r="C51" s="523">
        <f>'Sources and Uses Budget'!C50</f>
        <v>0</v>
      </c>
      <c r="D51" s="523">
        <f>'Sources and Uses Budget'!C50</f>
        <v>0</v>
      </c>
      <c r="E51" s="525">
        <f t="shared" si="0"/>
        <v>0</v>
      </c>
      <c r="F51" s="524"/>
      <c r="G51" s="524"/>
    </row>
    <row r="52" spans="1:7" s="900" customFormat="1" ht="13.2">
      <c r="A52" s="369" t="s">
        <v>1035</v>
      </c>
      <c r="B52" s="523">
        <f>'Sources and Uses Budget'!C51</f>
        <v>300000</v>
      </c>
      <c r="C52" s="523">
        <f>'Sources and Uses Budget'!C51</f>
        <v>300000</v>
      </c>
      <c r="D52" s="523">
        <f>'Sources and Uses Budget'!C51</f>
        <v>300000</v>
      </c>
      <c r="E52" s="525">
        <f t="shared" si="0"/>
        <v>0</v>
      </c>
      <c r="F52" s="524"/>
      <c r="G52" s="524"/>
    </row>
    <row r="53" spans="1:7" s="899" customFormat="1" ht="13.2">
      <c r="A53" s="376" t="s">
        <v>592</v>
      </c>
      <c r="B53" s="523">
        <f>'Sources and Uses Budget'!C52</f>
        <v>15000</v>
      </c>
      <c r="C53" s="523">
        <f>'Sources and Uses Budget'!C52</f>
        <v>15000</v>
      </c>
      <c r="D53" s="523">
        <f>'Sources and Uses Budget'!C52</f>
        <v>15000</v>
      </c>
      <c r="E53" s="525">
        <f t="shared" si="0"/>
        <v>0</v>
      </c>
      <c r="F53" s="524"/>
      <c r="G53" s="524"/>
    </row>
    <row r="54" spans="1:7" s="899" customFormat="1" ht="13.2">
      <c r="A54" s="373" t="s">
        <v>1037</v>
      </c>
      <c r="B54" s="1501">
        <f>'Sources and Uses Budget'!C53</f>
        <v>1880169</v>
      </c>
      <c r="C54" s="1501">
        <f>'Sources and Uses Budget'!C53</f>
        <v>1880169</v>
      </c>
      <c r="D54" s="1501">
        <f>'Sources and Uses Budget'!C53</f>
        <v>1880169</v>
      </c>
      <c r="E54" s="525">
        <f t="shared" si="0"/>
        <v>0</v>
      </c>
      <c r="F54" s="524"/>
      <c r="G54" s="524"/>
    </row>
    <row r="55" spans="1:7" s="899" customFormat="1" ht="12" customHeight="1">
      <c r="A55" s="1489" t="s">
        <v>749</v>
      </c>
      <c r="B55" s="521"/>
      <c r="C55" s="521"/>
      <c r="D55" s="521"/>
      <c r="E55" s="521"/>
      <c r="F55" s="521"/>
      <c r="G55" s="521"/>
    </row>
    <row r="56" spans="1:7" s="899" customFormat="1" ht="13.2">
      <c r="A56" s="1495" t="s">
        <v>1038</v>
      </c>
      <c r="B56" s="523">
        <f>'Sources and Uses Budget'!C55</f>
        <v>0</v>
      </c>
      <c r="C56" s="523">
        <f>'Sources and Uses Budget'!C55</f>
        <v>0</v>
      </c>
      <c r="D56" s="523">
        <f>'Sources and Uses Budget'!C55</f>
        <v>0</v>
      </c>
      <c r="E56" s="525">
        <f t="shared" si="0"/>
        <v>0</v>
      </c>
      <c r="F56" s="524"/>
      <c r="G56" s="524"/>
    </row>
    <row r="57" spans="1:7" s="899" customFormat="1" ht="13.2">
      <c r="A57" s="1495" t="s">
        <v>1032</v>
      </c>
      <c r="B57" s="523">
        <f>'Sources and Uses Budget'!C56</f>
        <v>0</v>
      </c>
      <c r="C57" s="523">
        <f>'Sources and Uses Budget'!C56</f>
        <v>0</v>
      </c>
      <c r="D57" s="523">
        <f>'Sources and Uses Budget'!C56</f>
        <v>0</v>
      </c>
      <c r="E57" s="525">
        <f t="shared" si="0"/>
        <v>0</v>
      </c>
      <c r="F57" s="524"/>
      <c r="G57" s="524"/>
    </row>
    <row r="58" spans="1:7" s="899" customFormat="1" ht="13.2">
      <c r="A58" s="1495" t="s">
        <v>1036</v>
      </c>
      <c r="B58" s="523">
        <f>'Sources and Uses Budget'!C57</f>
        <v>25000</v>
      </c>
      <c r="C58" s="523">
        <f>'Sources and Uses Budget'!C57</f>
        <v>25000</v>
      </c>
      <c r="D58" s="523">
        <f>'Sources and Uses Budget'!C57</f>
        <v>25000</v>
      </c>
      <c r="E58" s="525">
        <f t="shared" si="0"/>
        <v>0</v>
      </c>
      <c r="F58" s="524"/>
      <c r="G58" s="524"/>
    </row>
    <row r="59" spans="1:7" s="899" customFormat="1" ht="13.2">
      <c r="A59" s="1495" t="s">
        <v>1034</v>
      </c>
      <c r="B59" s="523">
        <f>'Sources and Uses Budget'!C58</f>
        <v>0</v>
      </c>
      <c r="C59" s="523">
        <f>'Sources and Uses Budget'!C58</f>
        <v>0</v>
      </c>
      <c r="D59" s="523">
        <f>'Sources and Uses Budget'!C58</f>
        <v>0</v>
      </c>
      <c r="E59" s="525">
        <f t="shared" si="0"/>
        <v>0</v>
      </c>
      <c r="F59" s="524"/>
      <c r="G59" s="524"/>
    </row>
    <row r="60" spans="1:7" s="899" customFormat="1" ht="13.2">
      <c r="A60" s="1495" t="s">
        <v>1035</v>
      </c>
      <c r="B60" s="523">
        <f>'Sources and Uses Budget'!C59</f>
        <v>0</v>
      </c>
      <c r="C60" s="523">
        <f>'Sources and Uses Budget'!C59</f>
        <v>0</v>
      </c>
      <c r="D60" s="523">
        <f>'Sources and Uses Budget'!C59</f>
        <v>0</v>
      </c>
      <c r="E60" s="525">
        <f t="shared" si="0"/>
        <v>0</v>
      </c>
      <c r="F60" s="524"/>
      <c r="G60" s="524"/>
    </row>
    <row r="61" spans="1:7" s="899" customFormat="1" ht="13.95" customHeight="1">
      <c r="A61" s="1496" t="s">
        <v>592</v>
      </c>
      <c r="B61" s="523">
        <f>'Sources and Uses Budget'!C60</f>
        <v>0</v>
      </c>
      <c r="C61" s="523">
        <f>'Sources and Uses Budget'!C60</f>
        <v>0</v>
      </c>
      <c r="D61" s="523">
        <f>'Sources and Uses Budget'!C60</f>
        <v>0</v>
      </c>
      <c r="E61" s="525">
        <f t="shared" si="0"/>
        <v>0</v>
      </c>
      <c r="F61" s="524"/>
      <c r="G61" s="524"/>
    </row>
    <row r="62" spans="1:7" s="899" customFormat="1" ht="13.2">
      <c r="A62" s="1494" t="s">
        <v>549</v>
      </c>
      <c r="B62" s="1501">
        <f>'Sources and Uses Budget'!C61</f>
        <v>25000</v>
      </c>
      <c r="C62" s="1501">
        <f>'Sources and Uses Budget'!C61</f>
        <v>25000</v>
      </c>
      <c r="D62" s="1501">
        <f>'Sources and Uses Budget'!C61</f>
        <v>25000</v>
      </c>
      <c r="E62" s="525">
        <f t="shared" si="0"/>
        <v>0</v>
      </c>
      <c r="F62" s="524"/>
      <c r="G62" s="524"/>
    </row>
    <row r="63" spans="1:7" s="899" customFormat="1" ht="13.2">
      <c r="A63" s="1497" t="s">
        <v>550</v>
      </c>
      <c r="B63" s="1501">
        <f>'Sources and Uses Budget'!C62</f>
        <v>36981207</v>
      </c>
      <c r="C63" s="1501">
        <f>'Sources and Uses Budget'!C62</f>
        <v>36981207</v>
      </c>
      <c r="D63" s="1501">
        <f>'Sources and Uses Budget'!C62</f>
        <v>36981207</v>
      </c>
      <c r="E63" s="525">
        <f t="shared" si="0"/>
        <v>0</v>
      </c>
      <c r="F63" s="524"/>
      <c r="G63" s="524"/>
    </row>
    <row r="64" spans="1:7" s="899" customFormat="1" ht="22.8">
      <c r="A64" s="365" t="s">
        <v>2240</v>
      </c>
      <c r="B64" s="521"/>
      <c r="C64" s="521"/>
      <c r="D64" s="521"/>
      <c r="E64" s="521"/>
      <c r="F64" s="521"/>
      <c r="G64" s="521"/>
    </row>
    <row r="65" spans="1:7" s="899" customFormat="1" ht="13.2">
      <c r="A65" s="369" t="s">
        <v>312</v>
      </c>
      <c r="B65" s="523">
        <f>'Sources and Uses Budget'!C64</f>
        <v>30000</v>
      </c>
      <c r="C65" s="523">
        <f>'Sources and Uses Budget'!C64</f>
        <v>30000</v>
      </c>
      <c r="D65" s="523">
        <f>'Sources and Uses Budget'!C64</f>
        <v>30000</v>
      </c>
      <c r="E65" s="525">
        <f t="shared" si="0"/>
        <v>0</v>
      </c>
      <c r="F65" s="524"/>
      <c r="G65" s="524"/>
    </row>
    <row r="66" spans="1:7" s="899" customFormat="1" ht="22.8">
      <c r="A66" s="369" t="s">
        <v>2241</v>
      </c>
      <c r="B66" s="523">
        <f>'Sources and Uses Budget'!C65</f>
        <v>0</v>
      </c>
      <c r="C66" s="523">
        <f>'Sources and Uses Budget'!C65</f>
        <v>0</v>
      </c>
      <c r="D66" s="523">
        <f>'Sources and Uses Budget'!C65</f>
        <v>0</v>
      </c>
      <c r="E66" s="525">
        <f t="shared" si="0"/>
        <v>0</v>
      </c>
      <c r="F66" s="524"/>
      <c r="G66" s="524"/>
    </row>
    <row r="67" spans="1:7" s="899" customFormat="1" ht="22.8">
      <c r="A67" s="369" t="s">
        <v>2242</v>
      </c>
      <c r="B67" s="523">
        <f>'Sources and Uses Budget'!C66</f>
        <v>0</v>
      </c>
      <c r="C67" s="523">
        <f>'Sources and Uses Budget'!C66</f>
        <v>0</v>
      </c>
      <c r="D67" s="523">
        <f>'Sources and Uses Budget'!C66</f>
        <v>0</v>
      </c>
      <c r="E67" s="525">
        <f t="shared" si="0"/>
        <v>0</v>
      </c>
      <c r="F67" s="524"/>
      <c r="G67" s="524"/>
    </row>
    <row r="68" spans="1:7" s="899" customFormat="1" ht="13.2">
      <c r="A68" s="369" t="s">
        <v>2243</v>
      </c>
      <c r="B68" s="523">
        <f>'Sources and Uses Budget'!C67</f>
        <v>0</v>
      </c>
      <c r="C68" s="523">
        <f>'Sources and Uses Budget'!C67</f>
        <v>0</v>
      </c>
      <c r="D68" s="523">
        <f>'Sources and Uses Budget'!C67</f>
        <v>0</v>
      </c>
      <c r="E68" s="525">
        <f t="shared" si="0"/>
        <v>0</v>
      </c>
      <c r="F68" s="524"/>
      <c r="G68" s="524"/>
    </row>
    <row r="69" spans="1:7" s="899" customFormat="1" ht="13.2">
      <c r="A69" s="380" t="s">
        <v>2312</v>
      </c>
      <c r="B69" s="523">
        <f>'Sources and Uses Budget'!C68</f>
        <v>85000</v>
      </c>
      <c r="C69" s="523">
        <f>'Sources and Uses Budget'!C68</f>
        <v>85000</v>
      </c>
      <c r="D69" s="523">
        <f>'Sources and Uses Budget'!C68</f>
        <v>85000</v>
      </c>
      <c r="E69" s="525">
        <f t="shared" si="0"/>
        <v>0</v>
      </c>
      <c r="F69" s="524"/>
      <c r="G69" s="524"/>
    </row>
    <row r="70" spans="1:7" s="899" customFormat="1" ht="13.2">
      <c r="A70" s="373" t="s">
        <v>2244</v>
      </c>
      <c r="B70" s="1501">
        <f>'Sources and Uses Budget'!C69</f>
        <v>115000</v>
      </c>
      <c r="C70" s="1501">
        <f>'Sources and Uses Budget'!C69</f>
        <v>115000</v>
      </c>
      <c r="D70" s="1501">
        <f>'Sources and Uses Budget'!C69</f>
        <v>115000</v>
      </c>
      <c r="E70" s="525">
        <f t="shared" si="0"/>
        <v>0</v>
      </c>
      <c r="F70" s="524"/>
      <c r="G70" s="524"/>
    </row>
    <row r="71" spans="1:7" s="899" customFormat="1" ht="13.2">
      <c r="A71" s="1489" t="s">
        <v>313</v>
      </c>
      <c r="B71" s="521"/>
      <c r="C71" s="521"/>
      <c r="D71" s="521"/>
      <c r="E71" s="521"/>
      <c r="F71" s="521"/>
      <c r="G71" s="521"/>
    </row>
    <row r="72" spans="1:7" s="899" customFormat="1" ht="13.2">
      <c r="A72" s="1495" t="s">
        <v>314</v>
      </c>
      <c r="B72" s="523">
        <f>'Sources and Uses Budget'!C71</f>
        <v>0</v>
      </c>
      <c r="C72" s="523">
        <f>'Sources and Uses Budget'!C71</f>
        <v>0</v>
      </c>
      <c r="D72" s="523">
        <f>'Sources and Uses Budget'!C71</f>
        <v>0</v>
      </c>
      <c r="E72" s="525">
        <f t="shared" si="0"/>
        <v>0</v>
      </c>
      <c r="F72" s="524"/>
      <c r="G72" s="524"/>
    </row>
    <row r="73" spans="1:7" s="899" customFormat="1" ht="13.2">
      <c r="A73" s="1495" t="s">
        <v>315</v>
      </c>
      <c r="B73" s="523">
        <f>'Sources and Uses Budget'!C72</f>
        <v>0</v>
      </c>
      <c r="C73" s="523">
        <f>'Sources and Uses Budget'!C72</f>
        <v>0</v>
      </c>
      <c r="D73" s="523">
        <f>'Sources and Uses Budget'!C72</f>
        <v>0</v>
      </c>
      <c r="E73" s="525">
        <f t="shared" si="0"/>
        <v>0</v>
      </c>
      <c r="F73" s="524"/>
      <c r="G73" s="524"/>
    </row>
    <row r="74" spans="1:7" s="899" customFormat="1" ht="13.2">
      <c r="A74" s="1498" t="s">
        <v>1372</v>
      </c>
      <c r="B74" s="523">
        <f>'Sources and Uses Budget'!C73</f>
        <v>0</v>
      </c>
      <c r="C74" s="523">
        <f>'Sources and Uses Budget'!C73</f>
        <v>0</v>
      </c>
      <c r="D74" s="523">
        <f>'Sources and Uses Budget'!C73</f>
        <v>0</v>
      </c>
      <c r="E74" s="525">
        <f>C74-B74</f>
        <v>0</v>
      </c>
      <c r="F74" s="524"/>
      <c r="G74" s="524"/>
    </row>
    <row r="75" spans="1:7" s="899" customFormat="1" ht="13.2">
      <c r="A75" s="1495" t="s">
        <v>316</v>
      </c>
      <c r="B75" s="523">
        <f>'Sources and Uses Budget'!C74</f>
        <v>338433</v>
      </c>
      <c r="C75" s="523">
        <f>'Sources and Uses Budget'!C74</f>
        <v>338433</v>
      </c>
      <c r="D75" s="523">
        <f>'Sources and Uses Budget'!C74</f>
        <v>338433</v>
      </c>
      <c r="E75" s="525">
        <f>C75-B75</f>
        <v>0</v>
      </c>
      <c r="F75" s="524"/>
      <c r="G75" s="524"/>
    </row>
    <row r="76" spans="1:7" s="899" customFormat="1" ht="13.2">
      <c r="A76" s="1499" t="s">
        <v>592</v>
      </c>
      <c r="B76" s="523">
        <f>'Sources and Uses Budget'!C75</f>
        <v>2340301</v>
      </c>
      <c r="C76" s="523">
        <f>'Sources and Uses Budget'!C75</f>
        <v>2340301</v>
      </c>
      <c r="D76" s="523">
        <f>'Sources and Uses Budget'!C75</f>
        <v>2340301</v>
      </c>
      <c r="E76" s="525">
        <f>C76-B76</f>
        <v>0</v>
      </c>
      <c r="F76" s="524"/>
      <c r="G76" s="524"/>
    </row>
    <row r="77" spans="1:7" s="899" customFormat="1" ht="13.2">
      <c r="A77" s="1494" t="s">
        <v>317</v>
      </c>
      <c r="B77" s="1501">
        <f>'Sources and Uses Budget'!C76</f>
        <v>2678734</v>
      </c>
      <c r="C77" s="1501">
        <f>'Sources and Uses Budget'!C76</f>
        <v>2678734</v>
      </c>
      <c r="D77" s="1501">
        <f>'Sources and Uses Budget'!C76</f>
        <v>2678734</v>
      </c>
      <c r="E77" s="525">
        <f>C77-B77</f>
        <v>0</v>
      </c>
      <c r="F77" s="524"/>
      <c r="G77" s="524"/>
    </row>
    <row r="78" spans="1:7" s="899" customFormat="1" ht="13.2">
      <c r="A78" s="1489" t="s">
        <v>1969</v>
      </c>
      <c r="B78" s="521"/>
      <c r="C78" s="521"/>
      <c r="D78" s="521"/>
      <c r="E78" s="521"/>
      <c r="F78" s="521"/>
      <c r="G78" s="521"/>
    </row>
    <row r="79" spans="1:7" s="899" customFormat="1" ht="13.95" customHeight="1">
      <c r="A79" s="1495" t="s">
        <v>1967</v>
      </c>
      <c r="B79" s="523">
        <f>'Sources and Uses Budget'!C78</f>
        <v>2102150</v>
      </c>
      <c r="C79" s="523">
        <f>'Sources and Uses Budget'!C78</f>
        <v>2102150</v>
      </c>
      <c r="D79" s="523">
        <f>'Sources and Uses Budget'!C78</f>
        <v>2102150</v>
      </c>
      <c r="E79" s="525">
        <f t="shared" ref="E79:E105" si="2">C79-B79</f>
        <v>0</v>
      </c>
      <c r="F79" s="524"/>
      <c r="G79" s="524"/>
    </row>
    <row r="80" spans="1:7" s="899" customFormat="1" ht="13.2">
      <c r="A80" s="1495" t="s">
        <v>597</v>
      </c>
      <c r="B80" s="523">
        <f>'Sources and Uses Budget'!C79</f>
        <v>250000</v>
      </c>
      <c r="C80" s="523">
        <f>'Sources and Uses Budget'!C79</f>
        <v>250000</v>
      </c>
      <c r="D80" s="523">
        <f>'Sources and Uses Budget'!C79</f>
        <v>250000</v>
      </c>
      <c r="E80" s="525">
        <f t="shared" si="2"/>
        <v>0</v>
      </c>
      <c r="F80" s="524"/>
      <c r="G80" s="524"/>
    </row>
    <row r="81" spans="1:7" s="899" customFormat="1" ht="13.2">
      <c r="A81" s="1494" t="s">
        <v>1968</v>
      </c>
      <c r="B81" s="1501">
        <f>'Sources and Uses Budget'!C80</f>
        <v>2352150</v>
      </c>
      <c r="C81" s="1501">
        <f>'Sources and Uses Budget'!C80</f>
        <v>2352150</v>
      </c>
      <c r="D81" s="1501">
        <f>'Sources and Uses Budget'!C80</f>
        <v>2352150</v>
      </c>
      <c r="E81" s="525">
        <f t="shared" si="2"/>
        <v>0</v>
      </c>
      <c r="F81" s="524"/>
      <c r="G81" s="524"/>
    </row>
    <row r="82" spans="1:7" s="899" customFormat="1" ht="13.2">
      <c r="A82" s="1489" t="s">
        <v>573</v>
      </c>
      <c r="B82" s="521"/>
      <c r="C82" s="521"/>
      <c r="D82" s="521"/>
      <c r="E82" s="521"/>
      <c r="F82" s="521"/>
      <c r="G82" s="521"/>
    </row>
    <row r="83" spans="1:7" s="899" customFormat="1" ht="13.2">
      <c r="A83" s="369" t="s">
        <v>574</v>
      </c>
      <c r="B83" s="523">
        <f>'Sources and Uses Budget'!C82</f>
        <v>154257</v>
      </c>
      <c r="C83" s="523">
        <f>'Sources and Uses Budget'!C82</f>
        <v>154257</v>
      </c>
      <c r="D83" s="523">
        <f>'Sources and Uses Budget'!C82</f>
        <v>154257</v>
      </c>
      <c r="E83" s="525">
        <f t="shared" si="2"/>
        <v>0</v>
      </c>
      <c r="F83" s="524"/>
      <c r="G83" s="524"/>
    </row>
    <row r="84" spans="1:7" s="899" customFormat="1" ht="13.2">
      <c r="A84" s="369" t="s">
        <v>575</v>
      </c>
      <c r="B84" s="523">
        <f>'Sources and Uses Budget'!C83</f>
        <v>500000</v>
      </c>
      <c r="C84" s="523">
        <f>'Sources and Uses Budget'!C83</f>
        <v>500000</v>
      </c>
      <c r="D84" s="523">
        <f>'Sources and Uses Budget'!C83</f>
        <v>500000</v>
      </c>
      <c r="E84" s="525">
        <f t="shared" si="2"/>
        <v>0</v>
      </c>
      <c r="F84" s="524"/>
      <c r="G84" s="524"/>
    </row>
    <row r="85" spans="1:7" s="899" customFormat="1" ht="13.2">
      <c r="A85" s="369" t="s">
        <v>576</v>
      </c>
      <c r="B85" s="523">
        <f>'Sources and Uses Budget'!C84</f>
        <v>2511073</v>
      </c>
      <c r="C85" s="523">
        <f>'Sources and Uses Budget'!C84</f>
        <v>2511073</v>
      </c>
      <c r="D85" s="523">
        <f>'Sources and Uses Budget'!C84</f>
        <v>2511073</v>
      </c>
      <c r="E85" s="525">
        <f t="shared" si="2"/>
        <v>0</v>
      </c>
      <c r="F85" s="524"/>
      <c r="G85" s="524"/>
    </row>
    <row r="86" spans="1:7" s="899" customFormat="1" ht="13.2">
      <c r="A86" s="369" t="s">
        <v>577</v>
      </c>
      <c r="B86" s="523">
        <f>'Sources and Uses Budget'!C85</f>
        <v>200000</v>
      </c>
      <c r="C86" s="523">
        <f>'Sources and Uses Budget'!C85</f>
        <v>200000</v>
      </c>
      <c r="D86" s="523">
        <f>'Sources and Uses Budget'!C85</f>
        <v>200000</v>
      </c>
      <c r="E86" s="525">
        <f t="shared" si="2"/>
        <v>0</v>
      </c>
      <c r="F86" s="524"/>
      <c r="G86" s="524"/>
    </row>
    <row r="87" spans="1:7" s="899" customFormat="1" ht="13.2">
      <c r="A87" s="369" t="s">
        <v>578</v>
      </c>
      <c r="B87" s="523">
        <f>'Sources and Uses Budget'!C86</f>
        <v>0</v>
      </c>
      <c r="C87" s="523">
        <f>'Sources and Uses Budget'!C86</f>
        <v>0</v>
      </c>
      <c r="D87" s="523">
        <f>'Sources and Uses Budget'!C86</f>
        <v>0</v>
      </c>
      <c r="E87" s="525">
        <f t="shared" si="2"/>
        <v>0</v>
      </c>
      <c r="F87" s="524"/>
      <c r="G87" s="524"/>
    </row>
    <row r="88" spans="1:7" s="899" customFormat="1" ht="13.2">
      <c r="A88" s="369" t="s">
        <v>579</v>
      </c>
      <c r="B88" s="523">
        <f>'Sources and Uses Budget'!C87</f>
        <v>150000</v>
      </c>
      <c r="C88" s="523">
        <f>'Sources and Uses Budget'!C87</f>
        <v>150000</v>
      </c>
      <c r="D88" s="523">
        <f>'Sources and Uses Budget'!C87</f>
        <v>150000</v>
      </c>
      <c r="E88" s="525">
        <f t="shared" si="2"/>
        <v>0</v>
      </c>
      <c r="F88" s="524"/>
      <c r="G88" s="524"/>
    </row>
    <row r="89" spans="1:7" s="899" customFormat="1" ht="13.2">
      <c r="A89" s="369" t="s">
        <v>580</v>
      </c>
      <c r="B89" s="523">
        <f>'Sources and Uses Budget'!C88</f>
        <v>100000</v>
      </c>
      <c r="C89" s="523">
        <f>'Sources and Uses Budget'!C88</f>
        <v>100000</v>
      </c>
      <c r="D89" s="523">
        <f>'Sources and Uses Budget'!C88</f>
        <v>100000</v>
      </c>
      <c r="E89" s="525">
        <f t="shared" si="2"/>
        <v>0</v>
      </c>
      <c r="F89" s="524"/>
      <c r="G89" s="524"/>
    </row>
    <row r="90" spans="1:7" s="899" customFormat="1" ht="13.2">
      <c r="A90" s="369" t="s">
        <v>581</v>
      </c>
      <c r="B90" s="523">
        <f>'Sources and Uses Budget'!C89</f>
        <v>22000</v>
      </c>
      <c r="C90" s="523">
        <f>'Sources and Uses Budget'!C89</f>
        <v>22000</v>
      </c>
      <c r="D90" s="523">
        <f>'Sources and Uses Budget'!C89</f>
        <v>22000</v>
      </c>
      <c r="E90" s="525">
        <f t="shared" si="2"/>
        <v>0</v>
      </c>
      <c r="F90" s="524"/>
      <c r="G90" s="524"/>
    </row>
    <row r="91" spans="1:7" s="899" customFormat="1" ht="13.2">
      <c r="A91" s="380" t="s">
        <v>1454</v>
      </c>
      <c r="B91" s="523">
        <f>'Sources and Uses Budget'!C90</f>
        <v>0</v>
      </c>
      <c r="C91" s="523">
        <f>'Sources and Uses Budget'!C90</f>
        <v>0</v>
      </c>
      <c r="D91" s="523">
        <f>'Sources and Uses Budget'!C90</f>
        <v>0</v>
      </c>
      <c r="E91" s="525">
        <f t="shared" si="2"/>
        <v>0</v>
      </c>
      <c r="F91" s="524"/>
      <c r="G91" s="524"/>
    </row>
    <row r="92" spans="1:7" s="899" customFormat="1" ht="13.2">
      <c r="A92" s="380" t="s">
        <v>1966</v>
      </c>
      <c r="B92" s="523">
        <f>'Sources and Uses Budget'!C91</f>
        <v>25000</v>
      </c>
      <c r="C92" s="523">
        <f>'Sources and Uses Budget'!C91</f>
        <v>25000</v>
      </c>
      <c r="D92" s="523">
        <f>'Sources and Uses Budget'!C91</f>
        <v>25000</v>
      </c>
      <c r="E92" s="525">
        <f t="shared" si="2"/>
        <v>0</v>
      </c>
      <c r="F92" s="524"/>
      <c r="G92" s="524"/>
    </row>
    <row r="93" spans="1:7" s="899" customFormat="1" ht="13.2">
      <c r="A93" s="376" t="s">
        <v>592</v>
      </c>
      <c r="B93" s="523">
        <f>'Sources and Uses Budget'!C92</f>
        <v>25000</v>
      </c>
      <c r="C93" s="523">
        <f>'Sources and Uses Budget'!C92</f>
        <v>25000</v>
      </c>
      <c r="D93" s="523">
        <f>'Sources and Uses Budget'!C92</f>
        <v>25000</v>
      </c>
      <c r="E93" s="525">
        <f t="shared" si="2"/>
        <v>0</v>
      </c>
      <c r="F93" s="524"/>
      <c r="G93" s="524"/>
    </row>
    <row r="94" spans="1:7" s="899" customFormat="1" ht="13.2">
      <c r="A94" s="376" t="s">
        <v>592</v>
      </c>
      <c r="B94" s="523">
        <f>'Sources and Uses Budget'!C93</f>
        <v>100000</v>
      </c>
      <c r="C94" s="523">
        <f>'Sources and Uses Budget'!C93</f>
        <v>100000</v>
      </c>
      <c r="D94" s="523">
        <f>'Sources and Uses Budget'!C93</f>
        <v>100000</v>
      </c>
      <c r="E94" s="525">
        <f t="shared" si="2"/>
        <v>0</v>
      </c>
      <c r="F94" s="524"/>
      <c r="G94" s="524"/>
    </row>
    <row r="95" spans="1:7" s="899" customFormat="1" ht="13.2">
      <c r="A95" s="376" t="s">
        <v>592</v>
      </c>
      <c r="B95" s="523">
        <f>'Sources and Uses Budget'!C94</f>
        <v>0</v>
      </c>
      <c r="C95" s="523">
        <f>'Sources and Uses Budget'!C94</f>
        <v>0</v>
      </c>
      <c r="D95" s="523">
        <f>'Sources and Uses Budget'!C94</f>
        <v>0</v>
      </c>
      <c r="E95" s="525">
        <f t="shared" si="2"/>
        <v>0</v>
      </c>
      <c r="F95" s="524"/>
      <c r="G95" s="524"/>
    </row>
    <row r="96" spans="1:7" s="899" customFormat="1" ht="13.2">
      <c r="A96" s="373" t="s">
        <v>582</v>
      </c>
      <c r="B96" s="1501">
        <f>'Sources and Uses Budget'!C95</f>
        <v>3787330</v>
      </c>
      <c r="C96" s="1501">
        <f>'Sources and Uses Budget'!C95</f>
        <v>3787330</v>
      </c>
      <c r="D96" s="1501">
        <f>'Sources and Uses Budget'!C95</f>
        <v>3787330</v>
      </c>
      <c r="E96" s="525">
        <f t="shared" si="2"/>
        <v>0</v>
      </c>
      <c r="F96" s="524"/>
      <c r="G96" s="524"/>
    </row>
    <row r="97" spans="1:7" s="898" customFormat="1" ht="13.2">
      <c r="A97" s="373" t="s">
        <v>583</v>
      </c>
      <c r="B97" s="1501">
        <f>'Sources and Uses Budget'!C96</f>
        <v>45914421</v>
      </c>
      <c r="C97" s="1501">
        <f>'Sources and Uses Budget'!C96</f>
        <v>45914421</v>
      </c>
      <c r="D97" s="1501">
        <f>'Sources and Uses Budget'!C96</f>
        <v>45914421</v>
      </c>
      <c r="E97" s="525">
        <f t="shared" si="2"/>
        <v>0</v>
      </c>
      <c r="F97" s="524"/>
      <c r="G97" s="524"/>
    </row>
    <row r="98" spans="1:7" s="898" customFormat="1" ht="13.2">
      <c r="A98" s="1489" t="s">
        <v>584</v>
      </c>
      <c r="B98" s="521"/>
      <c r="C98" s="521"/>
      <c r="D98" s="521"/>
      <c r="E98" s="521"/>
      <c r="F98" s="521"/>
      <c r="G98" s="521"/>
    </row>
    <row r="99" spans="1:7" s="898" customFormat="1" ht="13.2">
      <c r="A99" s="369" t="s">
        <v>585</v>
      </c>
      <c r="B99" s="523">
        <f>'Sources and Uses Budget'!C98</f>
        <v>2200000</v>
      </c>
      <c r="C99" s="523">
        <f>'Sources and Uses Budget'!C98</f>
        <v>2200000</v>
      </c>
      <c r="D99" s="523">
        <f>'Sources and Uses Budget'!C98</f>
        <v>2200000</v>
      </c>
      <c r="E99" s="525">
        <f t="shared" si="2"/>
        <v>0</v>
      </c>
      <c r="F99" s="524"/>
      <c r="G99" s="524"/>
    </row>
    <row r="100" spans="1:7" s="898"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898" customFormat="1" ht="13.2">
      <c r="A101" s="369" t="s">
        <v>586</v>
      </c>
      <c r="B101" s="523">
        <f>'Sources and Uses Budget'!C100</f>
        <v>0</v>
      </c>
      <c r="C101" s="523">
        <f>'Sources and Uses Budget'!C100</f>
        <v>0</v>
      </c>
      <c r="D101" s="523">
        <f>'Sources and Uses Budget'!C100</f>
        <v>0</v>
      </c>
      <c r="E101" s="525">
        <f t="shared" si="2"/>
        <v>0</v>
      </c>
      <c r="F101" s="524"/>
      <c r="G101" s="524"/>
    </row>
    <row r="102" spans="1:7" s="898" customFormat="1" ht="13.2">
      <c r="A102" s="369" t="s">
        <v>2311</v>
      </c>
      <c r="B102" s="523">
        <f>'Sources and Uses Budget'!C101</f>
        <v>0</v>
      </c>
      <c r="C102" s="523">
        <f>'Sources and Uses Budget'!C101</f>
        <v>0</v>
      </c>
      <c r="D102" s="523">
        <f>'Sources and Uses Budget'!C101</f>
        <v>0</v>
      </c>
      <c r="E102" s="525">
        <f t="shared" si="2"/>
        <v>0</v>
      </c>
      <c r="F102" s="524"/>
      <c r="G102" s="524"/>
    </row>
    <row r="103" spans="1:7" s="898" customFormat="1" ht="13.2">
      <c r="A103" s="1496" t="s">
        <v>592</v>
      </c>
      <c r="B103" s="523">
        <f>'Sources and Uses Budget'!C102</f>
        <v>0</v>
      </c>
      <c r="C103" s="523">
        <f>'Sources and Uses Budget'!C102</f>
        <v>0</v>
      </c>
      <c r="D103" s="523">
        <f>'Sources and Uses Budget'!C102</f>
        <v>0</v>
      </c>
      <c r="E103" s="525">
        <f t="shared" si="2"/>
        <v>0</v>
      </c>
      <c r="F103" s="524"/>
      <c r="G103" s="524"/>
    </row>
    <row r="104" spans="1:7" s="898" customFormat="1" ht="13.2">
      <c r="A104" s="1494" t="s">
        <v>587</v>
      </c>
      <c r="B104" s="1501">
        <f>'Sources and Uses Budget'!C103</f>
        <v>2200000</v>
      </c>
      <c r="C104" s="1501">
        <f>'Sources and Uses Budget'!C103</f>
        <v>2200000</v>
      </c>
      <c r="D104" s="1501">
        <f>'Sources and Uses Budget'!C103</f>
        <v>2200000</v>
      </c>
      <c r="E104" s="525">
        <f t="shared" si="2"/>
        <v>0</v>
      </c>
      <c r="F104" s="524"/>
      <c r="G104" s="524"/>
    </row>
    <row r="105" spans="1:7" s="898" customFormat="1" ht="13.2">
      <c r="A105" s="1494" t="s">
        <v>588</v>
      </c>
      <c r="B105" s="1501">
        <f>'Sources and Uses Budget'!C104</f>
        <v>48114421</v>
      </c>
      <c r="C105" s="1501">
        <f>'Sources and Uses Budget'!C104</f>
        <v>48114421</v>
      </c>
      <c r="D105" s="1501">
        <f>'Sources and Uses Budget'!C104</f>
        <v>48114421</v>
      </c>
      <c r="E105" s="525">
        <f t="shared" si="2"/>
        <v>0</v>
      </c>
      <c r="F105" s="524"/>
      <c r="G105" s="1500"/>
    </row>
    <row r="106" spans="1:7" s="898"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A4B64-5E68-42AF-8771-928C204675DA}">
  <dimension ref="A1"/>
  <sheetViews>
    <sheetView workbookViewId="0"/>
  </sheetViews>
  <sheetFormatPr defaultColWidth="8.77734375" defaultRowHeight="13.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6640625" style="16" hidden="1"/>
  </cols>
  <sheetData>
    <row r="1" spans="1:10" ht="14.25" customHeight="1"/>
    <row r="2" spans="1:10" ht="15.6">
      <c r="A2" s="1573" t="s">
        <v>333</v>
      </c>
      <c r="B2" s="1574"/>
      <c r="C2" s="1574"/>
      <c r="D2" s="1574"/>
      <c r="E2" s="1574"/>
      <c r="F2" s="1574"/>
      <c r="G2" s="1574"/>
      <c r="H2" s="1574"/>
      <c r="I2" s="1574"/>
      <c r="J2" s="1574"/>
    </row>
    <row r="3" spans="1:10" ht="15">
      <c r="A3" s="1575" t="s">
        <v>2313</v>
      </c>
      <c r="B3" s="1574"/>
      <c r="C3" s="1574"/>
      <c r="D3" s="1574"/>
      <c r="E3" s="1574"/>
      <c r="F3" s="1574"/>
      <c r="G3" s="1574"/>
      <c r="H3" s="1574"/>
      <c r="I3" s="1574"/>
      <c r="J3" s="1574"/>
    </row>
    <row r="4" spans="1:10"/>
    <row r="5" spans="1:10">
      <c r="A5" s="1576" t="s">
        <v>2315</v>
      </c>
      <c r="B5" s="1577"/>
      <c r="C5" s="1577"/>
      <c r="D5" s="1577"/>
      <c r="E5" s="1577"/>
      <c r="F5" s="1577"/>
      <c r="G5" s="1577"/>
      <c r="H5" s="1577"/>
      <c r="I5" s="1577"/>
      <c r="J5" s="1577"/>
    </row>
    <row r="6" spans="1:10">
      <c r="A6" s="1577"/>
      <c r="B6" s="1577"/>
      <c r="C6" s="1577"/>
      <c r="D6" s="1577"/>
      <c r="E6" s="1577"/>
      <c r="F6" s="1577"/>
      <c r="G6" s="1577"/>
      <c r="H6" s="1577"/>
      <c r="I6" s="1577"/>
      <c r="J6" s="1577"/>
    </row>
    <row r="7" spans="1:10">
      <c r="A7" s="1577"/>
      <c r="B7" s="1577"/>
      <c r="C7" s="1577"/>
      <c r="D7" s="1577"/>
      <c r="E7" s="1577"/>
      <c r="F7" s="1577"/>
      <c r="G7" s="1577"/>
      <c r="H7" s="1577"/>
      <c r="I7" s="1577"/>
      <c r="J7" s="1577"/>
    </row>
    <row r="8" spans="1:10">
      <c r="A8" s="1577"/>
      <c r="B8" s="1577"/>
      <c r="C8" s="1577"/>
      <c r="D8" s="1577"/>
      <c r="E8" s="1577"/>
      <c r="F8" s="1577"/>
      <c r="G8" s="1577"/>
      <c r="H8" s="1577"/>
      <c r="I8" s="1577"/>
      <c r="J8" s="1577"/>
    </row>
    <row r="9" spans="1:10">
      <c r="A9" s="1126"/>
      <c r="B9" s="1126"/>
      <c r="C9" s="1126"/>
      <c r="D9" s="1126"/>
      <c r="E9" s="1126"/>
      <c r="F9" s="1126"/>
      <c r="G9" s="1126"/>
      <c r="H9" s="1126"/>
      <c r="I9" s="1126"/>
      <c r="J9" s="1126"/>
    </row>
    <row r="10" spans="1:10" ht="12.75" customHeight="1">
      <c r="A10" s="1503" t="s">
        <v>2316</v>
      </c>
      <c r="B10" s="1502"/>
      <c r="C10" s="1502"/>
      <c r="D10" s="1502"/>
      <c r="E10" s="1502"/>
      <c r="F10" s="1502"/>
      <c r="G10" s="1502"/>
      <c r="H10" s="1502"/>
      <c r="I10" s="1502"/>
      <c r="J10" s="1502"/>
    </row>
    <row r="11" spans="1:10"/>
    <row r="12" spans="1:10" ht="12.75" customHeight="1">
      <c r="A12" s="1576" t="s">
        <v>2128</v>
      </c>
      <c r="B12" s="1578"/>
      <c r="C12" s="1578"/>
      <c r="D12" s="1578"/>
      <c r="E12" s="1578"/>
      <c r="F12" s="1578"/>
      <c r="G12" s="1578"/>
      <c r="H12" s="1578"/>
      <c r="I12" s="1578"/>
      <c r="J12" s="1578"/>
    </row>
    <row r="13" spans="1:10" ht="12.75" customHeight="1">
      <c r="A13" s="1578"/>
      <c r="B13" s="1578"/>
      <c r="C13" s="1578"/>
      <c r="D13" s="1578"/>
      <c r="E13" s="1578"/>
      <c r="F13" s="1578"/>
      <c r="G13" s="1578"/>
      <c r="H13" s="1578"/>
      <c r="I13" s="1578"/>
      <c r="J13" s="1578"/>
    </row>
    <row r="14" spans="1:10">
      <c r="A14" s="1578"/>
      <c r="B14" s="1578"/>
      <c r="C14" s="1578"/>
      <c r="D14" s="1578"/>
      <c r="E14" s="1578"/>
      <c r="F14" s="1578"/>
      <c r="G14" s="1578"/>
      <c r="H14" s="1578"/>
      <c r="I14" s="1578"/>
      <c r="J14" s="1578"/>
    </row>
    <row r="15" spans="1:10">
      <c r="A15" s="1577"/>
      <c r="B15" s="1577"/>
      <c r="C15" s="1577"/>
      <c r="D15" s="1577"/>
      <c r="E15" s="1577"/>
      <c r="F15" s="1577"/>
      <c r="G15" s="1577"/>
      <c r="H15" s="1577"/>
      <c r="I15" s="1577"/>
      <c r="J15" s="1577"/>
    </row>
    <row r="16" spans="1:10">
      <c r="A16" s="1577"/>
      <c r="B16" s="1577"/>
      <c r="C16" s="1577"/>
      <c r="D16" s="1577"/>
      <c r="E16" s="1577"/>
      <c r="F16" s="1577"/>
      <c r="G16" s="1577"/>
      <c r="H16" s="1577"/>
      <c r="I16" s="1577"/>
      <c r="J16" s="1577"/>
    </row>
    <row r="17" spans="1:10">
      <c r="A17" s="1577"/>
      <c r="B17" s="1577"/>
      <c r="C17" s="1577"/>
      <c r="D17" s="1577"/>
      <c r="E17" s="1577"/>
      <c r="F17" s="1577"/>
      <c r="G17" s="1577"/>
      <c r="H17" s="1577"/>
      <c r="I17" s="1577"/>
      <c r="J17" s="1577"/>
    </row>
    <row r="18" spans="1:10">
      <c r="A18" s="40" t="s">
        <v>1148</v>
      </c>
      <c r="B18" s="1126"/>
      <c r="C18" s="1126"/>
      <c r="D18" s="1126"/>
      <c r="E18" s="1126"/>
      <c r="F18" s="1126"/>
      <c r="G18" s="1126"/>
      <c r="H18" s="1126"/>
      <c r="I18" s="1126"/>
      <c r="J18" s="1126"/>
    </row>
    <row r="19" spans="1:10">
      <c r="A19" s="1127" t="s">
        <v>255</v>
      </c>
      <c r="B19" s="1127"/>
      <c r="C19" s="1127"/>
      <c r="D19" s="1127"/>
      <c r="E19" s="1127"/>
      <c r="F19" s="1127"/>
      <c r="G19" s="1127"/>
      <c r="H19" s="1127"/>
      <c r="I19" s="1127"/>
      <c r="J19" s="1127"/>
    </row>
    <row r="20" spans="1:10">
      <c r="A20" s="1579" t="s">
        <v>1130</v>
      </c>
      <c r="B20" s="1574"/>
      <c r="C20" s="1574"/>
      <c r="D20" s="1574"/>
      <c r="E20" s="157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8" t="s">
        <v>1149</v>
      </c>
      <c r="B57" s="1577"/>
      <c r="C57" s="1577"/>
      <c r="D57" s="1577"/>
      <c r="E57" s="1577"/>
      <c r="F57" s="1577"/>
      <c r="G57" s="1577"/>
      <c r="H57" s="1577"/>
      <c r="I57" s="1577"/>
      <c r="J57" s="1577"/>
    </row>
    <row r="58" spans="1:10">
      <c r="A58" s="1577"/>
      <c r="B58" s="1577"/>
      <c r="C58" s="1577"/>
      <c r="D58" s="1577"/>
      <c r="E58" s="1577"/>
      <c r="F58" s="1577"/>
      <c r="G58" s="1577"/>
      <c r="H58" s="1577"/>
      <c r="I58" s="1577"/>
      <c r="J58" s="1577"/>
    </row>
    <row r="59" spans="1:10">
      <c r="A59" s="1577"/>
      <c r="B59" s="1577"/>
      <c r="C59" s="1577"/>
      <c r="D59" s="1577"/>
      <c r="E59" s="1577"/>
      <c r="F59" s="1577"/>
      <c r="G59" s="1577"/>
      <c r="H59" s="1577"/>
      <c r="I59" s="1577"/>
      <c r="J59" s="1577"/>
    </row>
    <row r="60" spans="1:10"/>
    <row r="61" spans="1:10">
      <c r="A61" s="8" t="s">
        <v>1130</v>
      </c>
    </row>
    <row r="62" spans="1:10"/>
    <row r="63" spans="1:10"/>
    <row r="64" spans="1:10"/>
    <row r="65" spans="1:9"/>
    <row r="66" spans="1:9"/>
    <row r="67" spans="1:9"/>
    <row r="68" spans="1:9"/>
    <row r="69" spans="1:9"/>
    <row r="70" spans="1:9"/>
    <row r="71" spans="1:9"/>
    <row r="72" spans="1:9">
      <c r="A72" s="1572" t="s">
        <v>1265</v>
      </c>
      <c r="B72" s="1572"/>
      <c r="C72" s="1572"/>
      <c r="D72" s="1572"/>
      <c r="E72" s="1572"/>
      <c r="F72" s="1572"/>
      <c r="G72" s="1572"/>
      <c r="H72" s="1572"/>
      <c r="I72" s="1572"/>
    </row>
    <row r="73" spans="1:9">
      <c r="A73" s="1571" t="s">
        <v>1424</v>
      </c>
      <c r="B73" s="1571"/>
      <c r="C73" s="1571"/>
      <c r="D73" s="1571"/>
      <c r="E73" s="1571"/>
      <c r="F73" s="1125"/>
    </row>
    <row r="74" spans="1:9">
      <c r="A74" s="1571" t="s">
        <v>1423</v>
      </c>
      <c r="B74" s="1571"/>
      <c r="C74" s="1571"/>
      <c r="D74" s="1571"/>
      <c r="E74" s="1571"/>
      <c r="F74" s="1125"/>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38" zoomScaleNormal="100" zoomScaleSheetLayoutView="100" workbookViewId="0">
      <selection activeCell="G1127" sqref="G1127"/>
    </sheetView>
  </sheetViews>
  <sheetFormatPr defaultColWidth="0" defaultRowHeight="13.95"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6640625" style="2" hidden="1"/>
    <col min="16384" max="16384" width="0.33203125" style="2" hidden="1" customWidth="1"/>
  </cols>
  <sheetData>
    <row r="1" spans="1:9" ht="13.95" customHeight="1">
      <c r="A1" s="14"/>
      <c r="B1" s="14"/>
      <c r="C1" s="14"/>
      <c r="D1" s="282"/>
      <c r="E1" s="282"/>
      <c r="F1" s="282"/>
    </row>
    <row r="2" spans="1:9" ht="13.2">
      <c r="A2" s="1618" t="s">
        <v>2304</v>
      </c>
      <c r="B2" s="1618"/>
      <c r="C2" s="1619"/>
      <c r="D2" s="1619"/>
      <c r="E2" s="1619"/>
      <c r="F2" s="1619"/>
      <c r="G2" s="1619"/>
      <c r="I2" s="2" t="s">
        <v>86</v>
      </c>
    </row>
    <row r="3" spans="1:9" ht="13.2">
      <c r="A3" s="298"/>
      <c r="B3" s="298"/>
      <c r="C3" s="13"/>
      <c r="D3" s="13"/>
      <c r="E3" s="13"/>
      <c r="F3" s="13"/>
      <c r="G3" s="707"/>
      <c r="I3" s="329" t="s">
        <v>1548</v>
      </c>
    </row>
    <row r="4" spans="1:9" ht="13.2">
      <c r="A4" s="1620" t="s">
        <v>1157</v>
      </c>
      <c r="B4" s="1620"/>
      <c r="C4" s="1621"/>
      <c r="D4" s="1621"/>
      <c r="E4" s="1621"/>
      <c r="F4" s="1621"/>
      <c r="G4" s="1621"/>
      <c r="I4" s="329" t="s">
        <v>1531</v>
      </c>
    </row>
    <row r="5" spans="1:9" ht="13.2">
      <c r="A5" s="1620" t="s">
        <v>1158</v>
      </c>
      <c r="B5" s="1620"/>
      <c r="C5" s="1621"/>
      <c r="D5" s="1621"/>
      <c r="E5" s="1621"/>
      <c r="F5" s="1621"/>
      <c r="G5" s="1621"/>
      <c r="I5" s="2" t="s">
        <v>136</v>
      </c>
    </row>
    <row r="6" spans="1:9" ht="13.95" customHeight="1">
      <c r="A6" s="14"/>
      <c r="B6" s="14"/>
      <c r="C6" s="14"/>
      <c r="D6" s="282"/>
      <c r="E6" s="282"/>
      <c r="F6" s="282"/>
    </row>
    <row r="7" spans="1:9" ht="13.2">
      <c r="A7" s="1622" t="s">
        <v>1586</v>
      </c>
      <c r="B7" s="1622"/>
      <c r="C7" s="1623"/>
      <c r="D7" s="1623"/>
      <c r="E7" s="1623"/>
      <c r="F7" s="1623"/>
      <c r="G7" s="1623"/>
    </row>
    <row r="8" spans="1:9" ht="13.2">
      <c r="A8" s="1622" t="s">
        <v>1587</v>
      </c>
      <c r="B8" s="1622"/>
      <c r="C8" s="1623"/>
      <c r="D8" s="1623"/>
      <c r="E8" s="1623"/>
      <c r="F8" s="1623"/>
      <c r="G8" s="1623"/>
    </row>
    <row r="9" spans="1:9" ht="13.2">
      <c r="A9" s="301"/>
      <c r="B9" s="301"/>
      <c r="C9" s="298"/>
      <c r="D9" s="298"/>
      <c r="E9" s="298"/>
      <c r="F9" s="298"/>
      <c r="G9" s="406"/>
    </row>
    <row r="10" spans="1:9" ht="13.2">
      <c r="A10" s="1624" t="s">
        <v>1735</v>
      </c>
      <c r="B10" s="1624"/>
      <c r="C10" s="1624"/>
      <c r="D10" s="1624"/>
      <c r="E10" s="1624"/>
      <c r="F10" s="1624"/>
      <c r="G10" s="1624"/>
    </row>
    <row r="11" spans="1:9" ht="13.2">
      <c r="A11" s="414"/>
      <c r="B11" s="414"/>
      <c r="C11" s="14"/>
      <c r="D11" s="282"/>
      <c r="E11" s="282"/>
      <c r="F11" s="282"/>
    </row>
    <row r="12" spans="1:9" ht="13.95" customHeight="1">
      <c r="A12" s="140"/>
      <c r="B12" s="140"/>
      <c r="C12" s="298"/>
      <c r="D12" s="1625" t="s">
        <v>1734</v>
      </c>
      <c r="E12" s="1625"/>
      <c r="F12" s="1625"/>
      <c r="G12" s="948"/>
    </row>
    <row r="13" spans="1:9" ht="13.2">
      <c r="A13" s="140"/>
      <c r="B13" s="140"/>
      <c r="C13" s="298"/>
      <c r="D13" s="1625"/>
      <c r="E13" s="1625"/>
      <c r="F13" s="1625"/>
      <c r="G13" s="948"/>
    </row>
    <row r="14" spans="1:9" ht="13.2">
      <c r="A14" s="415"/>
      <c r="B14" s="415"/>
      <c r="C14" s="299"/>
      <c r="D14" s="1584" t="s">
        <v>1573</v>
      </c>
      <c r="E14" s="1584"/>
      <c r="F14" s="1584"/>
      <c r="G14" s="484"/>
    </row>
    <row r="15" spans="1:9" ht="13.2">
      <c r="A15" s="415"/>
      <c r="B15" s="415"/>
      <c r="C15" s="299"/>
      <c r="D15" s="282"/>
      <c r="E15" s="282"/>
      <c r="F15" s="282"/>
    </row>
    <row r="16" spans="1:9" ht="14.7" customHeight="1">
      <c r="A16" s="413"/>
      <c r="B16" s="947" t="s">
        <v>1531</v>
      </c>
      <c r="C16" s="299"/>
      <c r="D16" s="1582" t="s">
        <v>1530</v>
      </c>
      <c r="E16" s="1582"/>
      <c r="F16" s="1582"/>
      <c r="G16" s="568"/>
    </row>
    <row r="17" spans="1:7" ht="14.7" customHeight="1">
      <c r="A17" s="413"/>
      <c r="B17" s="14"/>
      <c r="C17" s="299"/>
      <c r="D17" s="1582"/>
      <c r="E17" s="1582"/>
      <c r="F17" s="1582"/>
      <c r="G17" s="568"/>
    </row>
    <row r="18" spans="1:7" ht="13.2">
      <c r="A18" s="415"/>
      <c r="B18" s="14"/>
      <c r="C18" s="299"/>
      <c r="D18" s="1582"/>
      <c r="E18" s="1582"/>
      <c r="F18" s="1582"/>
      <c r="G18" s="568"/>
    </row>
    <row r="19" spans="1:7" ht="13.2">
      <c r="A19" s="415"/>
      <c r="B19" s="415"/>
      <c r="C19" s="299"/>
      <c r="D19" s="282"/>
      <c r="E19" s="282"/>
      <c r="F19" s="282"/>
    </row>
    <row r="20" spans="1:7" ht="14.4">
      <c r="A20" s="413"/>
      <c r="B20" s="947" t="s">
        <v>1531</v>
      </c>
      <c r="C20" s="14"/>
      <c r="D20" s="1591" t="s">
        <v>1564</v>
      </c>
      <c r="E20" s="1591"/>
      <c r="F20" s="1591"/>
    </row>
    <row r="21" spans="1:7" ht="14.4">
      <c r="A21" s="413"/>
      <c r="B21" s="413"/>
      <c r="C21" s="14"/>
      <c r="D21" s="287"/>
      <c r="E21" s="282"/>
      <c r="F21" s="282"/>
    </row>
    <row r="22" spans="1:7" ht="14.4">
      <c r="A22" s="413"/>
      <c r="B22" s="947" t="s">
        <v>136</v>
      </c>
      <c r="C22" s="14"/>
      <c r="D22" s="1582" t="s">
        <v>1565</v>
      </c>
      <c r="E22" s="1582"/>
      <c r="F22" s="1582"/>
    </row>
    <row r="23" spans="1:7" ht="14.4">
      <c r="A23" s="413"/>
      <c r="B23" s="413"/>
      <c r="C23" s="14"/>
      <c r="D23" s="1582"/>
      <c r="E23" s="1582"/>
      <c r="F23" s="1582"/>
    </row>
    <row r="24" spans="1:7" ht="14.4">
      <c r="A24" s="413"/>
      <c r="B24" s="413"/>
      <c r="C24" s="14"/>
      <c r="D24" s="287"/>
      <c r="E24" s="282"/>
      <c r="F24" s="282"/>
    </row>
    <row r="25" spans="1:7" ht="14.25" customHeight="1">
      <c r="A25" s="570"/>
      <c r="B25" s="947" t="s">
        <v>1531</v>
      </c>
      <c r="D25" s="1615" t="s">
        <v>1567</v>
      </c>
      <c r="E25" s="1615"/>
      <c r="F25" s="1615"/>
    </row>
    <row r="26" spans="1:7" ht="14.4">
      <c r="A26" s="570"/>
      <c r="B26" s="570"/>
      <c r="D26" s="1615"/>
      <c r="E26" s="1615"/>
      <c r="F26" s="1615"/>
    </row>
    <row r="27" spans="1:7" ht="14.4">
      <c r="A27" s="570"/>
      <c r="B27" s="570"/>
      <c r="D27" s="1615"/>
      <c r="E27" s="1615"/>
      <c r="F27" s="1615"/>
    </row>
    <row r="28" spans="1:7" ht="14.4">
      <c r="A28" s="570"/>
      <c r="B28" s="570"/>
      <c r="D28" s="1615"/>
      <c r="E28" s="1615"/>
      <c r="F28" s="1615"/>
    </row>
    <row r="29" spans="1:7" ht="14.4">
      <c r="A29" s="570"/>
      <c r="B29" s="570"/>
      <c r="D29" s="1615"/>
      <c r="E29" s="1615"/>
      <c r="F29" s="1615"/>
    </row>
    <row r="30" spans="1:7" ht="14.4">
      <c r="A30" s="570"/>
      <c r="B30" s="570"/>
      <c r="D30" s="907"/>
      <c r="F30" s="952"/>
    </row>
    <row r="31" spans="1:7" ht="14.7" customHeight="1">
      <c r="A31" s="570"/>
      <c r="B31" s="947" t="s">
        <v>136</v>
      </c>
      <c r="D31" s="1626" t="s">
        <v>1566</v>
      </c>
      <c r="E31" s="1626"/>
      <c r="F31" s="1626"/>
    </row>
    <row r="32" spans="1:7" ht="14.4">
      <c r="A32" s="570"/>
      <c r="B32" s="570"/>
      <c r="D32" s="1626"/>
      <c r="E32" s="1626"/>
      <c r="F32" s="1626"/>
    </row>
    <row r="33" spans="1:6" ht="14.4">
      <c r="A33" s="413"/>
      <c r="B33" s="413"/>
      <c r="C33" s="14"/>
      <c r="D33" s="951"/>
      <c r="E33" s="951"/>
      <c r="F33" s="951"/>
    </row>
    <row r="34" spans="1:6" ht="14.4">
      <c r="A34" s="413"/>
      <c r="B34" s="947" t="s">
        <v>1531</v>
      </c>
      <c r="C34" s="14"/>
      <c r="D34" s="1627" t="s">
        <v>1979</v>
      </c>
      <c r="E34" s="1626"/>
      <c r="F34" s="1626"/>
    </row>
    <row r="35" spans="1:6" ht="14.4">
      <c r="A35" s="413"/>
      <c r="B35" s="413"/>
      <c r="C35" s="14"/>
      <c r="D35" s="1626"/>
      <c r="E35" s="1626"/>
      <c r="F35" s="1626"/>
    </row>
    <row r="36" spans="1:6" ht="14.4">
      <c r="A36" s="413"/>
      <c r="B36" s="413"/>
      <c r="C36" s="14"/>
      <c r="D36" s="1626"/>
      <c r="E36" s="1626"/>
      <c r="F36" s="1626"/>
    </row>
    <row r="37" spans="1:6" ht="14.4">
      <c r="A37" s="413"/>
      <c r="B37" s="413"/>
      <c r="C37" s="14"/>
      <c r="D37" s="1626"/>
      <c r="E37" s="1626"/>
      <c r="F37" s="1626"/>
    </row>
    <row r="38" spans="1:6" ht="14.4">
      <c r="A38" s="413"/>
      <c r="B38" s="413"/>
      <c r="C38" s="14"/>
      <c r="D38" s="1626"/>
      <c r="E38" s="1626"/>
      <c r="F38" s="1626"/>
    </row>
    <row r="39" spans="1:6" ht="14.4">
      <c r="A39" s="413"/>
      <c r="B39" s="413"/>
      <c r="C39" s="14"/>
      <c r="D39" s="1626"/>
      <c r="E39" s="1626"/>
      <c r="F39" s="1626"/>
    </row>
    <row r="40" spans="1:6" ht="14.4">
      <c r="A40" s="413"/>
      <c r="B40" s="413"/>
      <c r="C40" s="14"/>
      <c r="D40" s="1626"/>
      <c r="E40" s="1626"/>
      <c r="F40" s="1626"/>
    </row>
    <row r="41" spans="1:6" ht="14.4">
      <c r="A41" s="413"/>
      <c r="B41" s="413"/>
      <c r="C41" s="14"/>
      <c r="D41" s="1626"/>
      <c r="E41" s="1626"/>
      <c r="F41" s="1626"/>
    </row>
    <row r="42" spans="1:6" ht="14.4">
      <c r="A42" s="413"/>
      <c r="B42" s="413"/>
      <c r="C42" s="14"/>
      <c r="D42" s="954"/>
      <c r="E42" s="954"/>
      <c r="F42" s="954"/>
    </row>
    <row r="43" spans="1:6" ht="14.7" customHeight="1">
      <c r="A43" s="413"/>
      <c r="B43" s="947" t="s">
        <v>136</v>
      </c>
      <c r="C43" s="14"/>
      <c r="D43" s="1626" t="s">
        <v>1608</v>
      </c>
      <c r="E43" s="1626"/>
      <c r="F43" s="1626"/>
    </row>
    <row r="44" spans="1:6" ht="14.4">
      <c r="A44" s="413"/>
      <c r="B44" s="413"/>
      <c r="C44" s="14"/>
      <c r="D44" s="1626"/>
      <c r="E44" s="1626"/>
      <c r="F44" s="1626"/>
    </row>
    <row r="45" spans="1:6" ht="14.4">
      <c r="A45" s="413"/>
      <c r="B45" s="413"/>
      <c r="C45" s="14"/>
      <c r="D45" s="1626"/>
      <c r="E45" s="1626"/>
      <c r="F45" s="1626"/>
    </row>
    <row r="46" spans="1:6" ht="14.4">
      <c r="A46" s="413"/>
      <c r="B46" s="413"/>
      <c r="C46" s="14"/>
      <c r="D46" s="1626"/>
      <c r="E46" s="1626"/>
      <c r="F46" s="1626"/>
    </row>
    <row r="47" spans="1:6" ht="14.4">
      <c r="A47" s="413"/>
      <c r="B47" s="413"/>
      <c r="C47" s="14"/>
      <c r="D47" s="1626"/>
      <c r="E47" s="1626"/>
      <c r="F47" s="1626"/>
    </row>
    <row r="48" spans="1:6" ht="14.4">
      <c r="A48" s="413"/>
      <c r="B48" s="413"/>
      <c r="C48" s="14"/>
      <c r="D48" s="403"/>
    </row>
    <row r="49" spans="1:6" ht="14.4">
      <c r="A49" s="413"/>
      <c r="B49" s="947" t="s">
        <v>1531</v>
      </c>
      <c r="C49" s="14"/>
      <c r="D49" s="1627" t="s">
        <v>2148</v>
      </c>
      <c r="E49" s="1626"/>
      <c r="F49" s="1626"/>
    </row>
    <row r="50" spans="1:6" ht="14.4">
      <c r="A50" s="413"/>
      <c r="B50" s="413"/>
      <c r="C50" s="14"/>
      <c r="D50" s="1626"/>
      <c r="E50" s="1626"/>
      <c r="F50" s="1626"/>
    </row>
    <row r="51" spans="1:6" ht="14.4">
      <c r="A51" s="413"/>
      <c r="B51" s="413"/>
      <c r="C51" s="14"/>
      <c r="D51" s="1626"/>
      <c r="E51" s="1626"/>
      <c r="F51" s="1626"/>
    </row>
    <row r="52" spans="1:6" ht="14.4">
      <c r="A52" s="413"/>
      <c r="B52" s="413"/>
      <c r="C52" s="14"/>
      <c r="D52" s="1626"/>
      <c r="E52" s="1626"/>
      <c r="F52" s="1626"/>
    </row>
    <row r="53" spans="1:6" ht="14.4">
      <c r="A53" s="413"/>
      <c r="B53" s="413"/>
      <c r="C53" s="14"/>
      <c r="D53" s="1626"/>
      <c r="E53" s="1626"/>
      <c r="F53" s="1626"/>
    </row>
    <row r="54" spans="1:6" ht="15" customHeight="1">
      <c r="A54" s="413"/>
      <c r="B54" s="413"/>
      <c r="C54" s="14"/>
      <c r="D54" s="1626"/>
      <c r="E54" s="1626"/>
      <c r="F54" s="1626"/>
    </row>
    <row r="55" spans="1:6" ht="14.4">
      <c r="A55" s="413"/>
      <c r="B55" s="413"/>
      <c r="C55" s="14"/>
      <c r="D55" s="2"/>
    </row>
    <row r="56" spans="1:6" ht="14.4">
      <c r="A56" s="413"/>
      <c r="B56" s="947" t="s">
        <v>136</v>
      </c>
      <c r="C56" s="14"/>
      <c r="D56" s="1627" t="s">
        <v>2201</v>
      </c>
      <c r="E56" s="1626"/>
      <c r="F56" s="1626"/>
    </row>
    <row r="57" spans="1:6" ht="14.4">
      <c r="A57" s="413"/>
      <c r="B57" s="413"/>
      <c r="C57" s="14"/>
      <c r="D57" s="1626"/>
      <c r="E57" s="1626"/>
      <c r="F57" s="1626"/>
    </row>
    <row r="58" spans="1:6" ht="14.4">
      <c r="A58" s="413"/>
      <c r="B58" s="413"/>
      <c r="C58" s="14"/>
      <c r="D58" s="1626"/>
      <c r="E58" s="1626"/>
      <c r="F58" s="1626"/>
    </row>
    <row r="59" spans="1:6" ht="14.4">
      <c r="A59" s="413"/>
      <c r="B59" s="413"/>
      <c r="C59" s="14"/>
      <c r="D59" s="1626"/>
      <c r="E59" s="1626"/>
      <c r="F59" s="1626"/>
    </row>
    <row r="60" spans="1:6" ht="17.25" customHeight="1">
      <c r="A60" s="413"/>
      <c r="B60" s="413"/>
      <c r="C60" s="14"/>
      <c r="D60" s="1626"/>
      <c r="E60" s="1626"/>
      <c r="F60" s="1626"/>
    </row>
    <row r="61" spans="1:6" ht="14.25" customHeight="1">
      <c r="A61" s="413"/>
      <c r="B61" s="947" t="s">
        <v>136</v>
      </c>
      <c r="C61" s="14"/>
      <c r="D61" s="1580" t="s">
        <v>1613</v>
      </c>
      <c r="E61" s="1580"/>
      <c r="F61" s="1580"/>
    </row>
    <row r="62" spans="1:6" ht="15" customHeight="1">
      <c r="A62" s="413"/>
      <c r="B62" s="413"/>
      <c r="C62" s="14"/>
      <c r="D62" s="1580"/>
      <c r="E62" s="1580"/>
      <c r="F62" s="1580"/>
    </row>
    <row r="63" spans="1:6" ht="21.45" customHeight="1">
      <c r="A63" s="413"/>
      <c r="B63" s="413"/>
      <c r="C63" s="14"/>
      <c r="D63" s="1580"/>
      <c r="E63" s="1580"/>
      <c r="F63" s="1580"/>
    </row>
    <row r="64" spans="1:6" ht="14.4">
      <c r="A64" s="413"/>
      <c r="B64" s="413"/>
      <c r="C64" s="14"/>
      <c r="D64" s="136"/>
    </row>
    <row r="65" spans="1:6" ht="14.4">
      <c r="A65" s="570"/>
      <c r="B65" s="947" t="s">
        <v>1531</v>
      </c>
      <c r="D65" s="1626" t="s">
        <v>1614</v>
      </c>
      <c r="E65" s="1626"/>
      <c r="F65" s="1626"/>
    </row>
    <row r="66" spans="1:6" ht="14.4">
      <c r="A66" s="570"/>
      <c r="B66" s="570"/>
      <c r="D66" s="1626"/>
      <c r="E66" s="1626"/>
      <c r="F66" s="1626"/>
    </row>
    <row r="67" spans="1:6" ht="14.4">
      <c r="A67" s="413"/>
      <c r="B67" s="413"/>
      <c r="C67" s="14"/>
      <c r="D67" s="136"/>
    </row>
    <row r="68" spans="1:6" ht="14.4">
      <c r="A68" s="413"/>
      <c r="B68" s="947" t="s">
        <v>136</v>
      </c>
      <c r="C68" s="14"/>
      <c r="D68" s="1626" t="s">
        <v>1733</v>
      </c>
      <c r="E68" s="1626"/>
      <c r="F68" s="1626"/>
    </row>
    <row r="69" spans="1:6" ht="13.2">
      <c r="A69" s="140"/>
      <c r="B69" s="140"/>
      <c r="C69" s="14"/>
      <c r="D69" s="1626"/>
      <c r="E69" s="1626"/>
      <c r="F69" s="1626"/>
    </row>
    <row r="70" spans="1:6" ht="13.2">
      <c r="A70" s="140"/>
      <c r="B70" s="140"/>
      <c r="C70" s="14"/>
      <c r="D70" s="1626"/>
      <c r="E70" s="1626"/>
      <c r="F70" s="1626"/>
    </row>
    <row r="71" spans="1:6" ht="13.2">
      <c r="A71" s="140"/>
      <c r="B71" s="140"/>
      <c r="C71" s="14"/>
      <c r="D71" s="282"/>
      <c r="E71" s="282"/>
      <c r="F71" s="282"/>
    </row>
    <row r="72" spans="1:6" ht="14.4">
      <c r="A72" s="413" t="s">
        <v>255</v>
      </c>
      <c r="B72" s="947" t="s">
        <v>136</v>
      </c>
      <c r="C72" s="14"/>
      <c r="D72" s="1626" t="s">
        <v>1615</v>
      </c>
      <c r="E72" s="1626"/>
      <c r="F72" s="1626"/>
    </row>
    <row r="73" spans="1:6" ht="13.2">
      <c r="A73" s="140"/>
      <c r="B73" s="140"/>
      <c r="C73" s="14"/>
      <c r="D73" s="1626"/>
      <c r="E73" s="1626"/>
      <c r="F73" s="1626"/>
    </row>
    <row r="74" spans="1:6" ht="13.2">
      <c r="A74" s="140"/>
      <c r="B74" s="140"/>
      <c r="C74" s="14"/>
      <c r="D74" s="282"/>
      <c r="E74" s="282"/>
      <c r="F74" s="282"/>
    </row>
    <row r="75" spans="1:6" ht="14.4">
      <c r="A75" s="413" t="s">
        <v>255</v>
      </c>
      <c r="B75" s="947" t="s">
        <v>1531</v>
      </c>
      <c r="C75" s="14"/>
      <c r="D75" s="1626" t="s">
        <v>1616</v>
      </c>
      <c r="E75" s="1626"/>
      <c r="F75" s="1626"/>
    </row>
    <row r="76" spans="1:6" ht="13.2">
      <c r="A76" s="140"/>
      <c r="B76" s="140"/>
      <c r="C76" s="14"/>
      <c r="D76" s="1626"/>
      <c r="E76" s="1626"/>
      <c r="F76" s="1626"/>
    </row>
    <row r="77" spans="1:6" ht="13.2">
      <c r="A77" s="140"/>
      <c r="B77" s="140"/>
      <c r="C77" s="14"/>
      <c r="D77" s="1626"/>
      <c r="E77" s="1626"/>
      <c r="F77" s="1626"/>
    </row>
    <row r="78" spans="1:6" ht="13.2">
      <c r="A78" s="140"/>
      <c r="B78" s="140"/>
      <c r="C78" s="14"/>
      <c r="D78" s="403"/>
      <c r="E78" s="282"/>
      <c r="F78" s="282"/>
    </row>
    <row r="79" spans="1:6" ht="14.4">
      <c r="A79" s="413" t="s">
        <v>255</v>
      </c>
      <c r="B79" s="947" t="s">
        <v>1531</v>
      </c>
      <c r="C79" s="14"/>
      <c r="D79" s="1582" t="s">
        <v>1617</v>
      </c>
      <c r="E79" s="1582"/>
      <c r="F79" s="1582"/>
    </row>
    <row r="80" spans="1:6" ht="13.2">
      <c r="A80" s="140"/>
      <c r="B80" s="140"/>
      <c r="C80" s="14"/>
      <c r="D80" s="1582"/>
      <c r="E80" s="1582"/>
      <c r="F80" s="1582"/>
    </row>
    <row r="81" spans="1:7" ht="13.2">
      <c r="A81" s="140"/>
      <c r="B81" s="140"/>
      <c r="C81" s="14"/>
      <c r="D81" s="282"/>
      <c r="E81" s="282"/>
      <c r="F81" s="282"/>
    </row>
    <row r="82" spans="1:7" ht="13.2">
      <c r="A82" s="1598" t="s">
        <v>1536</v>
      </c>
      <c r="B82" s="1598"/>
      <c r="C82" s="1598"/>
      <c r="D82" s="1598"/>
      <c r="E82" s="1598"/>
      <c r="F82" s="1598"/>
      <c r="G82" s="1598"/>
    </row>
    <row r="83" spans="1:7" ht="13.2">
      <c r="A83" s="140"/>
      <c r="B83" s="140"/>
      <c r="C83" s="14"/>
      <c r="D83" s="282"/>
      <c r="E83" s="2"/>
      <c r="F83" s="2"/>
      <c r="G83" s="2"/>
    </row>
    <row r="84" spans="1:7" ht="13.95" customHeight="1">
      <c r="A84" s="140"/>
      <c r="B84" s="140"/>
      <c r="C84" s="923"/>
      <c r="D84" s="1617" t="s">
        <v>1537</v>
      </c>
      <c r="E84" s="1617"/>
      <c r="F84" s="1617"/>
      <c r="G84" s="2"/>
    </row>
    <row r="85" spans="1:7" ht="13.95" customHeight="1">
      <c r="A85" s="143"/>
      <c r="B85" s="143"/>
      <c r="C85" s="14"/>
      <c r="D85" s="1582" t="s">
        <v>1736</v>
      </c>
      <c r="E85" s="1582"/>
      <c r="F85" s="1582"/>
      <c r="G85" s="2"/>
    </row>
    <row r="86" spans="1:7" ht="13.2">
      <c r="A86" s="143"/>
      <c r="B86" s="143"/>
      <c r="C86" s="14"/>
      <c r="D86" s="282"/>
      <c r="E86" s="2"/>
      <c r="F86" s="2"/>
      <c r="G86" s="2"/>
    </row>
    <row r="87" spans="1:7" ht="14.25" customHeight="1">
      <c r="A87" s="413"/>
      <c r="B87" s="947" t="s">
        <v>1531</v>
      </c>
      <c r="C87" s="14"/>
      <c r="D87" s="1581" t="s">
        <v>2117</v>
      </c>
      <c r="E87" s="1581"/>
      <c r="F87" s="1581"/>
      <c r="G87" s="2"/>
    </row>
    <row r="88" spans="1:7" ht="14.7" customHeight="1">
      <c r="A88" s="413"/>
      <c r="B88" s="14"/>
      <c r="C88" s="14"/>
      <c r="D88" s="1581"/>
      <c r="E88" s="1581"/>
      <c r="F88" s="1581"/>
      <c r="G88" s="2"/>
    </row>
    <row r="89" spans="1:7" ht="14.4">
      <c r="A89" s="413"/>
      <c r="B89" s="413"/>
      <c r="C89" s="14"/>
      <c r="D89" s="1581"/>
      <c r="E89" s="1581"/>
      <c r="F89" s="1581"/>
      <c r="G89" s="2"/>
    </row>
    <row r="90" spans="1:7" ht="14.4">
      <c r="A90" s="413"/>
      <c r="B90" s="413"/>
      <c r="C90" s="14"/>
      <c r="D90" s="1581"/>
      <c r="E90" s="1581"/>
      <c r="F90" s="1581"/>
      <c r="G90" s="2"/>
    </row>
    <row r="91" spans="1:7" ht="14.4">
      <c r="A91" s="413"/>
      <c r="B91" s="413"/>
      <c r="C91" s="14"/>
      <c r="D91" s="1581"/>
      <c r="E91" s="1581"/>
      <c r="F91" s="1581"/>
      <c r="G91" s="2"/>
    </row>
    <row r="92" spans="1:7" ht="14.4">
      <c r="A92" s="413"/>
      <c r="B92" s="413"/>
      <c r="C92" s="14"/>
      <c r="D92" s="1581"/>
      <c r="E92" s="1581"/>
      <c r="F92" s="1581"/>
      <c r="G92" s="2"/>
    </row>
    <row r="93" spans="1:7" ht="14.4">
      <c r="A93" s="413"/>
      <c r="B93" s="413"/>
      <c r="C93" s="14"/>
      <c r="D93" s="1581"/>
      <c r="E93" s="1581"/>
      <c r="F93" s="1581"/>
      <c r="G93" s="2"/>
    </row>
    <row r="94" spans="1:7" ht="14.4">
      <c r="A94" s="413"/>
      <c r="B94" s="413"/>
      <c r="C94" s="14"/>
      <c r="D94" s="1581"/>
      <c r="E94" s="1581"/>
      <c r="F94" s="1581"/>
      <c r="G94" s="2"/>
    </row>
    <row r="95" spans="1:7" ht="14.4">
      <c r="A95" s="413"/>
      <c r="B95" s="413"/>
      <c r="C95" s="14"/>
      <c r="D95" s="1581"/>
      <c r="E95" s="1581"/>
      <c r="F95" s="1581"/>
      <c r="G95" s="2"/>
    </row>
    <row r="96" spans="1:7" ht="14.7" customHeight="1">
      <c r="A96" s="413"/>
      <c r="B96" s="980" t="s">
        <v>136</v>
      </c>
      <c r="C96" s="14"/>
      <c r="D96" s="1587" t="s">
        <v>2118</v>
      </c>
      <c r="E96" s="1587"/>
      <c r="F96" s="1587"/>
      <c r="G96" s="2"/>
    </row>
    <row r="97" spans="1:7" ht="14.4">
      <c r="A97" s="413"/>
      <c r="B97" s="413"/>
      <c r="C97" s="14"/>
      <c r="D97" s="1587"/>
      <c r="E97" s="1587"/>
      <c r="F97" s="1587"/>
      <c r="G97" s="2"/>
    </row>
    <row r="98" spans="1:7" ht="14.4">
      <c r="A98" s="413"/>
      <c r="B98" s="413"/>
      <c r="C98" s="14"/>
      <c r="D98" s="1587"/>
      <c r="E98" s="1587"/>
      <c r="F98" s="1587"/>
      <c r="G98" s="2"/>
    </row>
    <row r="99" spans="1:7" ht="14.4">
      <c r="A99" s="413"/>
      <c r="B99" s="413"/>
      <c r="C99" s="14"/>
      <c r="D99" s="1587"/>
      <c r="E99" s="1587"/>
      <c r="F99" s="1587"/>
      <c r="G99" s="2"/>
    </row>
    <row r="100" spans="1:7" ht="14.4">
      <c r="A100" s="413"/>
      <c r="B100" s="413"/>
      <c r="C100" s="14"/>
      <c r="D100" s="1587"/>
      <c r="E100" s="1587"/>
      <c r="F100" s="1587"/>
      <c r="G100" s="2"/>
    </row>
    <row r="101" spans="1:7" ht="14.4">
      <c r="A101" s="413"/>
      <c r="B101" s="413"/>
      <c r="C101" s="14"/>
      <c r="D101" s="1587"/>
      <c r="E101" s="1587"/>
      <c r="F101" s="1587"/>
      <c r="G101" s="2"/>
    </row>
    <row r="102" spans="1:7" ht="14.4">
      <c r="A102" s="413"/>
      <c r="B102" s="413"/>
      <c r="C102" s="14"/>
      <c r="D102" s="1587"/>
      <c r="E102" s="1587"/>
      <c r="F102" s="1587"/>
      <c r="G102" s="2"/>
    </row>
    <row r="103" spans="1:7" ht="14.4">
      <c r="A103" s="413"/>
      <c r="B103" s="413"/>
      <c r="C103" s="14"/>
      <c r="D103" s="1587"/>
      <c r="E103" s="1587"/>
      <c r="F103" s="1587"/>
      <c r="G103" s="2"/>
    </row>
    <row r="104" spans="1:7" ht="14.4">
      <c r="A104" s="413"/>
      <c r="B104" s="413"/>
      <c r="C104" s="14"/>
      <c r="D104" s="1587"/>
      <c r="E104" s="1587"/>
      <c r="F104" s="1587"/>
      <c r="G104" s="2"/>
    </row>
    <row r="105" spans="1:7" ht="14.4">
      <c r="A105" s="413"/>
      <c r="B105" s="413"/>
      <c r="C105" s="14"/>
      <c r="D105" s="1587"/>
      <c r="E105" s="1587"/>
      <c r="F105" s="1587"/>
      <c r="G105" s="2"/>
    </row>
    <row r="106" spans="1:7" ht="14.4">
      <c r="A106" s="413"/>
      <c r="B106" s="413"/>
      <c r="C106" s="14"/>
      <c r="D106" s="1587"/>
      <c r="E106" s="1587"/>
      <c r="F106" s="1587"/>
      <c r="G106" s="2"/>
    </row>
    <row r="107" spans="1:7" ht="14.4">
      <c r="A107" s="413"/>
      <c r="B107" s="413"/>
      <c r="C107" s="14"/>
      <c r="D107" s="1587"/>
      <c r="E107" s="1587"/>
      <c r="F107" s="1587"/>
      <c r="G107" s="2"/>
    </row>
    <row r="108" spans="1:7" ht="14.4">
      <c r="A108" s="413"/>
      <c r="B108" s="413"/>
      <c r="C108" s="14"/>
      <c r="D108" s="1587"/>
      <c r="E108" s="1587"/>
      <c r="F108" s="1587"/>
      <c r="G108" s="2"/>
    </row>
    <row r="109" spans="1:7" ht="14.4">
      <c r="A109" s="413"/>
      <c r="B109" s="980" t="s">
        <v>136</v>
      </c>
      <c r="C109" s="14"/>
      <c r="D109" s="1582" t="s">
        <v>1737</v>
      </c>
      <c r="E109" s="1582"/>
      <c r="F109" s="1582"/>
      <c r="G109" s="2"/>
    </row>
    <row r="110" spans="1:7" ht="14.4">
      <c r="A110" s="413"/>
      <c r="B110" s="413"/>
      <c r="C110" s="14"/>
      <c r="D110" s="1582"/>
      <c r="E110" s="1582"/>
      <c r="F110" s="1582"/>
      <c r="G110" s="2"/>
    </row>
    <row r="111" spans="1:7" ht="14.4">
      <c r="A111" s="413"/>
      <c r="B111" s="413"/>
      <c r="C111" s="14"/>
      <c r="D111" s="1582"/>
      <c r="E111" s="1582"/>
      <c r="F111" s="1582"/>
      <c r="G111" s="2"/>
    </row>
    <row r="112" spans="1:7" ht="14.4">
      <c r="A112" s="413"/>
      <c r="B112" s="413"/>
      <c r="C112" s="14"/>
      <c r="D112" s="1582"/>
      <c r="E112" s="1582"/>
      <c r="F112" s="1582"/>
      <c r="G112" s="2"/>
    </row>
    <row r="113" spans="1:7" ht="14.4">
      <c r="A113" s="413"/>
      <c r="B113" s="413"/>
      <c r="C113" s="14"/>
      <c r="D113" s="1582"/>
      <c r="E113" s="1582"/>
      <c r="F113" s="1582"/>
      <c r="G113" s="2"/>
    </row>
    <row r="114" spans="1:7" ht="14.4">
      <c r="A114" s="413"/>
      <c r="B114" s="413"/>
      <c r="C114" s="14"/>
      <c r="D114" s="1582"/>
      <c r="E114" s="1582"/>
      <c r="F114" s="1582"/>
      <c r="G114" s="2"/>
    </row>
    <row r="115" spans="1:7" ht="14.4">
      <c r="A115" s="413"/>
      <c r="B115" s="413"/>
      <c r="C115" s="14"/>
      <c r="D115" s="1582"/>
      <c r="E115" s="1582"/>
      <c r="F115" s="1582"/>
      <c r="G115" s="2"/>
    </row>
    <row r="116" spans="1:7" ht="14.4">
      <c r="A116" s="413"/>
      <c r="B116" s="413"/>
      <c r="C116" s="14"/>
      <c r="D116" s="1582"/>
      <c r="E116" s="1582"/>
      <c r="F116" s="1582"/>
      <c r="G116" s="2"/>
    </row>
    <row r="117" spans="1:7" ht="12.75" customHeight="1">
      <c r="A117" s="413"/>
      <c r="B117" s="947" t="s">
        <v>1531</v>
      </c>
      <c r="C117" s="14"/>
      <c r="D117" s="1582" t="s">
        <v>1738</v>
      </c>
      <c r="E117" s="1582"/>
      <c r="F117" s="1582"/>
    </row>
    <row r="118" spans="1:7" ht="13.2">
      <c r="A118" s="140"/>
      <c r="B118" s="140"/>
      <c r="C118" s="14"/>
      <c r="D118" s="1582"/>
      <c r="E118" s="1582"/>
      <c r="F118" s="1582"/>
    </row>
    <row r="119" spans="1:7" ht="13.2">
      <c r="A119" s="140"/>
      <c r="B119" s="140"/>
      <c r="C119" s="14"/>
      <c r="D119" s="1582"/>
      <c r="E119" s="1582"/>
      <c r="F119" s="1582"/>
    </row>
    <row r="120" spans="1:7" ht="13.2">
      <c r="A120" s="140"/>
      <c r="B120" s="140"/>
      <c r="C120" s="14"/>
      <c r="D120" s="1582"/>
      <c r="E120" s="1582"/>
      <c r="F120" s="1582"/>
    </row>
    <row r="121" spans="1:7" ht="26.7" customHeight="1">
      <c r="A121" s="140"/>
      <c r="B121" s="140"/>
      <c r="C121" s="14"/>
      <c r="D121" s="1582"/>
      <c r="E121" s="1582"/>
      <c r="F121" s="1582"/>
    </row>
    <row r="122" spans="1:7" ht="13.2">
      <c r="A122" s="140"/>
      <c r="B122" s="140"/>
      <c r="C122" s="14"/>
      <c r="D122" s="282"/>
      <c r="E122" s="282"/>
      <c r="F122" s="282"/>
    </row>
    <row r="123" spans="1:7" ht="14.4">
      <c r="A123" s="413"/>
      <c r="B123" s="947" t="s">
        <v>1531</v>
      </c>
      <c r="C123" s="14"/>
      <c r="D123" s="1626" t="s">
        <v>1739</v>
      </c>
      <c r="E123" s="1626"/>
      <c r="F123" s="1626"/>
    </row>
    <row r="124" spans="1:7" s="515" customFormat="1" ht="13.95" customHeight="1">
      <c r="A124" s="505"/>
      <c r="B124" s="505"/>
      <c r="C124" s="506"/>
      <c r="D124" s="1626"/>
      <c r="E124" s="1626"/>
      <c r="F124" s="1626"/>
      <c r="G124" s="576"/>
    </row>
    <row r="125" spans="1:7" ht="13.95" customHeight="1">
      <c r="A125" s="140"/>
      <c r="B125" s="140"/>
      <c r="C125" s="14"/>
      <c r="D125" s="1626"/>
      <c r="E125" s="1626"/>
      <c r="F125" s="1626"/>
    </row>
    <row r="126" spans="1:7" ht="13.95" customHeight="1">
      <c r="A126" s="140"/>
      <c r="B126" s="140"/>
      <c r="C126" s="14"/>
      <c r="D126" s="1626"/>
      <c r="E126" s="1626"/>
      <c r="F126" s="1626"/>
    </row>
    <row r="127" spans="1:7" ht="13.95" customHeight="1">
      <c r="A127" s="140"/>
      <c r="B127" s="140"/>
      <c r="C127" s="14"/>
      <c r="D127" s="1626"/>
      <c r="E127" s="1626"/>
      <c r="F127" s="1626"/>
    </row>
    <row r="128" spans="1:7" ht="13.95" customHeight="1">
      <c r="A128" s="140"/>
      <c r="B128" s="140"/>
      <c r="C128" s="14"/>
      <c r="D128" s="1626"/>
      <c r="E128" s="1626"/>
      <c r="F128" s="1626"/>
    </row>
    <row r="129" spans="1:7" ht="13.95" customHeight="1">
      <c r="A129" s="981"/>
      <c r="B129" s="981"/>
      <c r="C129" s="14"/>
      <c r="D129" s="1626"/>
      <c r="E129" s="1626"/>
      <c r="F129" s="1626"/>
      <c r="G129" s="2"/>
    </row>
    <row r="130" spans="1:7" ht="13.95" customHeight="1">
      <c r="A130" s="981"/>
      <c r="B130" s="981"/>
      <c r="C130" s="14"/>
      <c r="D130" s="1626"/>
      <c r="E130" s="1626"/>
      <c r="F130" s="1626"/>
      <c r="G130" s="2"/>
    </row>
    <row r="131" spans="1:7" ht="13.95" customHeight="1">
      <c r="A131" s="981"/>
      <c r="B131" s="981"/>
      <c r="C131" s="14"/>
      <c r="D131" s="1626"/>
      <c r="E131" s="1626"/>
      <c r="F131" s="1626"/>
      <c r="G131" s="2"/>
    </row>
    <row r="132" spans="1:7" ht="13.95" customHeight="1">
      <c r="A132" s="981"/>
      <c r="B132" s="981"/>
      <c r="C132" s="14"/>
      <c r="D132" s="1626"/>
      <c r="E132" s="1626"/>
      <c r="F132" s="1626"/>
      <c r="G132" s="2"/>
    </row>
    <row r="133" spans="1:7" ht="17.25" customHeight="1">
      <c r="A133" s="981"/>
      <c r="B133" s="981"/>
      <c r="C133" s="14"/>
      <c r="D133" s="1626"/>
      <c r="E133" s="1626"/>
      <c r="F133" s="1626"/>
      <c r="G133" s="2"/>
    </row>
    <row r="134" spans="1:7" ht="25.5" hidden="1" customHeight="1">
      <c r="A134" s="981"/>
      <c r="B134" s="981"/>
      <c r="C134" s="14"/>
      <c r="D134" s="1626"/>
      <c r="E134" s="1626"/>
      <c r="F134" s="1626"/>
      <c r="G134" s="2"/>
    </row>
    <row r="135" spans="1:7" ht="13.95" customHeight="1">
      <c r="A135" s="981"/>
      <c r="B135" s="981"/>
      <c r="C135" s="14"/>
      <c r="D135" s="282"/>
      <c r="E135" s="282"/>
      <c r="F135" s="282"/>
      <c r="G135" s="2"/>
    </row>
    <row r="136" spans="1:7" ht="13.95" customHeight="1">
      <c r="A136" s="140"/>
      <c r="B136" s="947" t="s">
        <v>136</v>
      </c>
      <c r="C136" s="14"/>
      <c r="D136" s="1581" t="s">
        <v>1953</v>
      </c>
      <c r="E136" s="1582"/>
      <c r="F136" s="1582"/>
      <c r="G136" s="2"/>
    </row>
    <row r="137" spans="1:7" ht="13.95" customHeight="1">
      <c r="A137" s="140"/>
      <c r="B137" s="140"/>
      <c r="C137" s="14"/>
      <c r="D137" s="1582"/>
      <c r="E137" s="1582"/>
      <c r="F137" s="1582"/>
      <c r="G137" s="2"/>
    </row>
    <row r="138" spans="1:7" ht="13.95" customHeight="1">
      <c r="A138" s="140"/>
      <c r="B138" s="140"/>
      <c r="C138" s="14"/>
      <c r="D138" s="1582"/>
      <c r="E138" s="1582"/>
      <c r="F138" s="1582"/>
      <c r="G138" s="2"/>
    </row>
    <row r="139" spans="1:7" ht="13.95" customHeight="1">
      <c r="A139" s="150"/>
      <c r="B139" s="150"/>
      <c r="D139" s="1582"/>
      <c r="E139" s="1582"/>
      <c r="F139" s="1582"/>
      <c r="G139" s="2"/>
    </row>
    <row r="140" spans="1:7" ht="13.95" customHeight="1">
      <c r="A140" s="140"/>
      <c r="B140" s="140"/>
      <c r="C140" s="14"/>
      <c r="D140" s="1582"/>
      <c r="E140" s="1582"/>
      <c r="F140" s="1582"/>
      <c r="G140" s="2"/>
    </row>
    <row r="141" spans="1:7" ht="13.95" customHeight="1">
      <c r="A141" s="33"/>
      <c r="B141" s="33"/>
      <c r="C141" s="14"/>
      <c r="D141" s="1582"/>
      <c r="E141" s="1582"/>
      <c r="F141" s="1582"/>
      <c r="G141" s="2"/>
    </row>
    <row r="142" spans="1:7" ht="13.95" customHeight="1">
      <c r="A142" s="33"/>
      <c r="B142" s="33"/>
      <c r="C142" s="14"/>
      <c r="D142" s="1582"/>
      <c r="E142" s="1582"/>
      <c r="F142" s="1582"/>
      <c r="G142" s="2"/>
    </row>
    <row r="143" spans="1:7" ht="13.95" customHeight="1">
      <c r="A143" s="982"/>
      <c r="B143" s="982"/>
      <c r="C143" s="14"/>
      <c r="D143" s="1582"/>
      <c r="E143" s="1582"/>
      <c r="F143" s="1582"/>
      <c r="G143" s="2"/>
    </row>
    <row r="144" spans="1:7" ht="13.95" customHeight="1">
      <c r="A144" s="982"/>
      <c r="B144" s="982"/>
      <c r="C144" s="14"/>
      <c r="D144" s="1582"/>
      <c r="E144" s="1582"/>
      <c r="F144" s="1582"/>
      <c r="G144" s="2"/>
    </row>
    <row r="145" spans="1:7" ht="13.95" customHeight="1">
      <c r="A145" s="982"/>
      <c r="B145" s="982"/>
      <c r="C145" s="14"/>
      <c r="D145" s="1582"/>
      <c r="E145" s="1582"/>
      <c r="F145" s="1582"/>
      <c r="G145" s="2"/>
    </row>
    <row r="146" spans="1:7" ht="13.95" customHeight="1">
      <c r="A146" s="1086"/>
      <c r="B146" s="1086"/>
      <c r="C146" s="14"/>
      <c r="D146" s="1582"/>
      <c r="E146" s="1582"/>
      <c r="F146" s="1582"/>
      <c r="G146" s="2"/>
    </row>
    <row r="147" spans="1:7" ht="13.95" customHeight="1">
      <c r="A147" s="1086"/>
      <c r="B147" s="1086"/>
      <c r="C147" s="14"/>
      <c r="D147" s="1582"/>
      <c r="E147" s="1582"/>
      <c r="F147" s="1582"/>
      <c r="G147" s="2"/>
    </row>
    <row r="148" spans="1:7" ht="13.95" customHeight="1">
      <c r="A148" s="982"/>
      <c r="B148" s="982"/>
      <c r="C148" s="14"/>
      <c r="D148" s="1582"/>
      <c r="E148" s="1582"/>
      <c r="F148" s="1582"/>
      <c r="G148" s="2"/>
    </row>
    <row r="149" spans="1:7" ht="13.95" customHeight="1">
      <c r="A149" s="982"/>
      <c r="B149" s="982"/>
      <c r="C149" s="14"/>
      <c r="D149" s="1582"/>
      <c r="E149" s="1582"/>
      <c r="F149" s="1582"/>
      <c r="G149" s="2"/>
    </row>
    <row r="150" spans="1:7" ht="13.95" customHeight="1">
      <c r="A150" s="982"/>
      <c r="B150" s="982"/>
      <c r="C150" s="14"/>
      <c r="D150" s="1582"/>
      <c r="E150" s="1582"/>
      <c r="F150" s="1582"/>
      <c r="G150" s="2"/>
    </row>
    <row r="151" spans="1:7" ht="13.95" customHeight="1">
      <c r="A151" s="982"/>
      <c r="B151" s="982"/>
      <c r="C151" s="14"/>
      <c r="D151" s="1582"/>
      <c r="E151" s="1582"/>
      <c r="F151" s="1582"/>
      <c r="G151" s="2"/>
    </row>
    <row r="152" spans="1:7" ht="13.95" customHeight="1">
      <c r="A152" s="982"/>
      <c r="B152" s="982"/>
      <c r="C152" s="14"/>
      <c r="D152" s="1582"/>
      <c r="E152" s="1582"/>
      <c r="F152" s="1582"/>
      <c r="G152" s="2"/>
    </row>
    <row r="153" spans="1:7" ht="13.95" customHeight="1">
      <c r="A153" s="982"/>
      <c r="B153" s="982"/>
      <c r="C153" s="14"/>
      <c r="D153" s="1582"/>
      <c r="E153" s="1582"/>
      <c r="F153" s="1582"/>
      <c r="G153" s="2"/>
    </row>
    <row r="154" spans="1:7" ht="13.95" customHeight="1">
      <c r="A154" s="1101"/>
      <c r="B154" s="1101"/>
      <c r="C154" s="14"/>
      <c r="D154" s="1658" t="s">
        <v>1954</v>
      </c>
      <c r="E154" s="1658"/>
      <c r="F154" s="1658"/>
      <c r="G154" s="2"/>
    </row>
    <row r="155" spans="1:7" ht="13.95" customHeight="1">
      <c r="A155" s="982"/>
      <c r="B155" s="982"/>
      <c r="C155" s="14"/>
      <c r="D155" s="978"/>
      <c r="E155" s="282"/>
      <c r="F155" s="282"/>
      <c r="G155" s="2"/>
    </row>
    <row r="156" spans="1:7" ht="13.95" customHeight="1">
      <c r="A156" s="413"/>
      <c r="B156" s="947" t="s">
        <v>136</v>
      </c>
      <c r="C156" s="14"/>
      <c r="D156" s="1660" t="s">
        <v>1987</v>
      </c>
      <c r="E156" s="1661"/>
      <c r="F156" s="1661"/>
      <c r="G156" s="2"/>
    </row>
    <row r="157" spans="1:7" ht="13.95" customHeight="1">
      <c r="A157" s="413"/>
      <c r="B157" s="1128"/>
      <c r="C157" s="14"/>
      <c r="D157" s="1661"/>
      <c r="E157" s="1661"/>
      <c r="F157" s="1661"/>
      <c r="G157" s="2"/>
    </row>
    <row r="158" spans="1:7" ht="13.95" customHeight="1">
      <c r="A158" s="33"/>
      <c r="B158" s="33"/>
      <c r="C158" s="14"/>
      <c r="D158" s="1661"/>
      <c r="E158" s="1661"/>
      <c r="F158" s="1661"/>
      <c r="G158" s="2"/>
    </row>
    <row r="159" spans="1:7" ht="13.95" customHeight="1">
      <c r="A159" s="33"/>
      <c r="B159" s="33"/>
      <c r="C159" s="14"/>
      <c r="D159" s="287"/>
      <c r="E159" s="282"/>
      <c r="F159" s="282"/>
      <c r="G159" s="2"/>
    </row>
    <row r="160" spans="1:7" ht="13.95" customHeight="1">
      <c r="A160" s="413"/>
      <c r="B160" s="947" t="s">
        <v>136</v>
      </c>
      <c r="C160" s="14"/>
      <c r="D160" s="1662" t="s">
        <v>1740</v>
      </c>
      <c r="E160" s="1662"/>
      <c r="F160" s="1662"/>
      <c r="G160" s="2"/>
    </row>
    <row r="161" spans="1:7" ht="13.95" customHeight="1">
      <c r="A161" s="33"/>
      <c r="B161" s="33"/>
      <c r="C161" s="14"/>
      <c r="D161" s="1662"/>
      <c r="E161" s="1662"/>
      <c r="F161" s="1662"/>
    </row>
    <row r="162" spans="1:7" ht="13.95" customHeight="1">
      <c r="A162" s="33"/>
      <c r="B162" s="33"/>
      <c r="C162" s="14"/>
      <c r="D162" s="1662"/>
      <c r="E162" s="1662"/>
      <c r="F162" s="1662"/>
    </row>
    <row r="163" spans="1:7" ht="13.95" customHeight="1">
      <c r="A163" s="33"/>
      <c r="B163" s="33"/>
      <c r="C163" s="14"/>
      <c r="D163" s="1662"/>
      <c r="E163" s="1662"/>
      <c r="F163" s="1662"/>
    </row>
    <row r="164" spans="1:7" ht="13.95" customHeight="1">
      <c r="A164" s="33"/>
      <c r="B164" s="33"/>
      <c r="C164" s="14"/>
      <c r="D164" s="287"/>
      <c r="E164" s="282"/>
      <c r="F164" s="282"/>
    </row>
    <row r="165" spans="1:7" ht="13.95" customHeight="1">
      <c r="A165" s="592"/>
      <c r="B165" s="947" t="s">
        <v>136</v>
      </c>
      <c r="C165" s="591"/>
      <c r="D165" s="1654" t="s">
        <v>1741</v>
      </c>
      <c r="E165" s="1654"/>
      <c r="F165" s="1654"/>
      <c r="G165" s="712"/>
    </row>
    <row r="166" spans="1:7" ht="13.95" customHeight="1">
      <c r="A166" s="592"/>
      <c r="B166" s="592"/>
      <c r="C166" s="591"/>
      <c r="D166" s="1654"/>
      <c r="E166" s="1654"/>
      <c r="F166" s="1654"/>
      <c r="G166" s="712"/>
    </row>
    <row r="167" spans="1:7" ht="13.95" customHeight="1">
      <c r="A167" s="592"/>
      <c r="B167" s="592"/>
      <c r="C167" s="591"/>
      <c r="D167" s="1654"/>
      <c r="E167" s="1654"/>
      <c r="F167" s="1654"/>
      <c r="G167" s="712"/>
    </row>
    <row r="168" spans="1:7" ht="13.2">
      <c r="A168" s="592"/>
      <c r="B168" s="592"/>
      <c r="C168" s="591"/>
      <c r="D168" s="594"/>
      <c r="E168" s="582"/>
      <c r="F168" s="582"/>
      <c r="G168" s="712"/>
    </row>
    <row r="169" spans="1:7" ht="13.2">
      <c r="A169" s="1598" t="s">
        <v>1539</v>
      </c>
      <c r="B169" s="1598"/>
      <c r="C169" s="1598"/>
      <c r="D169" s="1598"/>
      <c r="E169" s="1598"/>
      <c r="F169" s="1598"/>
      <c r="G169" s="1598"/>
    </row>
    <row r="170" spans="1:7" ht="13.2">
      <c r="A170" s="140"/>
      <c r="B170" s="140"/>
      <c r="C170" s="14"/>
      <c r="D170" s="287"/>
      <c r="E170" s="282"/>
      <c r="F170" s="282"/>
    </row>
    <row r="171" spans="1:7" ht="13.2">
      <c r="A171" s="140"/>
      <c r="B171" s="140"/>
      <c r="C171" s="923"/>
      <c r="D171" s="1648" t="s">
        <v>1538</v>
      </c>
      <c r="E171" s="1648"/>
      <c r="F171" s="1648"/>
    </row>
    <row r="172" spans="1:7" ht="13.2">
      <c r="A172" s="414"/>
      <c r="B172" s="414"/>
      <c r="C172" s="298"/>
      <c r="D172" s="1655" t="s">
        <v>1574</v>
      </c>
      <c r="E172" s="1655"/>
      <c r="F172" s="1655"/>
    </row>
    <row r="173" spans="1:7" ht="13.2">
      <c r="A173" s="415"/>
      <c r="B173" s="415"/>
      <c r="C173" s="299"/>
      <c r="D173" s="282"/>
      <c r="E173" s="282"/>
      <c r="F173" s="282"/>
    </row>
    <row r="174" spans="1:7" ht="14.4">
      <c r="A174" s="413"/>
      <c r="B174" s="947" t="s">
        <v>136</v>
      </c>
      <c r="C174" s="302"/>
      <c r="D174" s="1656" t="s">
        <v>1956</v>
      </c>
      <c r="E174" s="1638"/>
      <c r="F174" s="1638"/>
      <c r="G174" s="288"/>
    </row>
    <row r="175" spans="1:7" ht="14.4">
      <c r="A175" s="413"/>
      <c r="B175" s="417"/>
      <c r="C175" s="302"/>
      <c r="D175" s="1291"/>
      <c r="E175" s="1290"/>
      <c r="F175" s="1290"/>
      <c r="G175" s="288"/>
    </row>
    <row r="176" spans="1:7" ht="14.4">
      <c r="A176" s="413"/>
      <c r="B176" s="947" t="s">
        <v>136</v>
      </c>
      <c r="C176" s="302"/>
      <c r="D176" s="1638" t="s">
        <v>1742</v>
      </c>
      <c r="E176" s="1638"/>
      <c r="F176" s="1638"/>
      <c r="G176" s="288"/>
    </row>
    <row r="177" spans="1:7" ht="14.4">
      <c r="A177" s="413"/>
      <c r="B177" s="417"/>
      <c r="C177" s="302"/>
      <c r="D177" s="1290"/>
      <c r="E177" s="1290"/>
      <c r="F177" s="1290"/>
      <c r="G177" s="288"/>
    </row>
    <row r="178" spans="1:7" ht="14.4">
      <c r="A178" s="413"/>
      <c r="B178" s="1292" t="s">
        <v>136</v>
      </c>
      <c r="C178" s="302"/>
      <c r="D178" s="1659" t="s">
        <v>2044</v>
      </c>
      <c r="E178" s="1659"/>
      <c r="F178" s="1659"/>
      <c r="G178" s="288"/>
    </row>
    <row r="179" spans="1:7" ht="13.95" customHeight="1">
      <c r="A179" s="413"/>
      <c r="B179" s="417"/>
      <c r="C179" s="302"/>
      <c r="D179" s="1294" t="s">
        <v>1004</v>
      </c>
      <c r="E179" s="1558" t="s">
        <v>2046</v>
      </c>
      <c r="F179" s="1558"/>
      <c r="G179" s="288"/>
    </row>
    <row r="180" spans="1:7" ht="14.4">
      <c r="A180" s="413"/>
      <c r="B180" s="417"/>
      <c r="C180" s="302"/>
      <c r="D180" s="1293"/>
      <c r="E180" s="1558"/>
      <c r="F180" s="1558"/>
      <c r="G180" s="288"/>
    </row>
    <row r="181" spans="1:7" ht="14.4">
      <c r="A181" s="413"/>
      <c r="B181" s="417"/>
      <c r="C181" s="302"/>
      <c r="D181" s="1293"/>
      <c r="E181" s="1558"/>
      <c r="F181" s="1558"/>
      <c r="G181" s="288"/>
    </row>
    <row r="182" spans="1:7" ht="14.4">
      <c r="A182" s="413"/>
      <c r="B182" s="417"/>
      <c r="C182" s="302"/>
      <c r="D182" s="2"/>
      <c r="E182" s="1558"/>
      <c r="F182" s="1558"/>
      <c r="G182" s="288"/>
    </row>
    <row r="183" spans="1:7" ht="13.95" customHeight="1">
      <c r="A183" s="413"/>
      <c r="B183" s="417"/>
      <c r="C183" s="302"/>
      <c r="D183" s="1293" t="s">
        <v>1005</v>
      </c>
      <c r="E183" s="1581" t="s">
        <v>2045</v>
      </c>
      <c r="F183" s="1581"/>
      <c r="G183" s="288"/>
    </row>
    <row r="184" spans="1:7" ht="13.95" customHeight="1">
      <c r="A184" s="413"/>
      <c r="B184" s="417"/>
      <c r="C184" s="302"/>
      <c r="D184" s="1293"/>
      <c r="E184" s="1581"/>
      <c r="F184" s="1581"/>
      <c r="G184" s="288"/>
    </row>
    <row r="185" spans="1:7" ht="13.95" customHeight="1">
      <c r="A185" s="413"/>
      <c r="B185" s="417"/>
      <c r="C185" s="302"/>
      <c r="D185" s="1293"/>
      <c r="E185" s="1581"/>
      <c r="F185" s="1581"/>
      <c r="G185" s="288"/>
    </row>
    <row r="186" spans="1:7" ht="13.95" customHeight="1">
      <c r="A186" s="413"/>
      <c r="B186" s="417"/>
      <c r="C186" s="302"/>
      <c r="D186" s="1293"/>
      <c r="E186" s="1581"/>
      <c r="F186" s="1581"/>
      <c r="G186" s="288"/>
    </row>
    <row r="187" spans="1:7" ht="13.95" customHeight="1">
      <c r="A187" s="413"/>
      <c r="B187" s="417"/>
      <c r="C187" s="302"/>
      <c r="D187" s="1293"/>
      <c r="E187" s="1581"/>
      <c r="F187" s="1581"/>
      <c r="G187" s="288"/>
    </row>
    <row r="188" spans="1:7" ht="14.4">
      <c r="A188" s="413"/>
      <c r="B188" s="417"/>
      <c r="C188" s="302"/>
      <c r="D188" s="2"/>
      <c r="E188" s="1581"/>
      <c r="F188" s="1581"/>
      <c r="G188" s="288"/>
    </row>
    <row r="189" spans="1:7" ht="14.4">
      <c r="A189" s="413"/>
      <c r="B189" s="417"/>
      <c r="C189" s="302"/>
      <c r="D189" s="2"/>
      <c r="E189" s="1581"/>
      <c r="F189" s="1581"/>
      <c r="G189" s="288"/>
    </row>
    <row r="190" spans="1:7" ht="13.2">
      <c r="A190" s="417"/>
      <c r="B190" s="417"/>
      <c r="C190" s="302"/>
      <c r="D190" s="282"/>
      <c r="E190" s="283"/>
      <c r="F190" s="283"/>
      <c r="G190" s="288"/>
    </row>
    <row r="191" spans="1:7" ht="14.4">
      <c r="A191" s="413"/>
      <c r="B191" s="947" t="s">
        <v>136</v>
      </c>
      <c r="C191" s="302"/>
      <c r="D191" s="1565" t="s">
        <v>1743</v>
      </c>
      <c r="E191" s="1565"/>
      <c r="F191" s="1565"/>
      <c r="G191" s="288"/>
    </row>
    <row r="192" spans="1:7" ht="14.4">
      <c r="A192" s="413"/>
      <c r="B192" s="413"/>
      <c r="C192" s="302"/>
      <c r="D192" s="1565"/>
      <c r="E192" s="1565"/>
      <c r="F192" s="1565"/>
      <c r="G192" s="288"/>
    </row>
    <row r="193" spans="1:7" ht="14.4">
      <c r="A193" s="413"/>
      <c r="B193" s="413"/>
      <c r="C193" s="302"/>
      <c r="D193" s="1565"/>
      <c r="E193" s="1565"/>
      <c r="F193" s="1565"/>
      <c r="G193" s="288"/>
    </row>
    <row r="194" spans="1:7" ht="14.4">
      <c r="A194" s="413"/>
      <c r="B194" s="413"/>
      <c r="C194" s="302"/>
      <c r="D194" s="1565"/>
      <c r="E194" s="1565"/>
      <c r="F194" s="1565"/>
      <c r="G194" s="288"/>
    </row>
    <row r="195" spans="1:7" ht="13.2">
      <c r="A195" s="417"/>
      <c r="B195" s="417"/>
      <c r="C195" s="302"/>
      <c r="D195" s="1658" t="s">
        <v>2043</v>
      </c>
      <c r="E195" s="1658"/>
      <c r="F195" s="1658"/>
      <c r="G195" s="288"/>
    </row>
    <row r="196" spans="1:7" ht="13.2">
      <c r="A196" s="417"/>
      <c r="B196" s="417"/>
      <c r="C196" s="302"/>
      <c r="D196" s="984"/>
      <c r="E196" s="984"/>
      <c r="F196" s="984"/>
      <c r="G196" s="288"/>
    </row>
    <row r="197" spans="1:7" ht="14.4">
      <c r="A197" s="413"/>
      <c r="B197" s="947" t="s">
        <v>136</v>
      </c>
      <c r="C197" s="302"/>
      <c r="D197" s="1657" t="s">
        <v>1744</v>
      </c>
      <c r="E197" s="1657"/>
      <c r="F197" s="1657"/>
      <c r="G197" s="288"/>
    </row>
    <row r="198" spans="1:7" ht="13.2">
      <c r="A198" s="417"/>
      <c r="B198" s="417"/>
      <c r="C198" s="302"/>
      <c r="D198" s="283"/>
      <c r="E198" s="283"/>
      <c r="F198" s="283"/>
      <c r="G198" s="288"/>
    </row>
    <row r="199" spans="1:7" ht="13.2">
      <c r="A199" s="1598" t="s">
        <v>1541</v>
      </c>
      <c r="B199" s="1598"/>
      <c r="C199" s="1598"/>
      <c r="D199" s="1598"/>
      <c r="E199" s="1598"/>
      <c r="F199" s="1598"/>
      <c r="G199" s="1598"/>
    </row>
    <row r="200" spans="1:7" ht="13.2">
      <c r="A200" s="417"/>
      <c r="B200" s="417"/>
      <c r="C200" s="302"/>
      <c r="D200" s="282"/>
      <c r="E200" s="283"/>
      <c r="F200" s="283"/>
      <c r="G200" s="288"/>
    </row>
    <row r="201" spans="1:7" ht="13.2">
      <c r="A201" s="140"/>
      <c r="B201" s="140"/>
      <c r="C201" s="924"/>
      <c r="D201" s="1604" t="s">
        <v>1540</v>
      </c>
      <c r="E201" s="1604"/>
      <c r="F201" s="1604"/>
      <c r="G201" s="288"/>
    </row>
    <row r="202" spans="1:7" ht="13.2">
      <c r="A202" s="925"/>
      <c r="B202" s="925"/>
      <c r="C202" s="924"/>
      <c r="D202" s="1604" t="s">
        <v>763</v>
      </c>
      <c r="E202" s="1604"/>
      <c r="F202" s="1604"/>
      <c r="G202" s="288"/>
    </row>
    <row r="203" spans="1:7" ht="13.2">
      <c r="A203" s="414"/>
      <c r="B203" s="414"/>
      <c r="C203" s="298"/>
      <c r="D203" s="1638" t="s">
        <v>1575</v>
      </c>
      <c r="E203" s="1638"/>
      <c r="F203" s="1638"/>
      <c r="G203" s="288"/>
    </row>
    <row r="204" spans="1:7" ht="13.2">
      <c r="A204" s="414"/>
      <c r="B204" s="414"/>
      <c r="C204" s="298"/>
      <c r="D204" s="283"/>
      <c r="E204" s="283"/>
      <c r="F204" s="283"/>
      <c r="G204" s="288"/>
    </row>
    <row r="205" spans="1:7" ht="13.2">
      <c r="A205" s="414"/>
      <c r="B205" s="414"/>
      <c r="C205" s="298"/>
      <c r="D205" s="1613" t="s">
        <v>1585</v>
      </c>
      <c r="E205" s="1613"/>
      <c r="F205" s="1613"/>
      <c r="G205" s="288"/>
    </row>
    <row r="206" spans="1:7" ht="13.2">
      <c r="A206" s="414"/>
      <c r="B206" s="414"/>
      <c r="C206" s="298"/>
      <c r="D206" s="1613"/>
      <c r="E206" s="1613"/>
      <c r="F206" s="1613"/>
      <c r="G206" s="288"/>
    </row>
    <row r="207" spans="1:7" ht="13.2">
      <c r="A207" s="414"/>
      <c r="B207" s="414"/>
      <c r="C207" s="298"/>
      <c r="D207" s="1613"/>
      <c r="E207" s="1613"/>
      <c r="F207" s="1613"/>
      <c r="G207" s="288"/>
    </row>
    <row r="208" spans="1:7" ht="13.2">
      <c r="A208" s="414"/>
      <c r="B208" s="414"/>
      <c r="C208" s="298"/>
      <c r="D208" s="1613"/>
      <c r="E208" s="1613"/>
      <c r="F208" s="1613"/>
      <c r="G208" s="288"/>
    </row>
    <row r="209" spans="1:7" ht="13.2">
      <c r="A209" s="414"/>
      <c r="B209" s="414"/>
      <c r="C209" s="298"/>
      <c r="D209" s="288"/>
      <c r="E209" s="283"/>
      <c r="F209" s="283"/>
      <c r="G209" s="288"/>
    </row>
    <row r="210" spans="1:7" ht="13.2">
      <c r="A210" s="414"/>
      <c r="B210" s="414"/>
      <c r="C210" s="298"/>
      <c r="D210" s="1612" t="s">
        <v>2048</v>
      </c>
      <c r="E210" s="1613"/>
      <c r="F210" s="1613"/>
      <c r="G210" s="288"/>
    </row>
    <row r="211" spans="1:7" ht="13.2">
      <c r="A211" s="414"/>
      <c r="B211" s="414"/>
      <c r="C211" s="298"/>
      <c r="D211" s="1613"/>
      <c r="E211" s="1613"/>
      <c r="F211" s="1613"/>
      <c r="G211" s="288"/>
    </row>
    <row r="212" spans="1:7" ht="13.2">
      <c r="A212" s="414"/>
      <c r="B212" s="414"/>
      <c r="C212" s="298"/>
      <c r="D212" s="1613"/>
      <c r="E212" s="1613"/>
      <c r="F212" s="1613"/>
      <c r="G212" s="288"/>
    </row>
    <row r="213" spans="1:7" ht="13.2">
      <c r="A213" s="414"/>
      <c r="B213" s="414"/>
      <c r="C213" s="298"/>
      <c r="D213" s="1613"/>
      <c r="E213" s="1613"/>
      <c r="F213" s="1613"/>
      <c r="G213" s="288"/>
    </row>
    <row r="214" spans="1:7" ht="13.2">
      <c r="A214" s="414"/>
      <c r="B214" s="414"/>
      <c r="C214" s="298"/>
      <c r="D214" s="1613"/>
      <c r="E214" s="1613"/>
      <c r="F214" s="1613"/>
      <c r="G214" s="288"/>
    </row>
    <row r="215" spans="1:7" ht="13.2">
      <c r="A215" s="414"/>
      <c r="B215" s="414"/>
      <c r="C215" s="298"/>
      <c r="D215" s="1613"/>
      <c r="E215" s="1613"/>
      <c r="F215" s="1613"/>
      <c r="G215" s="288"/>
    </row>
    <row r="216" spans="1:7" ht="13.2">
      <c r="A216" s="415"/>
      <c r="B216" s="415"/>
      <c r="C216" s="299"/>
      <c r="D216" s="282"/>
      <c r="E216" s="283"/>
      <c r="F216" s="283"/>
      <c r="G216" s="288"/>
    </row>
    <row r="217" spans="1:7" ht="14.7" customHeight="1">
      <c r="A217" s="413"/>
      <c r="B217" s="947" t="s">
        <v>136</v>
      </c>
      <c r="C217" s="299"/>
      <c r="D217" s="1584" t="s">
        <v>322</v>
      </c>
      <c r="E217" s="1584"/>
      <c r="F217" s="1584"/>
      <c r="G217" s="288"/>
    </row>
    <row r="218" spans="1:7" ht="14.4">
      <c r="A218" s="413"/>
      <c r="B218" s="14"/>
      <c r="C218" s="299"/>
      <c r="D218" s="1591" t="s">
        <v>1230</v>
      </c>
      <c r="E218" s="1591"/>
      <c r="F218" s="1591"/>
      <c r="G218" s="288"/>
    </row>
    <row r="219" spans="1:7" ht="14.4">
      <c r="A219" s="413"/>
      <c r="B219" s="413"/>
      <c r="C219" s="299"/>
      <c r="D219" s="953" t="s">
        <v>1593</v>
      </c>
      <c r="E219" s="1614" t="s">
        <v>1592</v>
      </c>
      <c r="F219" s="1614"/>
      <c r="G219" s="288"/>
    </row>
    <row r="220" spans="1:7" ht="13.2">
      <c r="A220" s="417"/>
      <c r="B220" s="417"/>
      <c r="C220" s="302"/>
      <c r="D220" s="1590" t="s">
        <v>1568</v>
      </c>
      <c r="E220" s="1591"/>
      <c r="F220" s="1591"/>
      <c r="G220" s="288"/>
    </row>
    <row r="221" spans="1:7" ht="13.2">
      <c r="A221" s="417"/>
      <c r="B221" s="417"/>
      <c r="C221" s="302"/>
      <c r="D221" s="283"/>
      <c r="E221" s="283"/>
      <c r="F221" s="283"/>
      <c r="G221" s="288"/>
    </row>
    <row r="222" spans="1:7" ht="14.4">
      <c r="A222" s="413"/>
      <c r="B222" s="947" t="s">
        <v>136</v>
      </c>
      <c r="C222" s="302"/>
      <c r="D222" s="1591" t="s">
        <v>323</v>
      </c>
      <c r="E222" s="1591"/>
      <c r="F222" s="1591"/>
      <c r="G222" s="288"/>
    </row>
    <row r="223" spans="1:7" ht="14.4">
      <c r="A223" s="413"/>
      <c r="B223" s="14"/>
      <c r="C223" s="302"/>
      <c r="D223" s="1584" t="s">
        <v>1230</v>
      </c>
      <c r="E223" s="1584"/>
      <c r="F223" s="1584"/>
      <c r="G223" s="288"/>
    </row>
    <row r="224" spans="1:7" ht="14.4">
      <c r="A224" s="413"/>
      <c r="B224" s="413"/>
      <c r="C224" s="302"/>
      <c r="D224" s="300" t="s">
        <v>1594</v>
      </c>
      <c r="E224" s="1599" t="s">
        <v>1595</v>
      </c>
      <c r="F224" s="1599"/>
      <c r="G224" s="288"/>
    </row>
    <row r="225" spans="1:7" ht="13.2">
      <c r="A225" s="417"/>
      <c r="B225" s="417"/>
      <c r="C225" s="302"/>
      <c r="D225" s="1591" t="s">
        <v>1569</v>
      </c>
      <c r="E225" s="1591"/>
      <c r="F225" s="1591"/>
      <c r="G225" s="288"/>
    </row>
    <row r="226" spans="1:7" ht="13.2">
      <c r="A226" s="417"/>
      <c r="B226" s="417"/>
      <c r="C226" s="302"/>
      <c r="D226" s="283"/>
      <c r="E226" s="283"/>
      <c r="F226" s="283"/>
      <c r="G226" s="288"/>
    </row>
    <row r="227" spans="1:7" ht="14.4">
      <c r="A227" s="413"/>
      <c r="B227" s="947" t="s">
        <v>1531</v>
      </c>
      <c r="C227" s="302"/>
      <c r="D227" s="1591" t="s">
        <v>707</v>
      </c>
      <c r="E227" s="1591"/>
      <c r="F227" s="1591"/>
      <c r="G227" s="288"/>
    </row>
    <row r="228" spans="1:7" ht="14.4">
      <c r="A228" s="413"/>
      <c r="B228" s="14"/>
      <c r="C228" s="302"/>
      <c r="D228" s="287" t="s">
        <v>1230</v>
      </c>
      <c r="E228" s="283"/>
      <c r="F228" s="283"/>
      <c r="G228" s="288"/>
    </row>
    <row r="229" spans="1:7" ht="14.4">
      <c r="A229" s="413"/>
      <c r="B229" s="413"/>
      <c r="C229" s="302"/>
      <c r="D229" s="300" t="s">
        <v>1593</v>
      </c>
      <c r="E229" s="1599" t="s">
        <v>1596</v>
      </c>
      <c r="F229" s="1599"/>
      <c r="G229" s="288"/>
    </row>
    <row r="230" spans="1:7" ht="14.4">
      <c r="A230" s="413"/>
      <c r="B230" s="413"/>
      <c r="C230" s="302"/>
      <c r="D230" s="1582" t="s">
        <v>1598</v>
      </c>
      <c r="E230" s="1582"/>
      <c r="F230" s="1582"/>
      <c r="G230" s="288"/>
    </row>
    <row r="231" spans="1:7" ht="13.2">
      <c r="A231" s="417"/>
      <c r="B231" s="417"/>
      <c r="C231" s="302"/>
      <c r="D231" s="1582"/>
      <c r="E231" s="1582"/>
      <c r="F231" s="1582"/>
      <c r="G231" s="288"/>
    </row>
    <row r="232" spans="1:7" ht="13.2">
      <c r="A232" s="417"/>
      <c r="B232" s="417"/>
      <c r="C232" s="302"/>
      <c r="D232" s="1582"/>
      <c r="E232" s="1582"/>
      <c r="F232" s="1582"/>
      <c r="G232" s="288"/>
    </row>
    <row r="233" spans="1:7" ht="13.2">
      <c r="A233" s="417"/>
      <c r="B233" s="417"/>
      <c r="C233" s="302"/>
      <c r="D233" s="1582"/>
      <c r="E233" s="1582"/>
      <c r="F233" s="1582"/>
      <c r="G233" s="288"/>
    </row>
    <row r="234" spans="1:7" ht="13.2">
      <c r="A234" s="417"/>
      <c r="B234" s="417"/>
      <c r="C234" s="302"/>
      <c r="D234" s="1582"/>
      <c r="E234" s="1582"/>
      <c r="F234" s="1582"/>
      <c r="G234" s="288"/>
    </row>
    <row r="235" spans="1:7" ht="13.2">
      <c r="A235" s="417"/>
      <c r="B235" s="417"/>
      <c r="C235" s="302"/>
      <c r="D235" s="1582" t="s">
        <v>1570</v>
      </c>
      <c r="E235" s="1582"/>
      <c r="F235" s="1582"/>
      <c r="G235" s="288"/>
    </row>
    <row r="236" spans="1:7" ht="13.2">
      <c r="A236" s="417"/>
      <c r="B236" s="417"/>
      <c r="C236" s="302"/>
      <c r="D236" s="287"/>
      <c r="E236" s="283"/>
      <c r="F236" s="283"/>
      <c r="G236" s="288"/>
    </row>
    <row r="237" spans="1:7" ht="14.4">
      <c r="A237" s="413"/>
      <c r="B237" s="947" t="s">
        <v>136</v>
      </c>
      <c r="C237" s="302"/>
      <c r="D237" s="1591" t="s">
        <v>708</v>
      </c>
      <c r="E237" s="1591"/>
      <c r="F237" s="1591"/>
      <c r="G237" s="288"/>
    </row>
    <row r="238" spans="1:7" ht="14.4">
      <c r="A238" s="413"/>
      <c r="B238" s="14"/>
      <c r="C238" s="302"/>
      <c r="D238" s="1591" t="s">
        <v>1230</v>
      </c>
      <c r="E238" s="1591"/>
      <c r="F238" s="1591"/>
      <c r="G238" s="288"/>
    </row>
    <row r="239" spans="1:7" ht="14.4">
      <c r="A239" s="413"/>
      <c r="B239" s="413"/>
      <c r="C239" s="302"/>
      <c r="D239" s="300" t="s">
        <v>1593</v>
      </c>
      <c r="E239" s="1599" t="s">
        <v>1599</v>
      </c>
      <c r="F239" s="1599"/>
      <c r="G239" s="288"/>
    </row>
    <row r="240" spans="1:7" ht="13.2">
      <c r="A240" s="417"/>
      <c r="B240" s="417"/>
      <c r="C240" s="302"/>
      <c r="D240" s="1590" t="s">
        <v>2205</v>
      </c>
      <c r="E240" s="1591"/>
      <c r="F240" s="1591"/>
      <c r="G240" s="288"/>
    </row>
    <row r="241" spans="1:7" ht="13.2">
      <c r="A241" s="417"/>
      <c r="B241" s="417"/>
      <c r="C241" s="302"/>
      <c r="D241" s="1375"/>
      <c r="E241" s="1375"/>
      <c r="F241" s="1375"/>
      <c r="G241" s="288"/>
    </row>
    <row r="242" spans="1:7" ht="14.4">
      <c r="A242" s="413"/>
      <c r="B242" s="1377" t="s">
        <v>136</v>
      </c>
      <c r="C242" s="302"/>
      <c r="D242" s="1590" t="s">
        <v>2204</v>
      </c>
      <c r="E242" s="1591"/>
      <c r="F242" s="1591"/>
      <c r="G242" s="288"/>
    </row>
    <row r="243" spans="1:7" ht="14.4">
      <c r="A243" s="413"/>
      <c r="B243" s="14"/>
      <c r="C243" s="302"/>
      <c r="D243" s="1591" t="s">
        <v>1230</v>
      </c>
      <c r="E243" s="1591"/>
      <c r="F243" s="1591"/>
      <c r="G243" s="288"/>
    </row>
    <row r="244" spans="1:7" ht="14.4">
      <c r="A244" s="413"/>
      <c r="B244" s="413"/>
      <c r="C244" s="302"/>
      <c r="D244" s="1376" t="s">
        <v>1593</v>
      </c>
      <c r="E244" s="1599" t="s">
        <v>2206</v>
      </c>
      <c r="F244" s="1599"/>
      <c r="G244" s="288"/>
    </row>
    <row r="245" spans="1:7" ht="13.2">
      <c r="A245" s="417"/>
      <c r="B245" s="417"/>
      <c r="C245" s="302"/>
      <c r="D245" s="1590" t="s">
        <v>2207</v>
      </c>
      <c r="E245" s="1591"/>
      <c r="F245" s="1591"/>
      <c r="G245" s="288"/>
    </row>
    <row r="246" spans="1:7" ht="13.2">
      <c r="A246" s="417"/>
      <c r="B246" s="417"/>
      <c r="C246" s="302"/>
      <c r="D246" s="403"/>
      <c r="E246" s="288"/>
      <c r="F246" s="288"/>
      <c r="G246" s="288"/>
    </row>
    <row r="247" spans="1:7" ht="14.4">
      <c r="A247" s="413"/>
      <c r="B247" s="947" t="s">
        <v>136</v>
      </c>
      <c r="D247" s="957" t="s">
        <v>1624</v>
      </c>
      <c r="E247" s="957"/>
      <c r="F247" s="957"/>
    </row>
    <row r="248" spans="1:7" ht="14.4">
      <c r="A248" s="413"/>
      <c r="B248" s="2"/>
      <c r="D248" s="1581" t="s">
        <v>1980</v>
      </c>
      <c r="E248" s="1582"/>
      <c r="F248" s="1582"/>
    </row>
    <row r="249" spans="1:7" ht="14.4">
      <c r="A249" s="413"/>
      <c r="B249" s="417"/>
      <c r="D249" s="1582"/>
      <c r="E249" s="1582"/>
      <c r="F249" s="1582"/>
    </row>
    <row r="250" spans="1:7" ht="14.4">
      <c r="A250" s="413"/>
      <c r="B250" s="417"/>
      <c r="D250" s="1582"/>
      <c r="E250" s="1582"/>
      <c r="F250" s="1582"/>
    </row>
    <row r="251" spans="1:7" ht="14.4">
      <c r="A251" s="413"/>
      <c r="B251" s="417"/>
      <c r="D251" s="956"/>
      <c r="E251" s="956"/>
      <c r="F251" s="956"/>
    </row>
    <row r="252" spans="1:7" ht="14.4">
      <c r="A252" s="413"/>
      <c r="B252" s="947" t="s">
        <v>136</v>
      </c>
      <c r="D252" s="1639" t="s">
        <v>1134</v>
      </c>
      <c r="E252" s="1639"/>
      <c r="F252" s="1639"/>
    </row>
    <row r="253" spans="1:7" ht="14.4">
      <c r="A253" s="413"/>
      <c r="B253" s="417"/>
      <c r="D253" s="957"/>
      <c r="E253" s="957"/>
      <c r="F253" s="957"/>
    </row>
    <row r="254" spans="1:7" ht="13.2">
      <c r="A254" s="1598" t="s">
        <v>1543</v>
      </c>
      <c r="B254" s="1598"/>
      <c r="C254" s="1598"/>
      <c r="D254" s="1598"/>
      <c r="E254" s="1598"/>
      <c r="F254" s="1598"/>
      <c r="G254" s="1598"/>
    </row>
    <row r="255" spans="1:7" ht="13.2">
      <c r="A255" s="140"/>
      <c r="B255" s="140"/>
      <c r="C255" s="14"/>
      <c r="D255" s="287"/>
      <c r="E255" s="282"/>
      <c r="F255" s="282"/>
    </row>
    <row r="256" spans="1:7" ht="13.2">
      <c r="A256" s="140"/>
      <c r="B256" s="140"/>
      <c r="C256" s="923"/>
      <c r="D256" s="1589" t="s">
        <v>1542</v>
      </c>
      <c r="E256" s="1589"/>
      <c r="F256" s="1589"/>
    </row>
    <row r="257" spans="1:7" ht="13.2">
      <c r="A257" s="414"/>
      <c r="B257" s="414"/>
      <c r="C257" s="298"/>
      <c r="D257" s="1584" t="s">
        <v>1576</v>
      </c>
      <c r="E257" s="1584"/>
      <c r="F257" s="1584"/>
    </row>
    <row r="258" spans="1:7" ht="13.2">
      <c r="A258" s="33"/>
      <c r="B258" s="33"/>
      <c r="C258" s="320"/>
      <c r="D258" s="6"/>
      <c r="E258" s="282"/>
      <c r="F258" s="282"/>
    </row>
    <row r="259" spans="1:7" ht="13.2">
      <c r="A259" s="33"/>
      <c r="B259" s="14"/>
      <c r="C259" s="320"/>
      <c r="D259" s="1589" t="s">
        <v>232</v>
      </c>
      <c r="E259" s="1589"/>
      <c r="F259" s="1589"/>
      <c r="G259" s="2"/>
    </row>
    <row r="260" spans="1:7" ht="14.7" customHeight="1">
      <c r="A260" s="413"/>
      <c r="B260" s="1393" t="s">
        <v>1531</v>
      </c>
      <c r="C260" s="1486"/>
      <c r="D260" s="1606" t="s">
        <v>2305</v>
      </c>
      <c r="E260" s="1606"/>
      <c r="F260" s="1606"/>
      <c r="G260" s="2"/>
    </row>
    <row r="261" spans="1:7" ht="14.4">
      <c r="A261" s="413"/>
      <c r="B261" s="1487"/>
      <c r="C261" s="1486"/>
      <c r="D261" s="1606"/>
      <c r="E261" s="1606"/>
      <c r="F261" s="1606"/>
      <c r="G261" s="2"/>
    </row>
    <row r="262" spans="1:7" ht="14.4">
      <c r="A262" s="413"/>
      <c r="B262" s="1487"/>
      <c r="C262" s="1486"/>
      <c r="D262" s="1606"/>
      <c r="E262" s="1606"/>
      <c r="F262" s="1606"/>
      <c r="G262" s="2"/>
    </row>
    <row r="263" spans="1:7" ht="14.7" customHeight="1">
      <c r="A263" s="413"/>
      <c r="B263" s="1487"/>
      <c r="C263" s="1486"/>
      <c r="D263" s="1606"/>
      <c r="E263" s="1606"/>
      <c r="F263" s="1606"/>
      <c r="G263" s="2"/>
    </row>
    <row r="264" spans="1:7" ht="14.4">
      <c r="A264" s="413"/>
      <c r="B264" s="1487"/>
      <c r="C264" s="1486"/>
      <c r="D264" s="1488"/>
      <c r="E264" s="1488"/>
      <c r="F264" s="1488"/>
      <c r="G264" s="2"/>
    </row>
    <row r="265" spans="1:7" ht="14.4">
      <c r="A265" s="413"/>
      <c r="B265" s="1393" t="s">
        <v>1531</v>
      </c>
      <c r="C265" s="1486"/>
      <c r="D265" s="1606" t="s">
        <v>2306</v>
      </c>
      <c r="E265" s="1606"/>
      <c r="F265" s="1606"/>
      <c r="G265" s="2"/>
    </row>
    <row r="266" spans="1:7" ht="14.4">
      <c r="A266" s="413"/>
      <c r="B266" s="1487"/>
      <c r="C266" s="1486"/>
      <c r="D266" s="1606"/>
      <c r="E266" s="1606"/>
      <c r="F266" s="1606"/>
      <c r="G266" s="2"/>
    </row>
    <row r="267" spans="1:7" ht="14.4">
      <c r="A267" s="413"/>
      <c r="B267" s="1487"/>
      <c r="C267" s="1486"/>
      <c r="D267" s="1606"/>
      <c r="E267" s="1606"/>
      <c r="F267" s="1606"/>
      <c r="G267" s="2"/>
    </row>
    <row r="268" spans="1:7" ht="14.4">
      <c r="A268" s="413"/>
      <c r="B268" s="1487"/>
      <c r="C268" s="1486"/>
      <c r="D268" s="1606"/>
      <c r="E268" s="1606"/>
      <c r="F268" s="1606"/>
      <c r="G268" s="2"/>
    </row>
    <row r="269" spans="1:7" ht="14.4">
      <c r="A269" s="413"/>
      <c r="B269" s="1487"/>
      <c r="C269" s="1486"/>
      <c r="D269" s="1606"/>
      <c r="E269" s="1606"/>
      <c r="F269" s="1606"/>
      <c r="G269" s="2"/>
    </row>
    <row r="270" spans="1:7" ht="14.4">
      <c r="A270" s="413"/>
      <c r="B270" s="1487"/>
      <c r="C270" s="1486"/>
      <c r="D270" s="1488"/>
      <c r="E270" s="1488"/>
      <c r="F270" s="1488"/>
      <c r="G270" s="2"/>
    </row>
    <row r="271" spans="1:7" ht="14.4">
      <c r="A271" s="413"/>
      <c r="B271" s="1487"/>
      <c r="C271" s="1486"/>
      <c r="D271" s="1606" t="s">
        <v>1755</v>
      </c>
      <c r="E271" s="1606"/>
      <c r="F271" s="1606"/>
      <c r="G271" s="2"/>
    </row>
    <row r="272" spans="1:7" ht="14.4">
      <c r="A272" s="413"/>
      <c r="B272" s="1487"/>
      <c r="C272" s="1486"/>
      <c r="D272" s="1606"/>
      <c r="E272" s="1606"/>
      <c r="F272" s="1606"/>
      <c r="G272" s="2"/>
    </row>
    <row r="273" spans="1:7" ht="14.4">
      <c r="A273" s="413"/>
      <c r="B273" s="1487"/>
      <c r="C273" s="1486"/>
      <c r="D273" s="1606"/>
      <c r="E273" s="1606"/>
      <c r="F273" s="1606"/>
      <c r="G273" s="2"/>
    </row>
    <row r="274" spans="1:7" ht="14.4">
      <c r="A274" s="413"/>
      <c r="B274" s="1487"/>
      <c r="C274" s="1486"/>
      <c r="D274" s="1606"/>
      <c r="E274" s="1606"/>
      <c r="F274" s="1606"/>
      <c r="G274" s="2"/>
    </row>
    <row r="275" spans="1:7" ht="14.4">
      <c r="A275" s="413"/>
      <c r="B275" s="1487"/>
      <c r="C275" s="1486"/>
      <c r="D275" s="1606"/>
      <c r="E275" s="1606"/>
      <c r="F275" s="1606"/>
      <c r="G275" s="2"/>
    </row>
    <row r="276" spans="1:7" ht="14.4">
      <c r="A276" s="413"/>
      <c r="B276" s="413"/>
      <c r="C276" s="14"/>
      <c r="D276" s="977"/>
      <c r="E276" s="977"/>
      <c r="F276" s="977"/>
      <c r="G276" s="2"/>
    </row>
    <row r="277" spans="1:7" s="767" customFormat="1" ht="14.7" customHeight="1">
      <c r="A277" s="1363"/>
      <c r="B277" s="1362" t="s">
        <v>136</v>
      </c>
      <c r="C277" s="1364"/>
      <c r="D277" s="1600" t="s">
        <v>2197</v>
      </c>
      <c r="E277" s="1600"/>
      <c r="F277" s="1600"/>
      <c r="G277" s="1365"/>
    </row>
    <row r="278" spans="1:7" s="767" customFormat="1" ht="14.4">
      <c r="A278" s="1363"/>
      <c r="B278" s="1364"/>
      <c r="C278" s="1364"/>
      <c r="D278" s="1600"/>
      <c r="E278" s="1600"/>
      <c r="F278" s="1600"/>
      <c r="G278" s="1365"/>
    </row>
    <row r="279" spans="1:7" s="767" customFormat="1" ht="14.4">
      <c r="A279" s="1363"/>
      <c r="B279" s="1364"/>
      <c r="C279" s="1364"/>
      <c r="D279" s="1600"/>
      <c r="E279" s="1600"/>
      <c r="F279" s="1600"/>
      <c r="G279" s="1365"/>
    </row>
    <row r="280" spans="1:7" s="767" customFormat="1" ht="13.2">
      <c r="A280" s="1364"/>
      <c r="B280" s="1364"/>
      <c r="C280" s="1364"/>
      <c r="D280" s="1601" t="s">
        <v>2198</v>
      </c>
      <c r="E280" s="1601"/>
      <c r="F280" s="1601"/>
      <c r="G280" s="1365"/>
    </row>
    <row r="281" spans="1:7" ht="14.4">
      <c r="A281" s="413"/>
      <c r="B281" s="413"/>
      <c r="C281" s="14"/>
      <c r="D281" s="287"/>
      <c r="E281" s="2"/>
      <c r="F281" s="2"/>
      <c r="G281" s="2"/>
    </row>
    <row r="282" spans="1:7" ht="14.4">
      <c r="A282" s="413"/>
      <c r="B282" s="947" t="s">
        <v>1531</v>
      </c>
      <c r="C282" s="14"/>
      <c r="D282" s="1584" t="s">
        <v>1231</v>
      </c>
      <c r="E282" s="1584"/>
      <c r="F282" s="1584"/>
      <c r="G282" s="2"/>
    </row>
    <row r="283" spans="1:7" ht="14.4">
      <c r="A283" s="413"/>
      <c r="B283" s="413"/>
      <c r="C283" s="14"/>
      <c r="D283" s="1584" t="s">
        <v>1756</v>
      </c>
      <c r="E283" s="1584"/>
      <c r="F283" s="1584"/>
      <c r="G283" s="2"/>
    </row>
    <row r="284" spans="1:7" ht="14.4">
      <c r="A284" s="413"/>
      <c r="B284" s="413"/>
      <c r="C284" s="14"/>
      <c r="D284" s="986" t="s">
        <v>1159</v>
      </c>
      <c r="E284" s="986"/>
      <c r="F284" s="986"/>
    </row>
    <row r="285" spans="1:7" ht="13.2">
      <c r="A285" s="140"/>
      <c r="B285" s="140"/>
      <c r="C285" s="14"/>
      <c r="D285" s="321"/>
      <c r="E285" s="282"/>
      <c r="F285" s="282"/>
    </row>
    <row r="286" spans="1:7" ht="14.4">
      <c r="A286" s="413"/>
      <c r="B286" s="947" t="s">
        <v>1531</v>
      </c>
      <c r="C286" s="14"/>
      <c r="D286" s="1582" t="s">
        <v>1757</v>
      </c>
      <c r="E286" s="1582"/>
      <c r="F286" s="1582"/>
    </row>
    <row r="287" spans="1:7" ht="14.4">
      <c r="A287" s="413"/>
      <c r="B287" s="413"/>
      <c r="C287" s="14"/>
      <c r="D287" s="1582"/>
      <c r="E287" s="1582"/>
      <c r="F287" s="1582"/>
    </row>
    <row r="288" spans="1:7" ht="13.2">
      <c r="A288" s="140"/>
      <c r="B288" s="140"/>
      <c r="C288" s="14"/>
      <c r="D288" s="321"/>
      <c r="E288" s="282"/>
      <c r="F288" s="282"/>
    </row>
    <row r="289" spans="1:7" ht="13.2">
      <c r="A289" s="1598" t="s">
        <v>1545</v>
      </c>
      <c r="B289" s="1598"/>
      <c r="C289" s="1598"/>
      <c r="D289" s="1598"/>
      <c r="E289" s="1598"/>
      <c r="F289" s="1598"/>
      <c r="G289" s="1598"/>
    </row>
    <row r="290" spans="1:7" ht="13.2">
      <c r="A290" s="140"/>
      <c r="B290" s="140"/>
      <c r="C290" s="14"/>
      <c r="D290" s="321"/>
      <c r="E290" s="282"/>
      <c r="F290" s="282"/>
    </row>
    <row r="291" spans="1:7" ht="13.2">
      <c r="A291" s="140"/>
      <c r="B291" s="140"/>
      <c r="C291" s="923"/>
      <c r="D291" s="1589" t="s">
        <v>1544</v>
      </c>
      <c r="E291" s="1589"/>
      <c r="F291" s="1589"/>
    </row>
    <row r="292" spans="1:7" ht="13.2">
      <c r="A292" s="414"/>
      <c r="B292" s="414"/>
      <c r="C292" s="298"/>
      <c r="D292" s="287"/>
      <c r="E292" s="282"/>
      <c r="F292" s="282"/>
    </row>
    <row r="293" spans="1:7" ht="13.2">
      <c r="A293" s="415"/>
      <c r="B293" s="415"/>
      <c r="C293" s="299"/>
      <c r="D293" s="1589" t="s">
        <v>234</v>
      </c>
      <c r="E293" s="1589"/>
      <c r="F293" s="1589"/>
    </row>
    <row r="294" spans="1:7" ht="14.7" customHeight="1">
      <c r="A294" s="413"/>
      <c r="B294" s="947" t="s">
        <v>136</v>
      </c>
      <c r="C294" s="14"/>
      <c r="D294" s="1581" t="s">
        <v>2145</v>
      </c>
      <c r="E294" s="1582"/>
      <c r="F294" s="1582"/>
    </row>
    <row r="295" spans="1:7" ht="13.2">
      <c r="A295" s="140"/>
      <c r="B295" s="140"/>
      <c r="C295" s="14"/>
      <c r="D295" s="1582"/>
      <c r="E295" s="1582"/>
      <c r="F295" s="1582"/>
    </row>
    <row r="296" spans="1:7" ht="13.2">
      <c r="A296" s="140"/>
      <c r="B296" s="140"/>
      <c r="C296" s="14"/>
      <c r="D296" s="1582"/>
      <c r="E296" s="1582"/>
      <c r="F296" s="1582"/>
    </row>
    <row r="297" spans="1:7" ht="13.2">
      <c r="A297" s="1025"/>
      <c r="B297" s="1025"/>
      <c r="C297" s="14"/>
      <c r="D297" s="1361"/>
      <c r="E297" s="1361"/>
      <c r="F297" s="1361"/>
    </row>
    <row r="298" spans="1:7" s="767" customFormat="1" ht="14.7" customHeight="1">
      <c r="A298" s="1363"/>
      <c r="B298" s="1362" t="s">
        <v>136</v>
      </c>
      <c r="C298" s="1364"/>
      <c r="D298" s="1600" t="s">
        <v>2199</v>
      </c>
      <c r="E298" s="1600"/>
      <c r="F298" s="1600"/>
      <c r="G298" s="1365"/>
    </row>
    <row r="299" spans="1:7" s="767" customFormat="1" ht="13.2">
      <c r="A299" s="1364"/>
      <c r="B299" s="1364"/>
      <c r="C299" s="1364"/>
      <c r="D299" s="1600"/>
      <c r="E299" s="1600"/>
      <c r="F299" s="1600"/>
      <c r="G299" s="1365"/>
    </row>
    <row r="300" spans="1:7" s="767" customFormat="1" ht="13.2">
      <c r="A300" s="1364"/>
      <c r="B300" s="1364"/>
      <c r="C300" s="1364"/>
      <c r="D300" s="1600"/>
      <c r="E300" s="1600"/>
      <c r="F300" s="1600"/>
      <c r="G300" s="1365"/>
    </row>
    <row r="301" spans="1:7" s="767" customFormat="1" ht="13.2">
      <c r="A301" s="1364"/>
      <c r="B301" s="1364"/>
      <c r="C301" s="1364"/>
      <c r="D301" s="1602" t="s">
        <v>2200</v>
      </c>
      <c r="E301" s="1602"/>
      <c r="F301" s="1602"/>
      <c r="G301" s="1365"/>
    </row>
    <row r="302" spans="1:7" ht="13.2">
      <c r="A302" s="140"/>
      <c r="B302" s="140"/>
      <c r="C302" s="14"/>
      <c r="D302" s="332"/>
      <c r="E302" s="282"/>
      <c r="F302" s="282"/>
    </row>
    <row r="303" spans="1:7" ht="13.2">
      <c r="A303" s="1598" t="s">
        <v>1546</v>
      </c>
      <c r="B303" s="1598"/>
      <c r="C303" s="1598"/>
      <c r="D303" s="1598"/>
      <c r="E303" s="1598"/>
      <c r="F303" s="1598"/>
      <c r="G303" s="1598"/>
    </row>
    <row r="304" spans="1:7" ht="13.2">
      <c r="A304" s="140"/>
      <c r="B304" s="140"/>
      <c r="C304" s="14"/>
      <c r="D304" s="332"/>
      <c r="E304" s="282"/>
      <c r="F304" s="282"/>
    </row>
    <row r="305" spans="1:7" ht="13.2">
      <c r="A305" s="140"/>
      <c r="B305" s="140"/>
      <c r="C305" s="298"/>
      <c r="D305" s="1617" t="s">
        <v>1758</v>
      </c>
      <c r="E305" s="1617"/>
      <c r="F305" s="1617"/>
    </row>
    <row r="306" spans="1:7" ht="13.2">
      <c r="A306" s="140"/>
      <c r="B306" s="140"/>
      <c r="C306" s="298"/>
      <c r="D306" s="1617"/>
      <c r="E306" s="1617"/>
      <c r="F306" s="1617"/>
    </row>
    <row r="307" spans="1:7" ht="13.2">
      <c r="A307" s="415"/>
      <c r="B307" s="415"/>
      <c r="C307" s="299"/>
      <c r="D307" s="6"/>
      <c r="E307" s="282"/>
      <c r="F307" s="282"/>
    </row>
    <row r="308" spans="1:7" ht="13.2">
      <c r="A308" s="140"/>
      <c r="B308" s="140"/>
      <c r="C308" s="299"/>
      <c r="D308" s="1589" t="s">
        <v>179</v>
      </c>
      <c r="E308" s="1589"/>
      <c r="F308" s="1589"/>
    </row>
    <row r="309" spans="1:7" ht="14.4">
      <c r="A309" s="413"/>
      <c r="B309" s="413"/>
      <c r="C309" s="14"/>
      <c r="D309" s="1608" t="s">
        <v>1759</v>
      </c>
      <c r="E309" s="1608"/>
      <c r="F309" s="1608"/>
    </row>
    <row r="310" spans="1:7" ht="12" customHeight="1">
      <c r="A310" s="140"/>
      <c r="B310" s="140"/>
      <c r="C310" s="14"/>
      <c r="D310" s="282"/>
      <c r="E310" s="282"/>
      <c r="F310" s="282"/>
    </row>
    <row r="311" spans="1:7" ht="14.7" customHeight="1">
      <c r="A311" s="413"/>
      <c r="B311" s="947" t="s">
        <v>136</v>
      </c>
      <c r="C311" s="14"/>
      <c r="D311" s="1582" t="s">
        <v>1760</v>
      </c>
      <c r="E311" s="1582"/>
      <c r="F311" s="1582"/>
    </row>
    <row r="312" spans="1:7" ht="14.4">
      <c r="A312" s="413"/>
      <c r="B312" s="413"/>
      <c r="C312" s="14"/>
      <c r="D312" s="1582"/>
      <c r="E312" s="1582"/>
      <c r="F312" s="1582"/>
    </row>
    <row r="313" spans="1:7" ht="13.2">
      <c r="A313" s="140"/>
      <c r="B313" s="140"/>
      <c r="C313" s="14"/>
      <c r="D313" s="282"/>
      <c r="E313" s="282"/>
      <c r="F313" s="282"/>
    </row>
    <row r="314" spans="1:7" ht="14.7" customHeight="1">
      <c r="A314" s="413"/>
      <c r="B314" s="947" t="s">
        <v>136</v>
      </c>
      <c r="C314" s="14"/>
      <c r="D314" s="1580" t="s">
        <v>1761</v>
      </c>
      <c r="E314" s="1580"/>
      <c r="F314" s="1580"/>
    </row>
    <row r="315" spans="1:7" ht="14.4">
      <c r="A315" s="413"/>
      <c r="B315" s="413"/>
      <c r="C315" s="14"/>
      <c r="D315" s="1580"/>
      <c r="E315" s="1580"/>
      <c r="F315" s="1580"/>
    </row>
    <row r="316" spans="1:7" ht="14.4">
      <c r="A316" s="413"/>
      <c r="B316" s="413"/>
      <c r="C316" s="14"/>
      <c r="D316" s="1580"/>
      <c r="E316" s="1580"/>
      <c r="F316" s="1580"/>
    </row>
    <row r="317" spans="1:7" ht="13.2">
      <c r="A317" s="140"/>
      <c r="B317" s="140"/>
      <c r="C317" s="14"/>
      <c r="D317" s="143"/>
      <c r="E317"/>
      <c r="F317"/>
      <c r="G317"/>
    </row>
    <row r="318" spans="1:7" ht="14.4">
      <c r="A318" s="413"/>
      <c r="B318" s="947" t="s">
        <v>136</v>
      </c>
      <c r="C318" s="14"/>
      <c r="D318" s="1582" t="s">
        <v>1762</v>
      </c>
      <c r="E318" s="1582"/>
      <c r="F318" s="1582"/>
    </row>
    <row r="319" spans="1:7" ht="14.4">
      <c r="A319" s="413"/>
      <c r="B319" s="413"/>
      <c r="C319" s="14"/>
      <c r="D319" s="1582"/>
      <c r="E319" s="1582"/>
      <c r="F319" s="1582"/>
    </row>
    <row r="320" spans="1:7" ht="13.2">
      <c r="A320" s="33"/>
      <c r="B320" s="33"/>
      <c r="C320" s="14"/>
      <c r="D320" s="287"/>
      <c r="E320" s="282"/>
      <c r="F320" s="282"/>
    </row>
    <row r="321" spans="1:7" ht="13.2">
      <c r="A321" s="1598" t="s">
        <v>1533</v>
      </c>
      <c r="B321" s="1598"/>
      <c r="C321" s="1598"/>
      <c r="D321" s="1598"/>
      <c r="E321" s="1598"/>
      <c r="F321" s="1598"/>
      <c r="G321" s="1598"/>
    </row>
    <row r="322" spans="1:7" ht="13.2">
      <c r="A322" s="33"/>
      <c r="B322" s="33"/>
      <c r="C322" s="14"/>
      <c r="D322" s="287"/>
      <c r="E322" s="282"/>
      <c r="F322" s="282"/>
      <c r="G322" s="2"/>
    </row>
    <row r="323" spans="1:7" ht="13.2">
      <c r="A323" s="140"/>
      <c r="B323" s="140"/>
      <c r="C323" s="320"/>
      <c r="D323" s="1589" t="s">
        <v>180</v>
      </c>
      <c r="E323" s="1589"/>
      <c r="F323" s="1589"/>
      <c r="G323" s="2"/>
    </row>
    <row r="324" spans="1:7" ht="13.2">
      <c r="A324" s="140"/>
      <c r="B324" s="140"/>
      <c r="C324" s="320"/>
      <c r="D324" s="1584" t="s">
        <v>1577</v>
      </c>
      <c r="E324" s="1584"/>
      <c r="F324" s="1584"/>
      <c r="G324" s="2"/>
    </row>
    <row r="325" spans="1:7" ht="13.2">
      <c r="A325" s="140"/>
      <c r="B325" s="140"/>
      <c r="C325" s="320"/>
      <c r="D325" s="290"/>
      <c r="E325" s="282"/>
      <c r="F325" s="282"/>
      <c r="G325" s="2"/>
    </row>
    <row r="326" spans="1:7" ht="13.2">
      <c r="A326" s="140"/>
      <c r="B326" s="947" t="s">
        <v>136</v>
      </c>
      <c r="C326" s="14"/>
      <c r="D326" s="1584" t="s">
        <v>1763</v>
      </c>
      <c r="E326" s="1584"/>
      <c r="F326" s="1584"/>
      <c r="G326" s="2"/>
    </row>
    <row r="327" spans="1:7" ht="14.4">
      <c r="A327" s="570"/>
      <c r="B327" s="570"/>
      <c r="D327" s="700"/>
      <c r="G327" s="2"/>
    </row>
    <row r="328" spans="1:7" ht="14.4">
      <c r="A328" s="413"/>
      <c r="B328" s="947" t="s">
        <v>136</v>
      </c>
      <c r="C328" s="14"/>
      <c r="D328" s="1584" t="s">
        <v>1764</v>
      </c>
      <c r="E328" s="1584"/>
      <c r="F328" s="1584"/>
      <c r="G328" s="2"/>
    </row>
    <row r="329" spans="1:7" ht="13.2">
      <c r="A329" s="140"/>
      <c r="B329" s="140"/>
      <c r="C329" s="14"/>
      <c r="D329" s="282"/>
      <c r="E329" s="282"/>
      <c r="F329" s="282"/>
      <c r="G329" s="2"/>
    </row>
    <row r="330" spans="1:7" ht="14.7" customHeight="1">
      <c r="A330" s="413"/>
      <c r="B330" s="947" t="s">
        <v>136</v>
      </c>
      <c r="C330" s="14"/>
      <c r="D330" s="1580" t="s">
        <v>1770</v>
      </c>
      <c r="E330" s="1580"/>
      <c r="F330" s="1580"/>
      <c r="G330" s="2"/>
    </row>
    <row r="331" spans="1:7" ht="14.4">
      <c r="A331" s="413"/>
      <c r="B331" s="413"/>
      <c r="C331" s="14"/>
      <c r="D331" s="1580"/>
      <c r="E331" s="1580"/>
      <c r="F331" s="1580"/>
      <c r="G331" s="2"/>
    </row>
    <row r="332" spans="1:7" ht="14.4">
      <c r="A332" s="413"/>
      <c r="B332" s="413"/>
      <c r="C332" s="14"/>
      <c r="D332" s="1580"/>
      <c r="E332" s="1580"/>
      <c r="F332" s="1580"/>
      <c r="G332" s="2"/>
    </row>
    <row r="333" spans="1:7" ht="14.4">
      <c r="A333" s="413"/>
      <c r="B333" s="413"/>
      <c r="C333" s="14"/>
      <c r="D333" s="1580"/>
      <c r="E333" s="1580"/>
      <c r="F333" s="1580"/>
      <c r="G333" s="2"/>
    </row>
    <row r="334" spans="1:7" ht="14.4">
      <c r="A334" s="413"/>
      <c r="B334" s="413"/>
      <c r="C334" s="14"/>
      <c r="D334" s="1580"/>
      <c r="E334" s="1580"/>
      <c r="F334" s="1580"/>
      <c r="G334" s="2"/>
    </row>
    <row r="335" spans="1:7" ht="14.4">
      <c r="A335" s="413"/>
      <c r="B335" s="413"/>
      <c r="C335" s="14"/>
      <c r="D335" s="1580"/>
      <c r="E335" s="1580"/>
      <c r="F335" s="1580"/>
      <c r="G335" s="2"/>
    </row>
    <row r="336" spans="1:7" ht="14.4">
      <c r="A336" s="413"/>
      <c r="B336" s="413"/>
      <c r="C336" s="14"/>
      <c r="D336" s="1580"/>
      <c r="E336" s="1580"/>
      <c r="F336" s="1580"/>
      <c r="G336" s="2"/>
    </row>
    <row r="337" spans="1:8" ht="14.4">
      <c r="A337" s="413"/>
      <c r="B337" s="413"/>
      <c r="C337" s="14"/>
      <c r="D337" s="1580"/>
      <c r="E337" s="1580"/>
      <c r="F337" s="1580"/>
      <c r="G337" s="2"/>
    </row>
    <row r="338" spans="1:8" ht="14.4">
      <c r="A338" s="413"/>
      <c r="B338" s="413"/>
      <c r="C338" s="14"/>
      <c r="D338" s="1580"/>
      <c r="E338" s="1580"/>
      <c r="F338" s="1580"/>
    </row>
    <row r="339" spans="1:8" ht="14.4">
      <c r="A339" s="413"/>
      <c r="B339" s="413"/>
      <c r="C339" s="14"/>
      <c r="D339" s="1580"/>
      <c r="E339" s="1580"/>
      <c r="F339" s="1580"/>
    </row>
    <row r="340" spans="1:8" ht="14.4">
      <c r="A340" s="413"/>
      <c r="B340" s="413"/>
      <c r="C340" s="14"/>
      <c r="D340" s="1580"/>
      <c r="E340" s="1580"/>
      <c r="F340" s="1580"/>
    </row>
    <row r="341" spans="1:8" ht="14.4">
      <c r="A341" s="413"/>
      <c r="B341" s="413"/>
      <c r="C341" s="14"/>
      <c r="D341" s="1580"/>
      <c r="E341" s="1580"/>
      <c r="F341" s="1580"/>
    </row>
    <row r="342" spans="1:8" ht="14.4">
      <c r="A342" s="413"/>
      <c r="B342" s="413"/>
      <c r="C342" s="14"/>
      <c r="D342" s="1580"/>
      <c r="E342" s="1580"/>
      <c r="F342" s="1580"/>
    </row>
    <row r="343" spans="1:8" ht="14.4">
      <c r="A343" s="413"/>
      <c r="B343" s="413"/>
      <c r="C343" s="14"/>
      <c r="D343" s="1580"/>
      <c r="E343" s="1580"/>
      <c r="F343" s="1580"/>
    </row>
    <row r="344" spans="1:8" ht="14.4">
      <c r="A344" s="413"/>
      <c r="B344" s="413"/>
      <c r="C344" s="14"/>
      <c r="D344" s="1580"/>
      <c r="E344" s="1580"/>
      <c r="F344" s="1580"/>
    </row>
    <row r="345" spans="1:8" ht="13.2">
      <c r="A345" s="140"/>
      <c r="B345" s="140"/>
      <c r="C345" s="14"/>
      <c r="D345" s="282"/>
      <c r="E345" s="282"/>
      <c r="F345" s="282"/>
    </row>
    <row r="346" spans="1:8" s="50" customFormat="1" ht="14.7" customHeight="1">
      <c r="A346" s="413"/>
      <c r="B346" s="947" t="s">
        <v>136</v>
      </c>
      <c r="C346" s="140"/>
      <c r="D346" s="1580" t="s">
        <v>1765</v>
      </c>
      <c r="E346" s="1580"/>
      <c r="F346" s="1580"/>
      <c r="G346" s="8"/>
      <c r="H346" s="16"/>
    </row>
    <row r="347" spans="1:8" s="50" customFormat="1" ht="13.2">
      <c r="A347" s="140"/>
      <c r="B347" s="140"/>
      <c r="C347" s="140"/>
      <c r="D347" s="1580"/>
      <c r="E347" s="1580"/>
      <c r="F347" s="1580"/>
      <c r="G347" s="8"/>
      <c r="H347" s="16"/>
    </row>
    <row r="348" spans="1:8" s="50" customFormat="1" ht="13.2">
      <c r="A348" s="140"/>
      <c r="B348" s="140"/>
      <c r="C348" s="140"/>
      <c r="D348" s="1580"/>
      <c r="E348" s="1580"/>
      <c r="F348" s="1580"/>
      <c r="G348" s="8"/>
      <c r="H348" s="16"/>
    </row>
    <row r="349" spans="1:8" s="50" customFormat="1" ht="13.2">
      <c r="A349" s="140"/>
      <c r="B349" s="140"/>
      <c r="C349" s="140"/>
      <c r="D349" s="1580"/>
      <c r="E349" s="1580"/>
      <c r="F349" s="1580"/>
      <c r="G349" s="8"/>
      <c r="H349" s="16"/>
    </row>
    <row r="350" spans="1:8" s="50" customFormat="1" ht="13.2">
      <c r="A350" s="140"/>
      <c r="B350" s="140"/>
      <c r="C350" s="140"/>
      <c r="D350" s="1580"/>
      <c r="E350" s="1580"/>
      <c r="F350" s="1580"/>
      <c r="G350" s="8"/>
      <c r="H350" s="16"/>
    </row>
    <row r="351" spans="1:8" s="50" customFormat="1" ht="13.2">
      <c r="A351" s="140"/>
      <c r="B351" s="140"/>
      <c r="C351" s="140"/>
      <c r="D351" s="1580"/>
      <c r="E351" s="1580"/>
      <c r="F351" s="1580"/>
      <c r="G351" s="8"/>
      <c r="H351" s="16"/>
    </row>
    <row r="352" spans="1:8" s="50" customFormat="1" ht="13.2">
      <c r="A352" s="140"/>
      <c r="B352" s="140"/>
      <c r="C352" s="140"/>
      <c r="D352" s="1580"/>
      <c r="E352" s="1580"/>
      <c r="F352" s="1580"/>
      <c r="G352" s="8"/>
      <c r="H352" s="16"/>
    </row>
    <row r="353" spans="1:8" s="50" customFormat="1" ht="13.2">
      <c r="A353" s="140"/>
      <c r="B353" s="140"/>
      <c r="C353" s="140"/>
      <c r="D353" s="1580"/>
      <c r="E353" s="1580"/>
      <c r="F353" s="1580"/>
      <c r="G353" s="8"/>
      <c r="H353" s="16"/>
    </row>
    <row r="354" spans="1:8" s="50" customFormat="1" ht="13.2">
      <c r="A354" s="140"/>
      <c r="B354" s="140"/>
      <c r="C354" s="140"/>
      <c r="D354" s="1580"/>
      <c r="E354" s="1580"/>
      <c r="F354" s="1580"/>
      <c r="G354" s="8"/>
      <c r="H354" s="16"/>
    </row>
    <row r="355" spans="1:8" ht="13.2">
      <c r="A355" s="150"/>
      <c r="B355" s="150"/>
      <c r="E355" s="403"/>
      <c r="F355" s="403"/>
    </row>
    <row r="356" spans="1:8" ht="14.4">
      <c r="A356" s="413"/>
      <c r="B356" s="947" t="s">
        <v>136</v>
      </c>
      <c r="C356" s="14"/>
      <c r="D356" s="1581" t="s">
        <v>2137</v>
      </c>
      <c r="E356" s="1582"/>
      <c r="F356" s="1582"/>
    </row>
    <row r="357" spans="1:8" ht="13.2">
      <c r="A357" s="140"/>
      <c r="B357" s="140"/>
      <c r="C357" s="14"/>
      <c r="D357" s="1582"/>
      <c r="E357" s="1582"/>
      <c r="F357" s="1582"/>
    </row>
    <row r="358" spans="1:8" ht="13.2">
      <c r="A358" s="140"/>
      <c r="B358" s="140"/>
      <c r="C358" s="14"/>
      <c r="D358" s="1582"/>
      <c r="E358" s="1582"/>
      <c r="F358" s="1582"/>
    </row>
    <row r="359" spans="1:8" ht="13.2">
      <c r="A359" s="140"/>
      <c r="B359" s="140"/>
      <c r="C359" s="14"/>
      <c r="D359" s="1582"/>
      <c r="E359" s="1582"/>
      <c r="F359" s="1582"/>
    </row>
    <row r="360" spans="1:8" ht="13.2">
      <c r="A360" s="983"/>
      <c r="B360" s="983"/>
      <c r="C360" s="14"/>
      <c r="D360" s="1582"/>
      <c r="E360" s="1582"/>
      <c r="F360" s="1582"/>
    </row>
    <row r="361" spans="1:8" ht="13.2">
      <c r="A361" s="140"/>
      <c r="B361" s="140"/>
      <c r="C361" s="14"/>
      <c r="D361" s="1582"/>
      <c r="E361" s="1582"/>
      <c r="F361" s="1582"/>
    </row>
    <row r="362" spans="1:8" ht="13.8" thickBot="1">
      <c r="A362" s="140"/>
      <c r="B362" s="140"/>
      <c r="C362" s="14"/>
      <c r="D362" s="1295"/>
      <c r="E362" s="808"/>
      <c r="F362" s="808"/>
      <c r="G362" s="288"/>
    </row>
    <row r="363" spans="1:8" ht="14.4" thickTop="1" thickBot="1">
      <c r="A363" s="140"/>
      <c r="B363" s="140"/>
      <c r="C363" s="140"/>
      <c r="D363" s="1607" t="s">
        <v>1400</v>
      </c>
      <c r="E363" s="1607"/>
      <c r="F363" s="1607"/>
      <c r="G363" s="71"/>
    </row>
    <row r="364" spans="1:8" ht="13.8" thickTop="1">
      <c r="A364" s="140"/>
      <c r="B364" s="140"/>
      <c r="C364" s="140"/>
      <c r="D364" s="1611" t="s">
        <v>1766</v>
      </c>
      <c r="E364" s="1611"/>
      <c r="F364" s="1611"/>
      <c r="G364" s="8"/>
    </row>
    <row r="365" spans="1:8" ht="13.2">
      <c r="A365" s="140"/>
      <c r="B365" s="140"/>
      <c r="C365" s="140"/>
      <c r="D365" s="287"/>
      <c r="E365" s="8"/>
      <c r="F365" s="8"/>
      <c r="G365" s="8"/>
    </row>
    <row r="366" spans="1:8" ht="14.4">
      <c r="A366" s="413"/>
      <c r="B366" s="947" t="s">
        <v>136</v>
      </c>
      <c r="C366" s="597"/>
      <c r="D366" s="1605" t="s">
        <v>1771</v>
      </c>
      <c r="E366" s="1605"/>
      <c r="F366" s="1605"/>
      <c r="G366" s="8"/>
    </row>
    <row r="367" spans="1:8" ht="14.4">
      <c r="A367" s="413"/>
      <c r="B367" s="413"/>
      <c r="C367" s="597"/>
      <c r="D367" s="664"/>
      <c r="E367" s="8"/>
      <c r="F367" s="8"/>
      <c r="G367" s="8"/>
    </row>
    <row r="368" spans="1:8" ht="14.4">
      <c r="A368" s="413"/>
      <c r="B368" s="947" t="s">
        <v>136</v>
      </c>
      <c r="C368" s="597"/>
      <c r="D368" s="1609" t="s">
        <v>1774</v>
      </c>
      <c r="E368" s="1610"/>
      <c r="F368" s="1610"/>
      <c r="G368" s="8"/>
    </row>
    <row r="369" spans="1:7" ht="14.4">
      <c r="A369" s="413"/>
      <c r="B369" s="413"/>
      <c r="C369" s="597"/>
      <c r="D369" s="1610"/>
      <c r="E369" s="1610"/>
      <c r="F369" s="1610"/>
      <c r="G369" s="8"/>
    </row>
    <row r="370" spans="1:7" ht="14.4">
      <c r="A370" s="413"/>
      <c r="B370" s="413"/>
      <c r="C370" s="597"/>
      <c r="D370" s="1610"/>
      <c r="E370" s="1610"/>
      <c r="F370" s="1610"/>
      <c r="G370" s="8"/>
    </row>
    <row r="371" spans="1:7" ht="14.4">
      <c r="A371" s="413"/>
      <c r="B371" s="413"/>
      <c r="C371" s="597"/>
      <c r="D371" s="1610"/>
      <c r="E371" s="1610"/>
      <c r="F371" s="1610"/>
      <c r="G371" s="8"/>
    </row>
    <row r="372" spans="1:7" ht="14.4">
      <c r="A372" s="413"/>
      <c r="B372" s="413"/>
      <c r="C372" s="597"/>
      <c r="D372" s="1610"/>
      <c r="E372" s="1610"/>
      <c r="F372" s="1610"/>
      <c r="G372" s="8"/>
    </row>
    <row r="373" spans="1:7" ht="14.4">
      <c r="A373" s="413"/>
      <c r="B373" s="413"/>
      <c r="C373" s="597"/>
      <c r="D373" s="1610"/>
      <c r="E373" s="1610"/>
      <c r="F373" s="1610"/>
      <c r="G373" s="8"/>
    </row>
    <row r="374" spans="1:7" ht="14.4">
      <c r="A374" s="413"/>
      <c r="B374" s="413"/>
      <c r="C374" s="597"/>
      <c r="D374" s="1610"/>
      <c r="E374" s="1610"/>
      <c r="F374" s="1610"/>
      <c r="G374" s="8"/>
    </row>
    <row r="375" spans="1:7" ht="14.4">
      <c r="A375" s="413"/>
      <c r="B375" s="413"/>
      <c r="C375" s="597"/>
      <c r="D375" s="1610"/>
      <c r="E375" s="1610"/>
      <c r="F375" s="1610"/>
      <c r="G375" s="8"/>
    </row>
    <row r="376" spans="1:7" ht="14.4">
      <c r="A376" s="413"/>
      <c r="B376" s="413"/>
      <c r="C376" s="597"/>
      <c r="D376" s="1610"/>
      <c r="E376" s="1610"/>
      <c r="F376" s="1610"/>
      <c r="G376" s="8"/>
    </row>
    <row r="377" spans="1:7" ht="14.4">
      <c r="A377" s="413"/>
      <c r="B377" s="413"/>
      <c r="C377" s="597"/>
      <c r="D377" s="1610"/>
      <c r="E377" s="1610"/>
      <c r="F377" s="1610"/>
      <c r="G377" s="8"/>
    </row>
    <row r="378" spans="1:7" ht="14.4">
      <c r="A378" s="413"/>
      <c r="B378" s="413"/>
      <c r="C378" s="597"/>
      <c r="D378" s="988"/>
      <c r="E378" s="988"/>
      <c r="F378" s="988"/>
      <c r="G378" s="8"/>
    </row>
    <row r="379" spans="1:7" ht="14.4">
      <c r="A379" s="413"/>
      <c r="B379" s="947" t="s">
        <v>136</v>
      </c>
      <c r="C379" s="597"/>
      <c r="D379" s="1603" t="s">
        <v>1767</v>
      </c>
      <c r="E379" s="1603"/>
      <c r="F379" s="1603"/>
      <c r="G379" s="8"/>
    </row>
    <row r="380" spans="1:7" ht="13.2">
      <c r="A380" s="597"/>
      <c r="B380" s="597"/>
      <c r="C380" s="597"/>
      <c r="D380" s="1603"/>
      <c r="E380" s="1603"/>
      <c r="F380" s="1603"/>
      <c r="G380" s="8"/>
    </row>
    <row r="381" spans="1:7" ht="13.2">
      <c r="A381" s="597"/>
      <c r="B381" s="597"/>
      <c r="C381" s="597"/>
      <c r="D381" s="1603"/>
      <c r="E381" s="1603"/>
      <c r="F381" s="1603"/>
      <c r="G381" s="8"/>
    </row>
    <row r="382" spans="1:7" ht="13.2">
      <c r="A382" s="597"/>
      <c r="B382" s="597"/>
      <c r="C382" s="597"/>
      <c r="D382" s="1603"/>
      <c r="E382" s="1603"/>
      <c r="F382" s="1603"/>
      <c r="G382" s="8"/>
    </row>
    <row r="383" spans="1:7" ht="13.2">
      <c r="A383" s="597"/>
      <c r="B383" s="597"/>
      <c r="C383" s="597"/>
      <c r="D383" s="992"/>
      <c r="E383" s="992"/>
      <c r="F383" s="992"/>
      <c r="G383" s="8"/>
    </row>
    <row r="384" spans="1:7" ht="13.2">
      <c r="A384" s="597"/>
      <c r="B384" s="597"/>
      <c r="C384" s="597"/>
      <c r="D384" s="1603" t="s">
        <v>1768</v>
      </c>
      <c r="E384" s="1603"/>
      <c r="F384" s="1603"/>
      <c r="G384" s="8"/>
    </row>
    <row r="385" spans="1:7" ht="13.2">
      <c r="A385" s="597"/>
      <c r="B385" s="597"/>
      <c r="C385" s="597"/>
      <c r="D385" s="1603"/>
      <c r="E385" s="1603"/>
      <c r="F385" s="1603"/>
      <c r="G385" s="8"/>
    </row>
    <row r="386" spans="1:7" ht="13.2">
      <c r="A386" s="597"/>
      <c r="B386" s="597"/>
      <c r="C386" s="597"/>
      <c r="D386" s="1603"/>
      <c r="E386" s="1603"/>
      <c r="F386" s="1603"/>
      <c r="G386" s="8"/>
    </row>
    <row r="387" spans="1:7" ht="13.2">
      <c r="A387" s="597"/>
      <c r="B387" s="597"/>
      <c r="C387" s="597"/>
      <c r="D387" s="1603"/>
      <c r="E387" s="1603"/>
      <c r="F387" s="1603"/>
      <c r="G387" s="8"/>
    </row>
    <row r="388" spans="1:7" ht="13.2">
      <c r="A388" s="597"/>
      <c r="B388" s="597"/>
      <c r="C388" s="597"/>
      <c r="D388" s="1603"/>
      <c r="E388" s="1603"/>
      <c r="F388" s="1603"/>
      <c r="G388" s="8"/>
    </row>
    <row r="389" spans="1:7" ht="13.2">
      <c r="A389" s="597"/>
      <c r="B389" s="597"/>
      <c r="C389" s="597"/>
      <c r="D389" s="1603"/>
      <c r="E389" s="1603"/>
      <c r="F389" s="1603"/>
      <c r="G389" s="8"/>
    </row>
    <row r="390" spans="1:7" ht="13.2">
      <c r="A390" s="597"/>
      <c r="B390" s="597"/>
      <c r="C390" s="597"/>
      <c r="D390" s="1603"/>
      <c r="E390" s="1603"/>
      <c r="F390" s="1603"/>
      <c r="G390" s="8"/>
    </row>
    <row r="391" spans="1:7" ht="13.2">
      <c r="A391" s="597"/>
      <c r="B391" s="597"/>
      <c r="C391" s="597"/>
      <c r="D391" s="1603"/>
      <c r="E391" s="1603"/>
      <c r="F391" s="1603"/>
      <c r="G391" s="8"/>
    </row>
    <row r="392" spans="1:7" ht="13.2">
      <c r="A392" s="597"/>
      <c r="B392" s="597"/>
      <c r="C392" s="597"/>
      <c r="D392" s="1603"/>
      <c r="E392" s="1603"/>
      <c r="F392" s="1603"/>
      <c r="G392" s="8"/>
    </row>
    <row r="393" spans="1:7" ht="13.95" customHeight="1">
      <c r="A393" s="597"/>
      <c r="B393" s="597"/>
      <c r="C393" s="597"/>
      <c r="D393" s="1583" t="s">
        <v>1772</v>
      </c>
      <c r="E393" s="1583"/>
      <c r="F393" s="1583"/>
      <c r="G393" s="8"/>
    </row>
    <row r="394" spans="1:7" ht="13.95" customHeight="1">
      <c r="A394" s="597"/>
      <c r="B394" s="597"/>
      <c r="C394" s="597"/>
      <c r="D394" s="1583"/>
      <c r="E394" s="1583"/>
      <c r="F394" s="1583"/>
      <c r="G394" s="8"/>
    </row>
    <row r="395" spans="1:7" ht="13.95" customHeight="1">
      <c r="A395" s="597"/>
      <c r="B395" s="597"/>
      <c r="C395" s="597"/>
      <c r="D395" s="1583"/>
      <c r="E395" s="1583"/>
      <c r="F395" s="1583"/>
      <c r="G395" s="8"/>
    </row>
    <row r="396" spans="1:7" ht="13.95" customHeight="1">
      <c r="A396" s="597"/>
      <c r="B396" s="597"/>
      <c r="C396" s="597"/>
      <c r="D396" s="1583"/>
      <c r="E396" s="1583"/>
      <c r="F396" s="1583"/>
      <c r="G396" s="8"/>
    </row>
    <row r="397" spans="1:7" ht="13.95" customHeight="1">
      <c r="A397" s="597"/>
      <c r="B397" s="597"/>
      <c r="C397" s="597"/>
      <c r="D397" s="1583"/>
      <c r="E397" s="1583"/>
      <c r="F397" s="1583"/>
      <c r="G397" s="8"/>
    </row>
    <row r="398" spans="1:7" ht="13.95" customHeight="1">
      <c r="A398" s="597"/>
      <c r="B398" s="597"/>
      <c r="C398" s="597"/>
      <c r="D398" s="1583"/>
      <c r="E398" s="1583"/>
      <c r="F398" s="1583"/>
      <c r="G398" s="8"/>
    </row>
    <row r="399" spans="1:7" ht="13.95" customHeight="1">
      <c r="A399" s="597"/>
      <c r="B399" s="597"/>
      <c r="C399" s="597"/>
      <c r="D399" s="1583"/>
      <c r="E399" s="1583"/>
      <c r="F399" s="1583"/>
      <c r="G399" s="8"/>
    </row>
    <row r="400" spans="1:7" ht="13.95" customHeight="1">
      <c r="A400" s="597"/>
      <c r="B400" s="597"/>
      <c r="C400" s="597"/>
      <c r="D400" s="1583"/>
      <c r="E400" s="1583"/>
      <c r="F400" s="1583"/>
      <c r="G400" s="8"/>
    </row>
    <row r="401" spans="1:7" ht="13.95" customHeight="1">
      <c r="A401" s="597"/>
      <c r="B401" s="597"/>
      <c r="C401" s="597"/>
      <c r="D401" s="1583"/>
      <c r="E401" s="1583"/>
      <c r="F401" s="1583"/>
      <c r="G401" s="8"/>
    </row>
    <row r="402" spans="1:7" ht="13.95" customHeight="1">
      <c r="A402" s="597"/>
      <c r="B402" s="597"/>
      <c r="C402" s="597"/>
      <c r="D402" s="1583"/>
      <c r="E402" s="1583"/>
      <c r="F402" s="1583"/>
      <c r="G402" s="8"/>
    </row>
    <row r="403" spans="1:7" ht="13.95" customHeight="1">
      <c r="A403" s="597"/>
      <c r="B403" s="597"/>
      <c r="C403" s="597"/>
      <c r="D403" s="1583"/>
      <c r="E403" s="1583"/>
      <c r="F403" s="1583"/>
      <c r="G403" s="8"/>
    </row>
    <row r="404" spans="1:7" ht="13.95" customHeight="1">
      <c r="A404" s="597"/>
      <c r="B404" s="597"/>
      <c r="C404" s="597"/>
      <c r="D404" s="1583"/>
      <c r="E404" s="1583"/>
      <c r="F404" s="1583"/>
      <c r="G404" s="8"/>
    </row>
    <row r="405" spans="1:7" ht="13.95" customHeight="1">
      <c r="A405" s="597"/>
      <c r="B405" s="597"/>
      <c r="C405" s="597"/>
      <c r="D405" s="1583"/>
      <c r="E405" s="1583"/>
      <c r="F405" s="1583"/>
      <c r="G405" s="8"/>
    </row>
    <row r="406" spans="1:7" ht="13.95" customHeight="1">
      <c r="A406" s="597"/>
      <c r="B406" s="597"/>
      <c r="C406" s="597"/>
      <c r="D406" s="1583"/>
      <c r="E406" s="1583"/>
      <c r="F406" s="1583"/>
      <c r="G406" s="8"/>
    </row>
    <row r="407" spans="1:7" ht="13.95" customHeight="1">
      <c r="A407" s="597"/>
      <c r="B407" s="597"/>
      <c r="C407" s="597"/>
      <c r="D407" s="1583"/>
      <c r="E407" s="1583"/>
      <c r="F407" s="1583"/>
      <c r="G407" s="8"/>
    </row>
    <row r="408" spans="1:7" ht="13.95" customHeight="1">
      <c r="A408" s="597"/>
      <c r="B408" s="597"/>
      <c r="C408" s="597"/>
      <c r="D408" s="1583"/>
      <c r="E408" s="1583"/>
      <c r="F408" s="1583"/>
      <c r="G408" s="8"/>
    </row>
    <row r="409" spans="1:7" ht="13.95" customHeight="1">
      <c r="A409" s="597"/>
      <c r="B409" s="597"/>
      <c r="C409" s="597"/>
      <c r="D409" s="1583"/>
      <c r="E409" s="1583"/>
      <c r="F409" s="1583"/>
      <c r="G409" s="8"/>
    </row>
    <row r="410" spans="1:7" ht="13.95" customHeight="1">
      <c r="A410" s="597"/>
      <c r="B410" s="597"/>
      <c r="C410" s="597"/>
      <c r="D410" s="1583"/>
      <c r="E410" s="1583"/>
      <c r="F410" s="1583"/>
      <c r="G410" s="8"/>
    </row>
    <row r="411" spans="1:7" ht="13.2">
      <c r="A411" s="597"/>
      <c r="B411" s="597"/>
      <c r="C411" s="597"/>
      <c r="D411" s="805"/>
      <c r="E411" s="8"/>
      <c r="F411" s="8"/>
      <c r="G411" s="8"/>
    </row>
    <row r="412" spans="1:7" ht="13.95" customHeight="1">
      <c r="A412" s="597"/>
      <c r="B412" s="947" t="s">
        <v>136</v>
      </c>
      <c r="C412" s="597"/>
      <c r="D412" s="1583" t="s">
        <v>1769</v>
      </c>
      <c r="E412" s="1583"/>
      <c r="F412" s="1583"/>
      <c r="G412" s="8"/>
    </row>
    <row r="413" spans="1:7" ht="13.2">
      <c r="A413" s="597"/>
      <c r="B413" s="597"/>
      <c r="C413" s="597"/>
      <c r="D413" s="1583"/>
      <c r="E413" s="1583"/>
      <c r="F413" s="1583"/>
      <c r="G413" s="8"/>
    </row>
    <row r="414" spans="1:7" ht="13.2">
      <c r="A414" s="597"/>
      <c r="B414" s="597"/>
      <c r="C414" s="597"/>
      <c r="D414" s="1350"/>
      <c r="E414" s="1350"/>
      <c r="F414" s="1350"/>
      <c r="G414" s="8"/>
    </row>
    <row r="415" spans="1:7" ht="13.2">
      <c r="A415" s="597"/>
      <c r="B415" s="1352" t="s">
        <v>136</v>
      </c>
      <c r="C415" s="597"/>
      <c r="D415" s="1587" t="s">
        <v>2142</v>
      </c>
      <c r="E415" s="1587"/>
      <c r="F415" s="1587"/>
      <c r="G415" s="8"/>
    </row>
    <row r="416" spans="1:7" ht="13.2">
      <c r="A416" s="597"/>
      <c r="B416" s="597"/>
      <c r="C416" s="597"/>
      <c r="D416" s="1587"/>
      <c r="E416" s="1587"/>
      <c r="F416" s="1587"/>
      <c r="G416" s="8"/>
    </row>
    <row r="417" spans="1:7" ht="13.2">
      <c r="A417" s="597"/>
      <c r="B417" s="597"/>
      <c r="C417" s="597"/>
      <c r="D417" s="1587"/>
      <c r="E417" s="1587"/>
      <c r="F417" s="1587"/>
      <c r="G417" s="8"/>
    </row>
    <row r="418" spans="1:7" ht="13.2">
      <c r="A418" s="597"/>
      <c r="B418" s="597"/>
      <c r="C418" s="597"/>
      <c r="D418" s="1587"/>
      <c r="E418" s="1587"/>
      <c r="F418" s="1587"/>
      <c r="G418" s="8"/>
    </row>
    <row r="419" spans="1:7" ht="13.2">
      <c r="A419" s="597"/>
      <c r="B419" s="597"/>
      <c r="C419" s="597"/>
      <c r="D419" s="1587"/>
      <c r="E419" s="1587"/>
      <c r="F419" s="1587"/>
      <c r="G419" s="8"/>
    </row>
    <row r="420" spans="1:7" ht="13.2">
      <c r="A420" s="597"/>
      <c r="B420" s="597"/>
      <c r="C420" s="597"/>
      <c r="D420" s="1587"/>
      <c r="E420" s="1587"/>
      <c r="F420" s="1587"/>
      <c r="G420" s="8"/>
    </row>
    <row r="421" spans="1:7" ht="14.7" customHeight="1">
      <c r="A421" s="413"/>
      <c r="B421" s="947" t="s">
        <v>136</v>
      </c>
      <c r="C421" s="597"/>
      <c r="D421" s="1587" t="s">
        <v>2119</v>
      </c>
      <c r="E421" s="1587"/>
      <c r="F421" s="1587"/>
      <c r="G421" s="8"/>
    </row>
    <row r="422" spans="1:7" ht="14.4">
      <c r="A422" s="806"/>
      <c r="B422" s="806"/>
      <c r="C422" s="597"/>
      <c r="D422" s="1587"/>
      <c r="E422" s="1587"/>
      <c r="F422" s="1587"/>
      <c r="G422" s="8"/>
    </row>
    <row r="423" spans="1:7" ht="14.4">
      <c r="A423" s="806"/>
      <c r="B423" s="806"/>
      <c r="C423" s="597"/>
      <c r="D423" s="1587"/>
      <c r="E423" s="1587"/>
      <c r="F423" s="1587"/>
      <c r="G423" s="8"/>
    </row>
    <row r="424" spans="1:7" ht="14.4">
      <c r="A424" s="806"/>
      <c r="B424" s="806"/>
      <c r="C424" s="597"/>
      <c r="D424" s="1587"/>
      <c r="E424" s="1587"/>
      <c r="F424" s="1587"/>
      <c r="G424" s="8"/>
    </row>
    <row r="425" spans="1:7" ht="14.25" customHeight="1">
      <c r="A425" s="806"/>
      <c r="B425" s="806"/>
      <c r="C425" s="597"/>
      <c r="D425" s="1588" t="s">
        <v>2138</v>
      </c>
      <c r="E425" s="1588"/>
      <c r="F425" s="1588"/>
      <c r="G425" s="8"/>
    </row>
    <row r="426" spans="1:7" ht="13.2">
      <c r="A426" s="140"/>
      <c r="B426" s="140"/>
      <c r="C426" s="140"/>
      <c r="D426" s="143"/>
      <c r="E426" s="8"/>
      <c r="F426" s="8"/>
      <c r="G426" s="8"/>
    </row>
    <row r="427" spans="1:7" ht="14.7" customHeight="1">
      <c r="A427" s="413"/>
      <c r="B427" s="947" t="s">
        <v>136</v>
      </c>
      <c r="C427" s="355"/>
      <c r="D427" s="1582" t="s">
        <v>1775</v>
      </c>
      <c r="E427" s="1582"/>
      <c r="F427" s="1582"/>
      <c r="G427" s="8"/>
    </row>
    <row r="428" spans="1:7" ht="14.4">
      <c r="A428" s="413"/>
      <c r="B428" s="413"/>
      <c r="C428" s="140"/>
      <c r="D428" s="1582"/>
      <c r="E428" s="1582"/>
      <c r="F428" s="1582"/>
      <c r="G428" s="8"/>
    </row>
    <row r="429" spans="1:7" ht="14.4">
      <c r="A429" s="413"/>
      <c r="B429" s="413"/>
      <c r="C429" s="989"/>
      <c r="D429" s="1582"/>
      <c r="E429" s="1582"/>
      <c r="F429" s="1582"/>
      <c r="G429" s="8"/>
    </row>
    <row r="430" spans="1:7" ht="14.4">
      <c r="A430" s="413"/>
      <c r="B430" s="413"/>
      <c r="C430" s="989"/>
      <c r="D430" s="1582"/>
      <c r="E430" s="1582"/>
      <c r="F430" s="1582"/>
      <c r="G430" s="8"/>
    </row>
    <row r="431" spans="1:7" ht="14.4">
      <c r="A431" s="413"/>
      <c r="B431" s="413"/>
      <c r="C431" s="989"/>
      <c r="D431" s="1582"/>
      <c r="E431" s="1582"/>
      <c r="F431" s="1582"/>
      <c r="G431" s="8"/>
    </row>
    <row r="432" spans="1:7" ht="14.4">
      <c r="A432" s="413"/>
      <c r="B432" s="413"/>
      <c r="C432" s="989"/>
      <c r="D432" s="1582"/>
      <c r="E432" s="1582"/>
      <c r="F432" s="1582"/>
      <c r="G432" s="8"/>
    </row>
    <row r="433" spans="1:7" ht="14.4">
      <c r="A433" s="413"/>
      <c r="B433" s="413"/>
      <c r="C433" s="989"/>
      <c r="D433" s="1582"/>
      <c r="E433" s="1582"/>
      <c r="F433" s="1582"/>
      <c r="G433" s="8"/>
    </row>
    <row r="434" spans="1:7" ht="14.4">
      <c r="A434" s="413"/>
      <c r="B434" s="413"/>
      <c r="C434" s="989"/>
      <c r="D434" s="1582"/>
      <c r="E434" s="1582"/>
      <c r="F434" s="1582"/>
      <c r="G434" s="8"/>
    </row>
    <row r="435" spans="1:7" ht="14.4">
      <c r="A435" s="413"/>
      <c r="B435" s="413"/>
      <c r="C435" s="989"/>
      <c r="D435" s="1582"/>
      <c r="E435" s="1582"/>
      <c r="F435" s="1582"/>
      <c r="G435" s="8"/>
    </row>
    <row r="436" spans="1:7" ht="14.4">
      <c r="A436" s="413"/>
      <c r="B436" s="413"/>
      <c r="C436" s="989"/>
      <c r="D436" s="1582"/>
      <c r="E436" s="1582"/>
      <c r="F436" s="1582"/>
      <c r="G436" s="8"/>
    </row>
    <row r="437" spans="1:7" ht="14.4">
      <c r="A437" s="413"/>
      <c r="B437" s="413"/>
      <c r="C437" s="989"/>
      <c r="D437" s="1582"/>
      <c r="E437" s="1582"/>
      <c r="F437" s="1582"/>
      <c r="G437" s="8"/>
    </row>
    <row r="438" spans="1:7" ht="14.4">
      <c r="A438" s="413"/>
      <c r="B438" s="413"/>
      <c r="C438" s="989"/>
      <c r="D438" s="1582"/>
      <c r="E438" s="1582"/>
      <c r="F438" s="1582"/>
      <c r="G438" s="8"/>
    </row>
    <row r="439" spans="1:7" ht="14.4">
      <c r="A439" s="413"/>
      <c r="B439" s="413"/>
      <c r="C439" s="989"/>
      <c r="D439" s="1582"/>
      <c r="E439" s="1582"/>
      <c r="F439" s="1582"/>
      <c r="G439" s="8"/>
    </row>
    <row r="440" spans="1:7" ht="14.4">
      <c r="A440" s="413"/>
      <c r="B440" s="413"/>
      <c r="C440" s="989"/>
      <c r="D440" s="1582"/>
      <c r="E440" s="1582"/>
      <c r="F440" s="1582"/>
      <c r="G440" s="8"/>
    </row>
    <row r="441" spans="1:7" ht="14.4">
      <c r="A441" s="413"/>
      <c r="B441" s="413"/>
      <c r="C441" s="989"/>
      <c r="D441" s="1582"/>
      <c r="E441" s="1582"/>
      <c r="F441" s="1582"/>
      <c r="G441" s="8"/>
    </row>
    <row r="442" spans="1:7" ht="14.4">
      <c r="A442" s="413"/>
      <c r="B442" s="413"/>
      <c r="C442" s="989"/>
      <c r="D442" s="1582"/>
      <c r="E442" s="1582"/>
      <c r="F442" s="1582"/>
      <c r="G442" s="8"/>
    </row>
    <row r="443" spans="1:7" ht="14.4">
      <c r="A443" s="413"/>
      <c r="B443" s="413"/>
      <c r="C443" s="989"/>
      <c r="D443" s="1582"/>
      <c r="E443" s="1582"/>
      <c r="F443" s="1582"/>
      <c r="G443" s="8"/>
    </row>
    <row r="444" spans="1:7" ht="14.4">
      <c r="A444" s="413"/>
      <c r="B444" s="413"/>
      <c r="C444" s="989"/>
      <c r="D444" s="1582"/>
      <c r="E444" s="1582"/>
      <c r="F444" s="1582"/>
      <c r="G444" s="8"/>
    </row>
    <row r="445" spans="1:7" ht="14.4">
      <c r="A445" s="413"/>
      <c r="B445" s="413"/>
      <c r="C445" s="989"/>
      <c r="D445" s="1582"/>
      <c r="E445" s="1582"/>
      <c r="F445" s="1582"/>
      <c r="G445" s="8"/>
    </row>
    <row r="446" spans="1:7" ht="14.4">
      <c r="A446" s="413"/>
      <c r="B446" s="413"/>
      <c r="C446" s="989"/>
      <c r="D446" s="1582"/>
      <c r="E446" s="1582"/>
      <c r="F446" s="1582"/>
      <c r="G446" s="8"/>
    </row>
    <row r="447" spans="1:7" ht="14.4">
      <c r="A447" s="413"/>
      <c r="B447" s="413"/>
      <c r="C447" s="989"/>
      <c r="D447" s="1582"/>
      <c r="E447" s="1582"/>
      <c r="F447" s="1582"/>
      <c r="G447" s="8"/>
    </row>
    <row r="448" spans="1:7" ht="14.4">
      <c r="A448" s="413"/>
      <c r="B448" s="413"/>
      <c r="C448" s="989"/>
      <c r="D448" s="1582"/>
      <c r="E448" s="1582"/>
      <c r="F448" s="1582"/>
      <c r="G448" s="8"/>
    </row>
    <row r="449" spans="1:7" ht="14.4">
      <c r="A449" s="413"/>
      <c r="B449" s="413"/>
      <c r="C449" s="989"/>
      <c r="D449" s="1582"/>
      <c r="E449" s="1582"/>
      <c r="F449" s="1582"/>
      <c r="G449" s="8"/>
    </row>
    <row r="450" spans="1:7" ht="14.4">
      <c r="A450" s="413"/>
      <c r="B450" s="413"/>
      <c r="C450" s="989"/>
      <c r="D450" s="1582"/>
      <c r="E450" s="1582"/>
      <c r="F450" s="1582"/>
      <c r="G450" s="8"/>
    </row>
    <row r="451" spans="1:7" ht="14.4">
      <c r="A451" s="413"/>
      <c r="B451" s="413"/>
      <c r="C451" s="989"/>
      <c r="D451" s="1582"/>
      <c r="E451" s="1582"/>
      <c r="F451" s="1582"/>
      <c r="G451" s="8"/>
    </row>
    <row r="452" spans="1:7" ht="14.4">
      <c r="A452" s="413"/>
      <c r="B452" s="413"/>
      <c r="C452" s="989"/>
      <c r="D452" s="1582"/>
      <c r="E452" s="1582"/>
      <c r="F452" s="1582"/>
      <c r="G452" s="8"/>
    </row>
    <row r="453" spans="1:7" ht="14.4">
      <c r="A453" s="413"/>
      <c r="B453" s="413"/>
      <c r="C453" s="989"/>
      <c r="D453" s="1582"/>
      <c r="E453" s="1582"/>
      <c r="F453" s="1582"/>
      <c r="G453" s="8"/>
    </row>
    <row r="454" spans="1:7" ht="14.4">
      <c r="A454" s="413"/>
      <c r="B454" s="413"/>
      <c r="C454" s="989"/>
      <c r="D454" s="1582"/>
      <c r="E454" s="1582"/>
      <c r="F454" s="1582"/>
      <c r="G454" s="8"/>
    </row>
    <row r="455" spans="1:7" ht="14.4">
      <c r="A455" s="413"/>
      <c r="B455" s="413"/>
      <c r="C455" s="989"/>
      <c r="D455" s="1582"/>
      <c r="E455" s="1582"/>
      <c r="F455" s="1582"/>
      <c r="G455" s="8"/>
    </row>
    <row r="456" spans="1:7" ht="14.4">
      <c r="A456" s="413"/>
      <c r="B456" s="413"/>
      <c r="C456" s="989"/>
      <c r="D456" s="1582"/>
      <c r="E456" s="1582"/>
      <c r="F456" s="1582"/>
      <c r="G456" s="8"/>
    </row>
    <row r="457" spans="1:7" ht="13.2" hidden="1">
      <c r="A457" s="140"/>
      <c r="B457" s="140"/>
      <c r="C457" s="140"/>
      <c r="D457" s="1582"/>
      <c r="E457" s="1582"/>
      <c r="F457" s="1582"/>
      <c r="G457" s="8"/>
    </row>
    <row r="458" spans="1:7" ht="13.2" hidden="1">
      <c r="A458" s="140"/>
      <c r="B458" s="140"/>
      <c r="C458" s="140"/>
      <c r="D458" s="143"/>
      <c r="E458" s="40"/>
      <c r="F458" s="40"/>
      <c r="G458" s="40"/>
    </row>
    <row r="459" spans="1:7" ht="14.4">
      <c r="A459" s="413"/>
      <c r="B459" s="947" t="s">
        <v>136</v>
      </c>
      <c r="C459" s="355"/>
      <c r="D459" s="1584" t="s">
        <v>1773</v>
      </c>
      <c r="E459" s="1584"/>
      <c r="F459" s="1584"/>
      <c r="G459" s="8"/>
    </row>
    <row r="460" spans="1:7" ht="13.2">
      <c r="A460" s="140"/>
      <c r="B460" s="140"/>
      <c r="C460" s="140"/>
      <c r="D460" s="1585" t="s">
        <v>2115</v>
      </c>
      <c r="E460" s="1585"/>
      <c r="F460" s="1585"/>
      <c r="G460" s="8"/>
    </row>
    <row r="461" spans="1:7" ht="13.95" customHeight="1">
      <c r="A461" s="140"/>
      <c r="B461" s="140"/>
      <c r="C461" s="140"/>
      <c r="D461" s="1586" t="s">
        <v>2116</v>
      </c>
      <c r="E461" s="1580"/>
      <c r="F461" s="1580"/>
      <c r="G461" s="8"/>
    </row>
    <row r="462" spans="1:7" ht="13.95" customHeight="1">
      <c r="A462" s="989"/>
      <c r="B462" s="989"/>
      <c r="C462" s="989"/>
      <c r="D462" s="1580"/>
      <c r="E462" s="1580"/>
      <c r="F462" s="1580"/>
      <c r="G462" s="8"/>
    </row>
    <row r="463" spans="1:7" ht="13.95" customHeight="1">
      <c r="A463" s="989"/>
      <c r="B463" s="989"/>
      <c r="C463" s="989"/>
      <c r="D463" s="1580"/>
      <c r="E463" s="1580"/>
      <c r="F463" s="1580"/>
      <c r="G463" s="8"/>
    </row>
    <row r="464" spans="1:7" ht="13.2">
      <c r="A464" s="140"/>
      <c r="B464" s="140"/>
      <c r="C464" s="140"/>
      <c r="D464" s="143"/>
      <c r="E464" s="8"/>
      <c r="F464" s="8"/>
      <c r="G464" s="8"/>
    </row>
    <row r="465" spans="1:7" ht="14.7" customHeight="1">
      <c r="A465" s="413"/>
      <c r="B465" s="947" t="s">
        <v>136</v>
      </c>
      <c r="C465" s="355"/>
      <c r="D465" s="1582" t="s">
        <v>1776</v>
      </c>
      <c r="E465" s="1582"/>
      <c r="F465" s="1582"/>
      <c r="G465" s="8"/>
    </row>
    <row r="466" spans="1:7" ht="13.2">
      <c r="A466" s="140"/>
      <c r="B466" s="140"/>
      <c r="C466" s="140"/>
      <c r="D466" s="1582"/>
      <c r="E466" s="1582"/>
      <c r="F466" s="1582"/>
      <c r="G466" s="8"/>
    </row>
    <row r="467" spans="1:7" ht="13.2">
      <c r="A467" s="140"/>
      <c r="B467" s="140"/>
      <c r="C467" s="140"/>
      <c r="D467" s="1582"/>
      <c r="E467" s="1582"/>
      <c r="F467" s="1582"/>
      <c r="G467" s="8"/>
    </row>
    <row r="468" spans="1:7" ht="13.2">
      <c r="A468" s="989"/>
      <c r="B468" s="989"/>
      <c r="C468" s="989"/>
      <c r="D468" s="987"/>
      <c r="E468" s="987"/>
      <c r="F468" s="987"/>
      <c r="G468" s="8"/>
    </row>
    <row r="469" spans="1:7" ht="14.4">
      <c r="A469" s="140"/>
      <c r="B469" s="947" t="s">
        <v>136</v>
      </c>
      <c r="C469" s="413"/>
      <c r="D469" s="1586" t="s">
        <v>1935</v>
      </c>
      <c r="E469" s="1580"/>
      <c r="F469" s="1580"/>
      <c r="G469" s="8"/>
    </row>
    <row r="470" spans="1:7" ht="13.2">
      <c r="A470" s="140"/>
      <c r="B470" s="140"/>
      <c r="C470" s="140"/>
      <c r="D470" s="1580"/>
      <c r="E470" s="1580"/>
      <c r="F470" s="1580"/>
      <c r="G470" s="8"/>
    </row>
    <row r="471" spans="1:7" ht="13.2">
      <c r="A471" s="140"/>
      <c r="B471" s="140"/>
      <c r="C471" s="140"/>
      <c r="D471" s="143"/>
      <c r="E471" s="699"/>
      <c r="F471" s="8"/>
      <c r="G471" s="8"/>
    </row>
    <row r="472" spans="1:7" ht="14.4">
      <c r="A472" s="140"/>
      <c r="B472" s="947" t="s">
        <v>136</v>
      </c>
      <c r="C472" s="413"/>
      <c r="D472" s="1580" t="s">
        <v>1777</v>
      </c>
      <c r="E472" s="1580"/>
      <c r="F472" s="1580"/>
      <c r="G472" s="8"/>
    </row>
    <row r="473" spans="1:7" ht="13.2">
      <c r="A473" s="140"/>
      <c r="B473" s="140"/>
      <c r="C473" s="140"/>
      <c r="D473" s="1580"/>
      <c r="E473" s="1580"/>
      <c r="F473" s="1580"/>
      <c r="G473" s="8"/>
    </row>
    <row r="474" spans="1:7" ht="13.2">
      <c r="A474" s="140"/>
      <c r="B474" s="140"/>
      <c r="C474" s="140"/>
      <c r="D474" s="1580"/>
      <c r="E474" s="1580"/>
      <c r="F474" s="1580"/>
      <c r="G474" s="8"/>
    </row>
    <row r="475" spans="1:7" ht="13.2">
      <c r="A475" s="989"/>
      <c r="B475" s="989"/>
      <c r="C475" s="989"/>
      <c r="D475" s="1580"/>
      <c r="E475" s="1580"/>
      <c r="F475" s="1580"/>
      <c r="G475" s="8"/>
    </row>
    <row r="476" spans="1:7" ht="13.2">
      <c r="A476" s="989"/>
      <c r="B476" s="947" t="s">
        <v>136</v>
      </c>
      <c r="C476" s="989"/>
      <c r="D476" s="1580"/>
      <c r="E476" s="1580"/>
      <c r="F476" s="1580"/>
      <c r="G476" s="8"/>
    </row>
    <row r="477" spans="1:7" ht="13.2">
      <c r="A477" s="989"/>
      <c r="B477" s="989"/>
      <c r="C477" s="989"/>
      <c r="D477" s="1580"/>
      <c r="E477" s="1580"/>
      <c r="F477" s="1580"/>
      <c r="G477" s="8"/>
    </row>
    <row r="478" spans="1:7" ht="13.2">
      <c r="A478" s="989"/>
      <c r="B478" s="989"/>
      <c r="C478" s="989"/>
      <c r="D478" s="1580"/>
      <c r="E478" s="1580"/>
      <c r="F478" s="1580"/>
      <c r="G478" s="8"/>
    </row>
    <row r="479" spans="1:7" ht="13.2">
      <c r="A479" s="989"/>
      <c r="B479" s="947" t="s">
        <v>136</v>
      </c>
      <c r="C479" s="989"/>
      <c r="D479" s="1580"/>
      <c r="E479" s="1580"/>
      <c r="F479" s="1580"/>
      <c r="G479" s="8"/>
    </row>
    <row r="480" spans="1:7" ht="13.2">
      <c r="A480" s="989"/>
      <c r="B480" s="989"/>
      <c r="C480" s="989"/>
      <c r="D480" s="1580"/>
      <c r="E480" s="1580"/>
      <c r="F480" s="1580"/>
      <c r="G480" s="8"/>
    </row>
    <row r="481" spans="1:7" ht="13.2">
      <c r="A481" s="989"/>
      <c r="B481" s="989"/>
      <c r="C481" s="989"/>
      <c r="D481" s="1580"/>
      <c r="E481" s="1580"/>
      <c r="F481" s="1580"/>
      <c r="G481" s="8"/>
    </row>
    <row r="482" spans="1:7" ht="13.2">
      <c r="A482" s="989"/>
      <c r="B482" s="989"/>
      <c r="C482" s="989"/>
      <c r="D482" s="1580"/>
      <c r="E482" s="1580"/>
      <c r="F482" s="1580"/>
      <c r="G482" s="8"/>
    </row>
    <row r="483" spans="1:7" ht="13.2">
      <c r="A483" s="989"/>
      <c r="B483" s="947" t="s">
        <v>136</v>
      </c>
      <c r="C483" s="989"/>
      <c r="D483" s="1580"/>
      <c r="E483" s="1580"/>
      <c r="F483" s="1580"/>
      <c r="G483" s="8"/>
    </row>
    <row r="484" spans="1:7" ht="13.2">
      <c r="A484" s="989"/>
      <c r="B484" s="989"/>
      <c r="C484" s="989"/>
      <c r="D484" s="1580"/>
      <c r="E484" s="1580"/>
      <c r="F484" s="1580"/>
      <c r="G484" s="8"/>
    </row>
    <row r="485" spans="1:7" ht="13.2">
      <c r="A485" s="989"/>
      <c r="B485" s="947" t="s">
        <v>136</v>
      </c>
      <c r="C485" s="989"/>
      <c r="D485" s="1580"/>
      <c r="E485" s="1580"/>
      <c r="F485" s="1580"/>
      <c r="G485" s="8"/>
    </row>
    <row r="486" spans="1:7" ht="13.2">
      <c r="A486" s="989"/>
      <c r="B486" s="14"/>
      <c r="C486" s="989"/>
      <c r="D486" s="1580"/>
      <c r="E486" s="1580"/>
      <c r="F486" s="1580"/>
      <c r="G486" s="8"/>
    </row>
    <row r="487" spans="1:7" ht="13.95" customHeight="1">
      <c r="A487" s="140"/>
      <c r="B487" s="990" t="s">
        <v>136</v>
      </c>
      <c r="C487" s="140"/>
      <c r="D487" s="1580" t="s">
        <v>1778</v>
      </c>
      <c r="E487" s="1580"/>
      <c r="F487" s="1580"/>
      <c r="G487" s="8"/>
    </row>
    <row r="488" spans="1:7" ht="13.2">
      <c r="A488" s="140"/>
      <c r="B488" s="140"/>
      <c r="C488" s="140"/>
      <c r="D488" s="1580"/>
      <c r="E488" s="1580"/>
      <c r="F488" s="1580"/>
      <c r="G488" s="8"/>
    </row>
    <row r="489" spans="1:7" ht="13.2">
      <c r="A489" s="140"/>
      <c r="B489" s="140"/>
      <c r="C489" s="140"/>
      <c r="D489" s="1580"/>
      <c r="E489" s="1580"/>
      <c r="F489" s="1580"/>
      <c r="G489" s="8"/>
    </row>
    <row r="490" spans="1:7" ht="13.2">
      <c r="A490" s="140"/>
      <c r="B490" s="140"/>
      <c r="C490" s="140"/>
      <c r="D490" s="1580"/>
      <c r="E490" s="1580"/>
      <c r="F490" s="1580"/>
      <c r="G490" s="8"/>
    </row>
    <row r="491" spans="1:7" ht="13.2">
      <c r="A491" s="140"/>
      <c r="B491" s="140"/>
      <c r="C491" s="140"/>
      <c r="D491" s="1580"/>
      <c r="E491" s="1580"/>
      <c r="F491" s="1580"/>
      <c r="G491" s="8"/>
    </row>
    <row r="492" spans="1:7" ht="13.2">
      <c r="A492" s="140"/>
      <c r="B492" s="140"/>
      <c r="C492" s="140"/>
      <c r="D492" s="143"/>
      <c r="E492" s="8"/>
      <c r="F492" s="8"/>
      <c r="G492" s="8"/>
    </row>
    <row r="493" spans="1:7" ht="13.2">
      <c r="A493" s="140"/>
      <c r="B493" s="947" t="s">
        <v>136</v>
      </c>
      <c r="C493" s="140"/>
      <c r="D493" s="1592" t="s">
        <v>1578</v>
      </c>
      <c r="E493" s="1592"/>
      <c r="F493" s="1592"/>
      <c r="G493" s="8"/>
    </row>
    <row r="494" spans="1:7" ht="13.2">
      <c r="A494" s="143"/>
      <c r="B494" s="143"/>
      <c r="C494" s="14"/>
      <c r="D494" s="282"/>
      <c r="E494" s="282"/>
      <c r="F494" s="282"/>
    </row>
    <row r="495" spans="1:7" ht="13.2">
      <c r="A495" s="1598" t="s">
        <v>1534</v>
      </c>
      <c r="B495" s="1598"/>
      <c r="C495" s="1598"/>
      <c r="D495" s="1598"/>
      <c r="E495" s="1598"/>
      <c r="F495" s="1598"/>
      <c r="G495" s="1598"/>
    </row>
    <row r="496" spans="1:7" ht="13.2">
      <c r="A496" s="143"/>
      <c r="B496" s="143"/>
      <c r="C496" s="14"/>
      <c r="D496" s="282"/>
      <c r="E496" s="282"/>
      <c r="F496" s="282"/>
    </row>
    <row r="497" spans="1:7" ht="13.2">
      <c r="A497" s="140"/>
      <c r="B497" s="140"/>
      <c r="C497" s="14"/>
      <c r="D497" s="1593" t="s">
        <v>1239</v>
      </c>
      <c r="E497" s="1593"/>
      <c r="F497" s="1593"/>
    </row>
    <row r="498" spans="1:7" ht="13.2">
      <c r="D498" s="1594" t="s">
        <v>1571</v>
      </c>
      <c r="E498" s="1594"/>
      <c r="F498" s="1594"/>
    </row>
    <row r="499" spans="1:7" ht="14.4">
      <c r="A499" s="413"/>
      <c r="B499" s="413"/>
      <c r="C499" s="14"/>
      <c r="D499" s="665"/>
      <c r="E499" s="282"/>
      <c r="F499" s="282"/>
    </row>
    <row r="500" spans="1:7" ht="14.4">
      <c r="A500" s="413"/>
      <c r="B500" s="947" t="s">
        <v>136</v>
      </c>
      <c r="C500" s="14"/>
      <c r="D500" s="1595" t="s">
        <v>1779</v>
      </c>
      <c r="E500" s="1595"/>
      <c r="F500" s="1595"/>
    </row>
    <row r="501" spans="1:7" ht="14.4">
      <c r="A501" s="413"/>
      <c r="B501" s="413"/>
      <c r="C501" s="14"/>
      <c r="D501" s="1595"/>
      <c r="E501" s="1595"/>
      <c r="F501" s="1595"/>
    </row>
    <row r="502" spans="1:7" ht="14.4">
      <c r="A502" s="413"/>
      <c r="B502" s="413"/>
      <c r="C502" s="14"/>
      <c r="D502" s="287"/>
      <c r="E502" s="282"/>
      <c r="F502" s="282"/>
    </row>
    <row r="503" spans="1:7" ht="14.4">
      <c r="A503" s="570"/>
      <c r="B503" s="947" t="s">
        <v>136</v>
      </c>
      <c r="D503" s="1596" t="s">
        <v>2139</v>
      </c>
      <c r="E503" s="1597"/>
      <c r="F503" s="1597"/>
    </row>
    <row r="504" spans="1:7" ht="14.4">
      <c r="A504" s="570"/>
      <c r="B504" s="570"/>
      <c r="D504" s="1597"/>
      <c r="E504" s="1597"/>
      <c r="F504" s="1597"/>
    </row>
    <row r="505" spans="1:7" ht="14.4">
      <c r="A505" s="570"/>
      <c r="B505" s="570"/>
      <c r="D505" s="1597"/>
      <c r="E505" s="1597"/>
      <c r="F505" s="1597"/>
      <c r="G505" s="2"/>
    </row>
    <row r="506" spans="1:7" ht="14.4">
      <c r="A506" s="570"/>
      <c r="B506" s="570"/>
      <c r="D506" s="1597"/>
      <c r="E506" s="1597"/>
      <c r="F506" s="1597"/>
      <c r="G506" s="2"/>
    </row>
    <row r="507" spans="1:7" ht="13.2">
      <c r="A507" s="150"/>
      <c r="B507" s="150"/>
      <c r="G507" s="2"/>
    </row>
    <row r="508" spans="1:7" ht="14.4">
      <c r="A508" s="413"/>
      <c r="B508" s="947" t="s">
        <v>136</v>
      </c>
      <c r="C508" s="14"/>
      <c r="D508" s="1584" t="s">
        <v>1781</v>
      </c>
      <c r="E508" s="1584"/>
      <c r="F508" s="1584"/>
      <c r="G508" s="2"/>
    </row>
    <row r="509" spans="1:7" ht="13.2">
      <c r="A509" s="140"/>
      <c r="B509" s="140"/>
      <c r="C509" s="14"/>
      <c r="D509" s="287"/>
      <c r="E509" s="282"/>
      <c r="F509" s="282"/>
      <c r="G509" s="2"/>
    </row>
    <row r="510" spans="1:7" ht="14.4">
      <c r="A510" s="413"/>
      <c r="B510" s="947" t="s">
        <v>136</v>
      </c>
      <c r="C510" s="14"/>
      <c r="D510" s="1582" t="s">
        <v>1782</v>
      </c>
      <c r="E510" s="1582"/>
      <c r="F510" s="1582"/>
      <c r="G510" s="2"/>
    </row>
    <row r="511" spans="1:7" ht="13.2">
      <c r="A511" s="140"/>
      <c r="B511" s="140"/>
      <c r="C511" s="14"/>
      <c r="D511" s="1582"/>
      <c r="E511" s="1582"/>
      <c r="F511" s="1582"/>
      <c r="G511" s="2"/>
    </row>
    <row r="512" spans="1:7" ht="13.2">
      <c r="A512" s="140"/>
      <c r="B512" s="140"/>
      <c r="C512" s="14"/>
      <c r="D512" s="700"/>
      <c r="E512" s="282"/>
      <c r="F512" s="282"/>
      <c r="G512" s="2"/>
    </row>
    <row r="513" spans="1:7" ht="14.4">
      <c r="A513" s="413"/>
      <c r="B513" s="947" t="s">
        <v>136</v>
      </c>
      <c r="C513" s="14"/>
      <c r="D513" s="1584" t="s">
        <v>1780</v>
      </c>
      <c r="E513" s="1584"/>
      <c r="F513" s="1584"/>
    </row>
    <row r="514" spans="1:7" ht="14.4">
      <c r="A514" s="413"/>
      <c r="B514" s="413"/>
      <c r="C514" s="14"/>
      <c r="D514" s="287"/>
      <c r="E514" s="282"/>
      <c r="F514" s="282"/>
    </row>
    <row r="515" spans="1:7" ht="13.2">
      <c r="A515" s="1598" t="s">
        <v>1535</v>
      </c>
      <c r="B515" s="1598"/>
      <c r="C515" s="1598"/>
      <c r="D515" s="1598"/>
      <c r="E515" s="1598"/>
      <c r="F515" s="1598"/>
      <c r="G515" s="1598"/>
    </row>
    <row r="516" spans="1:7" ht="12" customHeight="1">
      <c r="A516" s="413"/>
      <c r="B516" s="413"/>
      <c r="C516" s="14"/>
      <c r="D516" s="287"/>
      <c r="E516" s="282"/>
      <c r="F516" s="282"/>
    </row>
    <row r="517" spans="1:7" ht="13.2">
      <c r="A517" s="150"/>
      <c r="B517" s="947" t="s">
        <v>1531</v>
      </c>
      <c r="C517" s="406"/>
      <c r="D517" s="1640" t="s">
        <v>1710</v>
      </c>
      <c r="E517" s="1640"/>
      <c r="F517" s="1640"/>
    </row>
    <row r="518" spans="1:7" ht="13.2">
      <c r="A518" s="150"/>
      <c r="C518" s="406"/>
      <c r="D518" s="1640"/>
      <c r="E518" s="1640"/>
      <c r="F518" s="1640"/>
    </row>
    <row r="519" spans="1:7" ht="13.2">
      <c r="A519" s="573"/>
      <c r="B519" s="573"/>
      <c r="C519" s="571"/>
      <c r="D519" s="1640"/>
      <c r="E519" s="1640"/>
      <c r="F519" s="1640"/>
    </row>
    <row r="520" spans="1:7" ht="13.2">
      <c r="A520" s="573"/>
      <c r="B520" s="573"/>
      <c r="C520" s="571"/>
      <c r="D520" s="1640"/>
      <c r="E520" s="1640"/>
      <c r="F520" s="1640"/>
    </row>
    <row r="521" spans="1:7" ht="13.2">
      <c r="A521" s="573"/>
      <c r="B521" s="573"/>
      <c r="C521" s="571"/>
    </row>
    <row r="522" spans="1:7" ht="14.4">
      <c r="A522" s="413"/>
      <c r="B522" s="947" t="s">
        <v>136</v>
      </c>
      <c r="C522" s="322"/>
      <c r="D522" s="1616" t="s">
        <v>1726</v>
      </c>
      <c r="E522" s="1616"/>
      <c r="F522" s="1616"/>
      <c r="G522" s="2"/>
    </row>
    <row r="523" spans="1:7" ht="13.2">
      <c r="A523" s="355"/>
      <c r="B523" s="355"/>
      <c r="C523" s="322"/>
      <c r="D523" s="1616"/>
      <c r="E523" s="1616"/>
      <c r="F523" s="1616"/>
      <c r="G523" s="2"/>
    </row>
    <row r="524" spans="1:7" ht="13.2">
      <c r="A524" s="573"/>
      <c r="B524" s="573"/>
      <c r="C524" s="571"/>
      <c r="D524" s="403"/>
      <c r="G524" s="2"/>
    </row>
    <row r="525" spans="1:7" ht="14.4">
      <c r="A525" s="570"/>
      <c r="B525" s="947" t="s">
        <v>136</v>
      </c>
      <c r="D525" s="1641" t="s">
        <v>1700</v>
      </c>
      <c r="E525" s="1641"/>
      <c r="F525" s="1641"/>
      <c r="G525" s="2"/>
    </row>
    <row r="526" spans="1:7" ht="14.4">
      <c r="A526" s="570"/>
      <c r="B526" s="570"/>
      <c r="D526" s="1641"/>
      <c r="E526" s="1641"/>
      <c r="F526" s="1641"/>
      <c r="G526" s="2"/>
    </row>
    <row r="527" spans="1:7" ht="13.2">
      <c r="A527" s="150"/>
      <c r="B527" s="150"/>
      <c r="D527" s="1641"/>
      <c r="E527" s="1641"/>
      <c r="F527" s="1641"/>
    </row>
    <row r="528" spans="1:7" ht="12" customHeight="1">
      <c r="A528" s="699"/>
      <c r="B528" s="699"/>
      <c r="C528" s="405"/>
      <c r="E528" s="403"/>
    </row>
    <row r="529" spans="1:7" ht="13.2">
      <c r="A529" s="1598" t="s">
        <v>1547</v>
      </c>
      <c r="B529" s="1598"/>
      <c r="C529" s="1598"/>
      <c r="D529" s="1598"/>
      <c r="E529" s="1598"/>
      <c r="F529" s="1598"/>
      <c r="G529" s="1598"/>
    </row>
    <row r="530" spans="1:7" ht="12" customHeight="1">
      <c r="A530" s="143"/>
      <c r="B530" s="143"/>
      <c r="C530" s="322"/>
      <c r="D530" s="282"/>
      <c r="E530" s="287"/>
      <c r="F530" s="282"/>
    </row>
    <row r="531" spans="1:7" ht="13.2">
      <c r="A531" s="140"/>
      <c r="B531" s="140"/>
      <c r="C531" s="322"/>
      <c r="D531" s="1589" t="s">
        <v>1579</v>
      </c>
      <c r="E531" s="1589"/>
      <c r="F531" s="1589"/>
    </row>
    <row r="532" spans="1:7" ht="13.2">
      <c r="A532" s="140"/>
      <c r="B532" s="140"/>
      <c r="C532" s="14"/>
      <c r="D532" s="282"/>
      <c r="E532" s="282"/>
      <c r="F532" s="282"/>
    </row>
    <row r="533" spans="1:7" ht="13.2">
      <c r="A533" s="140"/>
      <c r="B533" s="947" t="s">
        <v>136</v>
      </c>
      <c r="C533" s="14"/>
      <c r="D533" s="1582" t="s">
        <v>1745</v>
      </c>
      <c r="E533" s="1582"/>
      <c r="F533" s="1582"/>
    </row>
    <row r="534" spans="1:7" ht="13.2">
      <c r="A534" s="140"/>
      <c r="B534" s="140"/>
      <c r="C534" s="14"/>
      <c r="D534" s="1582"/>
      <c r="E534" s="1582"/>
      <c r="F534" s="1582"/>
    </row>
    <row r="535" spans="1:7" ht="12" customHeight="1">
      <c r="A535" s="355"/>
      <c r="B535" s="355"/>
      <c r="C535" s="322"/>
      <c r="D535" s="287"/>
      <c r="E535" s="282"/>
      <c r="F535" s="282"/>
    </row>
    <row r="536" spans="1:7" ht="14.4">
      <c r="A536" s="413"/>
      <c r="B536" s="947" t="s">
        <v>136</v>
      </c>
      <c r="C536" s="322"/>
      <c r="D536" s="1582" t="s">
        <v>1746</v>
      </c>
      <c r="E536" s="1582"/>
      <c r="F536" s="1582"/>
    </row>
    <row r="537" spans="1:7" ht="13.2">
      <c r="A537" s="355"/>
      <c r="B537" s="355"/>
      <c r="C537" s="322"/>
      <c r="D537" s="1582"/>
      <c r="E537" s="1582"/>
      <c r="F537" s="1582"/>
    </row>
    <row r="538" spans="1:7" ht="12" customHeight="1">
      <c r="A538" s="355"/>
      <c r="B538" s="355"/>
      <c r="C538" s="322"/>
      <c r="D538" s="287"/>
      <c r="E538" s="282"/>
      <c r="F538" s="282"/>
    </row>
    <row r="539" spans="1:7" ht="13.2">
      <c r="A539" s="1633" t="s">
        <v>1588</v>
      </c>
      <c r="B539" s="1633"/>
      <c r="C539" s="1633"/>
      <c r="D539" s="1633"/>
      <c r="E539" s="1633"/>
      <c r="F539" s="1633"/>
      <c r="G539" s="1633"/>
    </row>
    <row r="540" spans="1:7" ht="12" customHeight="1">
      <c r="A540" s="143"/>
      <c r="B540" s="143"/>
      <c r="C540" s="322"/>
      <c r="D540" s="287"/>
      <c r="E540" s="282"/>
      <c r="F540" s="282"/>
    </row>
    <row r="541" spans="1:7" ht="13.2">
      <c r="A541" s="140"/>
      <c r="B541" s="140"/>
      <c r="C541" s="322"/>
      <c r="D541" s="1589" t="s">
        <v>181</v>
      </c>
      <c r="E541" s="1589"/>
      <c r="F541" s="1589"/>
    </row>
    <row r="542" spans="1:7" ht="13.2">
      <c r="A542" s="140"/>
      <c r="B542" s="140"/>
      <c r="C542" s="322"/>
      <c r="D542" s="1584" t="s">
        <v>1722</v>
      </c>
      <c r="E542" s="1584"/>
      <c r="F542" s="1584"/>
    </row>
    <row r="543" spans="1:7" ht="13.2">
      <c r="A543" s="140"/>
      <c r="B543" s="140"/>
      <c r="C543" s="322"/>
      <c r="D543" s="287"/>
      <c r="E543" s="287"/>
      <c r="F543" s="287"/>
    </row>
    <row r="544" spans="1:7" ht="14.4">
      <c r="A544" s="413"/>
      <c r="B544" s="947" t="s">
        <v>1531</v>
      </c>
      <c r="C544" s="322"/>
      <c r="D544" s="1584" t="s">
        <v>1232</v>
      </c>
      <c r="E544" s="1584"/>
      <c r="F544" s="1584"/>
    </row>
    <row r="545" spans="1:7" ht="12" customHeight="1">
      <c r="A545" s="355"/>
      <c r="B545" s="355"/>
      <c r="C545" s="322"/>
      <c r="D545" s="287"/>
      <c r="E545" s="2"/>
      <c r="F545" s="2"/>
      <c r="G545" s="2"/>
    </row>
    <row r="546" spans="1:7" ht="14.7" customHeight="1">
      <c r="A546" s="413"/>
      <c r="B546" s="947" t="s">
        <v>1531</v>
      </c>
      <c r="C546" s="322"/>
      <c r="D546" s="1582" t="s">
        <v>1721</v>
      </c>
      <c r="E546" s="1582"/>
      <c r="F546" s="1582"/>
      <c r="G546" s="2"/>
    </row>
    <row r="547" spans="1:7" ht="13.2">
      <c r="A547" s="355"/>
      <c r="B547" s="355"/>
      <c r="C547" s="322"/>
      <c r="D547" s="1582"/>
      <c r="E547" s="1582"/>
      <c r="F547" s="1582"/>
      <c r="G547" s="2"/>
    </row>
    <row r="548" spans="1:7" ht="12" customHeight="1">
      <c r="A548" s="355"/>
      <c r="B548" s="355"/>
      <c r="C548" s="322"/>
      <c r="D548" s="287"/>
      <c r="E548" s="2"/>
      <c r="F548" s="2"/>
      <c r="G548" s="2"/>
    </row>
    <row r="549" spans="1:7" ht="14.4">
      <c r="A549" s="413"/>
      <c r="B549" s="947" t="s">
        <v>1531</v>
      </c>
      <c r="C549" s="322"/>
      <c r="D549" s="1582" t="s">
        <v>1723</v>
      </c>
      <c r="E549" s="1582"/>
      <c r="F549" s="1582"/>
      <c r="G549" s="2"/>
    </row>
    <row r="550" spans="1:7" ht="13.2">
      <c r="A550" s="355"/>
      <c r="B550" s="355"/>
      <c r="C550" s="322"/>
      <c r="D550" s="1582"/>
      <c r="E550" s="1582"/>
      <c r="F550" s="1582"/>
      <c r="G550" s="2"/>
    </row>
    <row r="551" spans="1:7" ht="12" customHeight="1">
      <c r="A551" s="355"/>
      <c r="B551" s="355"/>
      <c r="C551" s="322"/>
      <c r="D551" s="287"/>
      <c r="E551" s="2"/>
      <c r="F551" s="2"/>
      <c r="G551" s="2"/>
    </row>
    <row r="552" spans="1:7" ht="14.4">
      <c r="A552" s="413"/>
      <c r="B552" s="947" t="s">
        <v>1531</v>
      </c>
      <c r="C552" s="322"/>
      <c r="D552" s="1582" t="s">
        <v>1724</v>
      </c>
      <c r="E552" s="1582"/>
      <c r="F552" s="1582"/>
      <c r="G552" s="2"/>
    </row>
    <row r="553" spans="1:7" ht="13.2">
      <c r="A553" s="355"/>
      <c r="B553" s="355"/>
      <c r="C553" s="322"/>
      <c r="D553" s="1582"/>
      <c r="E553" s="1582"/>
      <c r="F553" s="1582"/>
      <c r="G553" s="2"/>
    </row>
    <row r="554" spans="1:7" ht="12" customHeight="1">
      <c r="A554" s="355"/>
      <c r="B554" s="355"/>
      <c r="C554" s="322"/>
      <c r="D554" s="287"/>
      <c r="E554" s="2"/>
      <c r="F554" s="2"/>
      <c r="G554" s="2"/>
    </row>
    <row r="555" spans="1:7" ht="14.7" customHeight="1">
      <c r="A555" s="413"/>
      <c r="B555" s="947" t="s">
        <v>1531</v>
      </c>
      <c r="C555" s="322"/>
      <c r="D555" s="1582" t="s">
        <v>1725</v>
      </c>
      <c r="E555" s="1582"/>
      <c r="F555" s="1582"/>
      <c r="G555" s="2"/>
    </row>
    <row r="556" spans="1:7" ht="13.2">
      <c r="A556" s="355"/>
      <c r="B556" s="355"/>
      <c r="C556" s="322"/>
      <c r="D556" s="1582"/>
      <c r="E556" s="1582"/>
      <c r="F556" s="1582"/>
      <c r="G556" s="2"/>
    </row>
    <row r="557" spans="1:7" ht="13.2">
      <c r="A557" s="355"/>
      <c r="B557" s="355"/>
      <c r="C557" s="322"/>
      <c r="D557" s="1582"/>
      <c r="E557" s="1582"/>
      <c r="F557" s="1582"/>
      <c r="G557" s="2"/>
    </row>
    <row r="558" spans="1:7" ht="13.2">
      <c r="A558" s="355"/>
      <c r="B558" s="355"/>
      <c r="C558" s="322"/>
      <c r="D558" s="287"/>
      <c r="E558" s="2"/>
      <c r="F558" s="2"/>
      <c r="G558" s="2"/>
    </row>
    <row r="559" spans="1:7" ht="14.4">
      <c r="A559" s="413"/>
      <c r="B559" s="947" t="s">
        <v>136</v>
      </c>
      <c r="C559" s="322"/>
      <c r="D559" s="1615" t="s">
        <v>1837</v>
      </c>
      <c r="E559" s="1616"/>
      <c r="F559" s="1616"/>
      <c r="G559" s="2"/>
    </row>
    <row r="560" spans="1:7" ht="13.2">
      <c r="A560" s="355"/>
      <c r="B560" s="355"/>
      <c r="C560" s="322"/>
      <c r="D560" s="1616"/>
      <c r="E560" s="1616"/>
      <c r="F560" s="1616"/>
      <c r="G560" s="2"/>
    </row>
    <row r="561" spans="1:7" ht="13.2">
      <c r="A561" s="355"/>
      <c r="B561" s="355"/>
      <c r="C561" s="322"/>
      <c r="D561" s="699"/>
      <c r="E561" s="282"/>
      <c r="F561" s="282"/>
      <c r="G561" s="2"/>
    </row>
    <row r="562" spans="1:7" ht="14.4">
      <c r="A562" s="413"/>
      <c r="B562" s="947" t="s">
        <v>136</v>
      </c>
      <c r="C562" s="322"/>
      <c r="D562" s="1582" t="s">
        <v>1727</v>
      </c>
      <c r="E562" s="1582"/>
      <c r="F562" s="1582"/>
      <c r="G562" s="2"/>
    </row>
    <row r="563" spans="1:7" ht="13.2">
      <c r="A563" s="355"/>
      <c r="B563" s="355"/>
      <c r="C563" s="322"/>
      <c r="D563" s="1582"/>
      <c r="E563" s="1582"/>
      <c r="F563" s="1582"/>
      <c r="G563" s="2"/>
    </row>
    <row r="564" spans="1:7" ht="12" customHeight="1">
      <c r="A564" s="355"/>
      <c r="B564" s="355"/>
      <c r="C564" s="322"/>
      <c r="D564" s="287"/>
      <c r="E564" s="282"/>
      <c r="F564" s="282"/>
      <c r="G564" s="2"/>
    </row>
    <row r="565" spans="1:7" ht="14.4">
      <c r="A565" s="413"/>
      <c r="B565" s="947" t="s">
        <v>1531</v>
      </c>
      <c r="C565" s="322"/>
      <c r="D565" s="1584" t="s">
        <v>1728</v>
      </c>
      <c r="E565" s="1584"/>
      <c r="F565" s="1584"/>
      <c r="G565" s="2"/>
    </row>
    <row r="566" spans="1:7" ht="14.4">
      <c r="A566" s="413"/>
      <c r="B566" s="413"/>
      <c r="C566" s="322"/>
      <c r="D566" s="1584" t="s">
        <v>1135</v>
      </c>
      <c r="E566" s="1584"/>
      <c r="F566" s="1584"/>
      <c r="G566" s="2"/>
    </row>
    <row r="567" spans="1:7" ht="13.2">
      <c r="A567" s="410"/>
      <c r="B567" s="410"/>
      <c r="C567" s="405"/>
      <c r="D567" s="282"/>
      <c r="E567" s="1608" t="s">
        <v>1729</v>
      </c>
      <c r="F567" s="1608"/>
      <c r="G567" s="2"/>
    </row>
    <row r="568" spans="1:7" ht="15" customHeight="1">
      <c r="A568" s="410"/>
      <c r="B568" s="410"/>
      <c r="C568" s="405"/>
      <c r="D568" s="1627" t="s">
        <v>1978</v>
      </c>
      <c r="E568" s="1626"/>
      <c r="F568" s="1626"/>
      <c r="G568" s="2"/>
    </row>
    <row r="569" spans="1:7" ht="13.2">
      <c r="A569" s="410"/>
      <c r="B569" s="410"/>
      <c r="C569" s="405"/>
      <c r="D569" s="1626"/>
      <c r="E569" s="1626"/>
      <c r="F569" s="1626"/>
      <c r="G569" s="2"/>
    </row>
    <row r="570" spans="1:7" ht="13.2">
      <c r="A570" s="410"/>
      <c r="B570" s="410"/>
      <c r="C570" s="405"/>
      <c r="D570" s="1626"/>
      <c r="E570" s="1626"/>
      <c r="F570" s="1626"/>
      <c r="G570" s="2"/>
    </row>
    <row r="571" spans="1:7" ht="13.2">
      <c r="A571" s="410"/>
      <c r="B571" s="410"/>
      <c r="C571" s="405"/>
      <c r="D571" s="1626"/>
      <c r="E571" s="1626"/>
      <c r="F571" s="1626"/>
      <c r="G571" s="2"/>
    </row>
    <row r="572" spans="1:7" ht="13.2">
      <c r="A572" s="410"/>
      <c r="B572" s="410"/>
      <c r="C572" s="405"/>
      <c r="D572" s="1626"/>
      <c r="E572" s="1626"/>
      <c r="F572" s="1626"/>
      <c r="G572" s="2"/>
    </row>
    <row r="573" spans="1:7" ht="13.2">
      <c r="A573" s="410"/>
      <c r="B573" s="410"/>
      <c r="C573" s="405"/>
      <c r="D573" s="1626"/>
      <c r="E573" s="1626"/>
      <c r="F573" s="1626"/>
      <c r="G573" s="2"/>
    </row>
    <row r="574" spans="1:7" ht="13.2">
      <c r="A574" s="410"/>
      <c r="B574" s="410"/>
      <c r="C574" s="405"/>
      <c r="D574" s="1626"/>
      <c r="E574" s="1626"/>
      <c r="F574" s="1626"/>
      <c r="G574" s="2"/>
    </row>
    <row r="575" spans="1:7" ht="13.2">
      <c r="A575" s="410"/>
      <c r="B575" s="410"/>
      <c r="C575" s="405"/>
      <c r="D575" s="1626"/>
      <c r="E575" s="1626"/>
      <c r="F575" s="1626"/>
      <c r="G575" s="2"/>
    </row>
    <row r="576" spans="1:7" ht="13.2">
      <c r="A576" s="410"/>
      <c r="B576" s="410"/>
      <c r="C576" s="405"/>
      <c r="D576" s="1626"/>
      <c r="E576" s="1626"/>
      <c r="F576" s="1626"/>
      <c r="G576" s="2"/>
    </row>
    <row r="577" spans="1:7" ht="13.2">
      <c r="A577" s="410"/>
      <c r="B577" s="410"/>
      <c r="C577" s="405"/>
      <c r="D577" s="951"/>
      <c r="E577" s="951"/>
      <c r="F577" s="951"/>
      <c r="G577" s="2"/>
    </row>
    <row r="578" spans="1:7" ht="14.4">
      <c r="A578" s="570"/>
      <c r="B578" s="947" t="s">
        <v>1531</v>
      </c>
      <c r="C578" s="405"/>
      <c r="D578" s="1644" t="s">
        <v>1730</v>
      </c>
      <c r="E578" s="1644"/>
      <c r="F578" s="1644"/>
      <c r="G578" s="2"/>
    </row>
    <row r="579" spans="1:7" ht="13.95" customHeight="1">
      <c r="A579" s="140"/>
      <c r="B579" s="140"/>
      <c r="C579" s="322"/>
      <c r="D579" s="1582" t="s">
        <v>1731</v>
      </c>
      <c r="E579" s="1582"/>
      <c r="F579" s="1582"/>
      <c r="G579" s="2"/>
    </row>
    <row r="580" spans="1:7" ht="13.2">
      <c r="A580" s="355"/>
      <c r="B580" s="355"/>
      <c r="C580" s="322"/>
      <c r="D580" s="1582"/>
      <c r="E580" s="1582"/>
      <c r="F580" s="1582"/>
      <c r="G580" s="2"/>
    </row>
    <row r="581" spans="1:7" ht="13.2">
      <c r="A581" s="355"/>
      <c r="B581" s="355"/>
      <c r="C581" s="322"/>
      <c r="D581" s="1582"/>
      <c r="E581" s="1582"/>
      <c r="F581" s="1582"/>
      <c r="G581" s="2"/>
    </row>
    <row r="582" spans="1:7" ht="13.2">
      <c r="A582" s="355"/>
      <c r="B582" s="355"/>
      <c r="C582" s="322"/>
      <c r="D582" s="977"/>
      <c r="E582" s="977"/>
      <c r="F582" s="977"/>
      <c r="G582" s="2"/>
    </row>
    <row r="583" spans="1:7" ht="14.7" customHeight="1">
      <c r="A583" s="413"/>
      <c r="B583" s="947" t="s">
        <v>1531</v>
      </c>
      <c r="C583" s="322"/>
      <c r="D583" s="1582" t="s">
        <v>1732</v>
      </c>
      <c r="E583" s="1582"/>
      <c r="F583" s="1582"/>
      <c r="G583" s="2"/>
    </row>
    <row r="584" spans="1:7" ht="14.4">
      <c r="A584" s="413"/>
      <c r="B584" s="413"/>
      <c r="C584" s="322"/>
      <c r="D584" s="1582"/>
      <c r="E584" s="1582"/>
      <c r="F584" s="1582"/>
      <c r="G584" s="2"/>
    </row>
    <row r="585" spans="1:7" ht="14.4">
      <c r="A585" s="413"/>
      <c r="B585" s="413"/>
      <c r="C585" s="322"/>
      <c r="D585" s="1582"/>
      <c r="E585" s="1582"/>
      <c r="F585" s="1582"/>
    </row>
    <row r="586" spans="1:7" ht="13.2">
      <c r="A586" s="355"/>
      <c r="B586" s="355"/>
      <c r="C586" s="322"/>
      <c r="D586" s="1582"/>
      <c r="E586" s="1582"/>
      <c r="F586" s="1582"/>
    </row>
    <row r="587" spans="1:7" ht="13.2">
      <c r="A587" s="355"/>
      <c r="B587" s="355"/>
      <c r="C587" s="322"/>
      <c r="D587" s="287"/>
      <c r="E587" s="282"/>
      <c r="F587" s="282"/>
    </row>
    <row r="588" spans="1:7" ht="13.2">
      <c r="A588" s="415"/>
      <c r="B588" s="947" t="s">
        <v>136</v>
      </c>
      <c r="C588" s="299"/>
      <c r="D588" s="1590" t="s">
        <v>2049</v>
      </c>
      <c r="E588" s="1591"/>
      <c r="F588" s="1591"/>
      <c r="G588" s="288"/>
    </row>
    <row r="589" spans="1:7" ht="13.2">
      <c r="A589" s="415"/>
      <c r="B589" s="415"/>
      <c r="C589" s="299"/>
      <c r="D589" s="282"/>
      <c r="E589" s="282"/>
      <c r="F589" s="282"/>
      <c r="G589" s="288"/>
    </row>
    <row r="590" spans="1:7" ht="13.2">
      <c r="A590" s="355"/>
      <c r="B590" s="355"/>
      <c r="C590" s="322"/>
      <c r="D590" s="956"/>
      <c r="E590" s="956"/>
      <c r="F590" s="956"/>
    </row>
    <row r="591" spans="1:7" ht="13.2">
      <c r="A591" s="1598" t="s">
        <v>1549</v>
      </c>
      <c r="B591" s="1598"/>
      <c r="C591" s="1598"/>
      <c r="D591" s="1598"/>
      <c r="E591" s="1598"/>
      <c r="F591" s="1598"/>
      <c r="G591" s="1598"/>
    </row>
    <row r="592" spans="1:7" ht="13.2">
      <c r="A592" s="355"/>
      <c r="B592" s="355"/>
      <c r="C592" s="322"/>
      <c r="D592" s="282"/>
      <c r="E592" s="282"/>
      <c r="F592" s="282"/>
    </row>
    <row r="593" spans="1:7" ht="13.2">
      <c r="A593" s="140"/>
      <c r="B593" s="140"/>
      <c r="C593" s="298"/>
      <c r="D593" s="1617" t="s">
        <v>182</v>
      </c>
      <c r="E593" s="1617"/>
      <c r="F593" s="1617"/>
      <c r="G593" s="288"/>
    </row>
    <row r="594" spans="1:7" ht="13.2">
      <c r="A594" s="140"/>
      <c r="B594" s="140"/>
      <c r="C594" s="298"/>
      <c r="D594" s="1647" t="s">
        <v>1609</v>
      </c>
      <c r="E594" s="1647"/>
      <c r="F594" s="1647"/>
      <c r="G594" s="288"/>
    </row>
    <row r="595" spans="1:7" ht="13.2">
      <c r="A595" s="140"/>
      <c r="B595" s="140"/>
      <c r="C595" s="298"/>
      <c r="D595" s="593"/>
      <c r="E595" s="282"/>
      <c r="F595" s="282"/>
      <c r="G595" s="288"/>
    </row>
    <row r="596" spans="1:7" ht="14.4">
      <c r="A596" s="413"/>
      <c r="B596" s="947" t="s">
        <v>1531</v>
      </c>
      <c r="C596" s="14"/>
      <c r="D596" s="1647" t="s">
        <v>1233</v>
      </c>
      <c r="E596" s="1647"/>
      <c r="F596" s="1647"/>
      <c r="G596" s="288"/>
    </row>
    <row r="597" spans="1:7" ht="13.2">
      <c r="A597" s="33"/>
      <c r="B597" s="33"/>
      <c r="C597" s="14"/>
      <c r="D597" s="597"/>
      <c r="E597" s="282"/>
      <c r="F597" s="282"/>
      <c r="G597" s="288"/>
    </row>
    <row r="598" spans="1:7" ht="14.7" customHeight="1">
      <c r="A598" s="413"/>
      <c r="B598" s="947" t="s">
        <v>1531</v>
      </c>
      <c r="C598" s="14"/>
      <c r="D598" s="1597" t="s">
        <v>1611</v>
      </c>
      <c r="E598" s="1597"/>
      <c r="F598" s="1597"/>
      <c r="G598" s="288"/>
    </row>
    <row r="599" spans="1:7" ht="14.7" customHeight="1">
      <c r="A599" s="413"/>
      <c r="B599" s="413"/>
      <c r="C599" s="14"/>
      <c r="D599" s="1597"/>
      <c r="E599" s="1597"/>
      <c r="F599" s="1597"/>
      <c r="G599" s="288"/>
    </row>
    <row r="600" spans="1:7" ht="14.4">
      <c r="A600" s="413"/>
      <c r="B600" s="413"/>
      <c r="C600" s="14"/>
      <c r="D600" s="1597"/>
      <c r="E600" s="1597"/>
      <c r="F600" s="1597"/>
      <c r="G600" s="288"/>
    </row>
    <row r="601" spans="1:7" ht="14.4">
      <c r="A601" s="413"/>
      <c r="B601" s="413"/>
      <c r="C601" s="14"/>
      <c r="D601" s="955"/>
      <c r="E601" s="955"/>
      <c r="F601" s="955"/>
      <c r="G601" s="288"/>
    </row>
    <row r="602" spans="1:7" ht="14.4">
      <c r="A602" s="413"/>
      <c r="B602" s="947" t="s">
        <v>136</v>
      </c>
      <c r="C602" s="14"/>
      <c r="D602" s="1597" t="s">
        <v>1610</v>
      </c>
      <c r="E602" s="1597"/>
      <c r="F602" s="1597"/>
      <c r="G602" s="288"/>
    </row>
    <row r="603" spans="1:7" ht="14.4">
      <c r="A603" s="413"/>
      <c r="B603" s="413"/>
      <c r="C603" s="14"/>
      <c r="D603" s="1597"/>
      <c r="E603" s="1597"/>
      <c r="F603" s="1597"/>
      <c r="G603" s="288"/>
    </row>
    <row r="604" spans="1:7" ht="14.4">
      <c r="A604" s="413"/>
      <c r="B604" s="413"/>
      <c r="C604" s="14"/>
      <c r="D604" s="1597"/>
      <c r="E604" s="1597"/>
      <c r="F604" s="1597"/>
      <c r="G604" s="288"/>
    </row>
    <row r="605" spans="1:7" ht="14.4">
      <c r="A605" s="413"/>
      <c r="B605" s="413"/>
      <c r="C605" s="14"/>
      <c r="D605" s="1597"/>
      <c r="E605" s="1597"/>
      <c r="F605" s="1597"/>
      <c r="G605" s="288"/>
    </row>
    <row r="606" spans="1:7" ht="14.4">
      <c r="A606" s="413"/>
      <c r="B606" s="413"/>
      <c r="C606" s="14"/>
      <c r="D606" s="593"/>
      <c r="E606" s="282"/>
      <c r="F606" s="282"/>
      <c r="G606" s="288"/>
    </row>
    <row r="607" spans="1:7" ht="14.4">
      <c r="A607" s="570"/>
      <c r="B607" s="947" t="s">
        <v>1531</v>
      </c>
      <c r="D607" s="1597" t="s">
        <v>1612</v>
      </c>
      <c r="E607" s="1597"/>
      <c r="F607" s="1597"/>
      <c r="G607" s="288"/>
    </row>
    <row r="608" spans="1:7" ht="14.4">
      <c r="A608" s="570"/>
      <c r="B608" s="570"/>
      <c r="D608" s="1597"/>
      <c r="E608" s="1597"/>
      <c r="F608" s="1597"/>
      <c r="G608" s="288"/>
    </row>
    <row r="609" spans="1:7" ht="14.4">
      <c r="A609" s="413"/>
      <c r="B609" s="413"/>
      <c r="C609" s="14"/>
      <c r="D609" s="593"/>
      <c r="E609" s="282"/>
      <c r="F609" s="282"/>
      <c r="G609" s="288"/>
    </row>
    <row r="610" spans="1:7" ht="14.7" customHeight="1">
      <c r="A610" s="413"/>
      <c r="B610" s="947" t="s">
        <v>136</v>
      </c>
      <c r="C610" s="14"/>
      <c r="D610" s="1647" t="s">
        <v>1618</v>
      </c>
      <c r="E610" s="1647"/>
      <c r="F610" s="1647"/>
      <c r="G610" s="288"/>
    </row>
    <row r="611" spans="1:7" ht="14.4">
      <c r="A611" s="413"/>
      <c r="B611" s="413"/>
      <c r="C611" s="14"/>
      <c r="D611" s="1647"/>
      <c r="E611" s="1647"/>
      <c r="F611" s="1647"/>
      <c r="G611" s="288"/>
    </row>
    <row r="612" spans="1:7" ht="14.4">
      <c r="A612" s="413"/>
      <c r="B612" s="413"/>
      <c r="C612" s="14"/>
      <c r="D612" s="593"/>
      <c r="E612" s="282"/>
      <c r="F612" s="282"/>
      <c r="G612" s="288"/>
    </row>
    <row r="613" spans="1:7" ht="14.4">
      <c r="A613" s="413"/>
      <c r="B613" s="947" t="s">
        <v>1531</v>
      </c>
      <c r="C613" s="14"/>
      <c r="D613" s="1647" t="s">
        <v>1234</v>
      </c>
      <c r="E613" s="1647"/>
      <c r="F613" s="1647"/>
      <c r="G613" s="288"/>
    </row>
    <row r="614" spans="1:7" ht="13.2">
      <c r="A614" s="33"/>
      <c r="B614" s="33"/>
      <c r="C614" s="14"/>
      <c r="D614" s="282"/>
      <c r="E614" s="282"/>
      <c r="F614" s="282"/>
      <c r="G614" s="288"/>
    </row>
    <row r="615" spans="1:7" ht="13.2">
      <c r="A615" s="1598" t="s">
        <v>1551</v>
      </c>
      <c r="B615" s="1598"/>
      <c r="C615" s="1598"/>
      <c r="D615" s="1598"/>
      <c r="E615" s="1598"/>
      <c r="F615" s="1598"/>
      <c r="G615" s="1598"/>
    </row>
    <row r="616" spans="1:7" ht="13.2">
      <c r="A616" s="107"/>
      <c r="B616" s="107"/>
      <c r="C616" s="302"/>
      <c r="D616" s="283"/>
      <c r="E616" s="283"/>
      <c r="F616" s="283"/>
      <c r="G616" s="288"/>
    </row>
    <row r="617" spans="1:7" ht="13.2">
      <c r="A617" s="140"/>
      <c r="B617" s="140"/>
      <c r="C617" s="299"/>
      <c r="D617" s="1648" t="s">
        <v>1550</v>
      </c>
      <c r="E617" s="1648"/>
      <c r="F617" s="1648"/>
    </row>
    <row r="618" spans="1:7" ht="13.2">
      <c r="A618" s="140"/>
      <c r="B618" s="140"/>
      <c r="C618" s="299"/>
      <c r="D618" s="1591" t="s">
        <v>1580</v>
      </c>
      <c r="E618" s="1591"/>
      <c r="F618" s="1591"/>
    </row>
    <row r="619" spans="1:7" ht="13.2">
      <c r="A619" s="981"/>
      <c r="B619" s="981"/>
      <c r="C619" s="299"/>
      <c r="D619" s="979"/>
      <c r="E619" s="979"/>
      <c r="F619" s="979"/>
    </row>
    <row r="620" spans="1:7" ht="14.4">
      <c r="A620" s="570"/>
      <c r="B620" s="947" t="s">
        <v>1531</v>
      </c>
      <c r="D620" s="1663" t="s">
        <v>1747</v>
      </c>
      <c r="E620" s="1663"/>
      <c r="F620" s="1663"/>
    </row>
    <row r="621" spans="1:7" ht="13.2">
      <c r="A621" s="140"/>
      <c r="B621" s="140"/>
      <c r="C621" s="14"/>
      <c r="D621" s="1663"/>
      <c r="E621" s="1663"/>
      <c r="F621" s="1663"/>
    </row>
    <row r="622" spans="1:7" ht="13.2">
      <c r="A622" s="140"/>
      <c r="B622" s="140"/>
      <c r="C622" s="14"/>
      <c r="D622" s="1663"/>
      <c r="E622" s="1663"/>
      <c r="F622" s="1663"/>
    </row>
    <row r="623" spans="1:7" ht="13.2">
      <c r="A623" s="107"/>
      <c r="B623" s="107"/>
      <c r="C623" s="302"/>
      <c r="D623" s="283"/>
      <c r="E623" s="283"/>
      <c r="F623" s="283"/>
      <c r="G623" s="288"/>
    </row>
    <row r="624" spans="1:7" ht="12" customHeight="1">
      <c r="A624" s="1598" t="s">
        <v>1553</v>
      </c>
      <c r="B624" s="1598"/>
      <c r="C624" s="1598"/>
      <c r="D624" s="1598"/>
      <c r="E624" s="1598"/>
      <c r="F624" s="1598"/>
      <c r="G624" s="1598"/>
    </row>
    <row r="625" spans="1:7" ht="13.2">
      <c r="A625" s="143"/>
      <c r="B625" s="143"/>
      <c r="C625" s="14"/>
      <c r="D625" s="282"/>
      <c r="E625" s="282"/>
      <c r="F625" s="282"/>
      <c r="G625" s="288"/>
    </row>
    <row r="626" spans="1:7" ht="13.2">
      <c r="A626" s="140"/>
      <c r="B626" s="140"/>
      <c r="C626" s="303"/>
      <c r="D626" s="1589" t="s">
        <v>1552</v>
      </c>
      <c r="E626" s="1589"/>
      <c r="F626" s="1589"/>
      <c r="G626" s="288"/>
    </row>
    <row r="627" spans="1:7" ht="13.2">
      <c r="A627" s="415"/>
      <c r="B627" s="415"/>
      <c r="C627" s="299"/>
      <c r="D627" s="1584" t="s">
        <v>1748</v>
      </c>
      <c r="E627" s="1584"/>
      <c r="F627" s="1584"/>
      <c r="G627" s="288"/>
    </row>
    <row r="628" spans="1:7" ht="13.2">
      <c r="A628" s="415"/>
      <c r="B628" s="415"/>
      <c r="C628" s="299"/>
      <c r="D628" s="282"/>
      <c r="E628" s="282"/>
      <c r="F628" s="282"/>
      <c r="G628" s="288"/>
    </row>
    <row r="629" spans="1:7" ht="14.4">
      <c r="A629" s="413"/>
      <c r="B629" s="413"/>
      <c r="C629" s="14"/>
      <c r="D629" s="1648" t="s">
        <v>956</v>
      </c>
      <c r="E629" s="1648"/>
      <c r="F629" s="1648"/>
      <c r="G629" s="288"/>
    </row>
    <row r="630" spans="1:7" ht="14.4">
      <c r="A630" s="413"/>
      <c r="B630" s="947" t="s">
        <v>1531</v>
      </c>
      <c r="C630" s="14"/>
      <c r="D630" s="1591" t="s">
        <v>1749</v>
      </c>
      <c r="E630" s="1591"/>
      <c r="F630" s="1591"/>
      <c r="G630" s="288"/>
    </row>
    <row r="631" spans="1:7" ht="14.4">
      <c r="A631" s="413"/>
      <c r="B631" s="413"/>
      <c r="C631" s="14"/>
      <c r="D631" s="287"/>
      <c r="E631" s="282"/>
      <c r="F631" s="282"/>
      <c r="G631" s="288"/>
    </row>
    <row r="632" spans="1:7" ht="14.4">
      <c r="A632" s="413"/>
      <c r="B632" s="947" t="s">
        <v>136</v>
      </c>
      <c r="C632" s="14"/>
      <c r="D632" s="1582" t="s">
        <v>1750</v>
      </c>
      <c r="E632" s="1582"/>
      <c r="F632" s="1582"/>
      <c r="G632" s="288"/>
    </row>
    <row r="633" spans="1:7" ht="14.4">
      <c r="A633" s="413"/>
      <c r="B633" s="413"/>
      <c r="C633" s="14"/>
      <c r="D633" s="1582"/>
      <c r="E633" s="1582"/>
      <c r="F633" s="1582"/>
      <c r="G633" s="288"/>
    </row>
    <row r="634" spans="1:7" ht="14.4">
      <c r="A634" s="413"/>
      <c r="B634" s="413"/>
      <c r="C634" s="14"/>
      <c r="D634" s="287"/>
      <c r="E634" s="282"/>
      <c r="F634" s="282"/>
      <c r="G634" s="288"/>
    </row>
    <row r="635" spans="1:7" ht="14.4">
      <c r="A635" s="570"/>
      <c r="B635" s="947" t="s">
        <v>136</v>
      </c>
      <c r="D635" s="1627" t="s">
        <v>2193</v>
      </c>
      <c r="E635" s="1627"/>
      <c r="F635" s="1627"/>
      <c r="G635" s="288"/>
    </row>
    <row r="636" spans="1:7" ht="13.95" customHeight="1">
      <c r="D636" s="1627"/>
      <c r="E636" s="1627"/>
      <c r="F636" s="1627"/>
    </row>
    <row r="637" spans="1:7" ht="13.2">
      <c r="A637" s="140"/>
      <c r="B637" s="140"/>
      <c r="C637" s="14"/>
      <c r="D637" s="282"/>
      <c r="E637" s="282"/>
      <c r="F637" s="282"/>
      <c r="G637" s="288"/>
    </row>
    <row r="638" spans="1:7" ht="14.4">
      <c r="A638" s="413"/>
      <c r="B638" s="947" t="s">
        <v>136</v>
      </c>
      <c r="C638" s="14"/>
      <c r="D638" s="1591" t="s">
        <v>1751</v>
      </c>
      <c r="E638" s="1591"/>
      <c r="F638" s="1591"/>
      <c r="G638" s="288"/>
    </row>
    <row r="639" spans="1:7" ht="13.2">
      <c r="A639" s="418"/>
      <c r="B639" s="418"/>
      <c r="C639" s="303"/>
      <c r="D639" s="282"/>
      <c r="E639" s="282"/>
      <c r="F639" s="282"/>
      <c r="G639" s="288"/>
    </row>
    <row r="640" spans="1:7" ht="13.2">
      <c r="A640" s="1598" t="s">
        <v>1554</v>
      </c>
      <c r="B640" s="1598"/>
      <c r="C640" s="1598"/>
      <c r="D640" s="1598"/>
      <c r="E640" s="1598"/>
      <c r="F640" s="1598"/>
      <c r="G640" s="1598"/>
    </row>
    <row r="641" spans="1:7" ht="13.2">
      <c r="A641" s="418"/>
      <c r="B641" s="418"/>
      <c r="C641" s="303"/>
      <c r="D641" s="282"/>
      <c r="E641" s="282"/>
      <c r="F641" s="282"/>
      <c r="G641" s="288"/>
    </row>
    <row r="642" spans="1:7" ht="13.2">
      <c r="A642" s="140"/>
      <c r="B642" s="140"/>
      <c r="C642" s="320"/>
      <c r="D642" s="1668" t="s">
        <v>1581</v>
      </c>
      <c r="E642" s="1668"/>
      <c r="F642" s="1668"/>
      <c r="G642" s="288"/>
    </row>
    <row r="643" spans="1:7" ht="13.2">
      <c r="A643" s="33"/>
      <c r="B643" s="33"/>
      <c r="C643" s="302"/>
      <c r="D643" s="6"/>
      <c r="E643" s="283"/>
      <c r="F643" s="283"/>
      <c r="G643" s="288"/>
    </row>
    <row r="644" spans="1:7" ht="14.4">
      <c r="A644" s="413"/>
      <c r="B644" s="947" t="s">
        <v>1531</v>
      </c>
      <c r="C644" s="302"/>
      <c r="D644" s="1669" t="s">
        <v>1752</v>
      </c>
      <c r="E644" s="1669"/>
      <c r="F644" s="1669"/>
      <c r="G644" s="288"/>
    </row>
    <row r="645" spans="1:7" ht="14.4">
      <c r="A645" s="413"/>
      <c r="B645" s="413"/>
      <c r="C645" s="302"/>
      <c r="D645" s="1669"/>
      <c r="E645" s="1669"/>
      <c r="F645" s="1669"/>
      <c r="G645" s="288"/>
    </row>
    <row r="646" spans="1:7" ht="13.2">
      <c r="A646" s="140"/>
      <c r="B646" s="140"/>
      <c r="C646" s="302"/>
      <c r="D646" s="1669"/>
      <c r="E646" s="1669"/>
      <c r="F646" s="1669"/>
      <c r="G646" s="288"/>
    </row>
    <row r="647" spans="1:7" ht="13.2">
      <c r="A647" s="140"/>
      <c r="B647" s="140"/>
      <c r="C647" s="302"/>
      <c r="D647" s="1669"/>
      <c r="E647" s="1669"/>
      <c r="F647" s="1669"/>
      <c r="G647" s="288"/>
    </row>
    <row r="648" spans="1:7" ht="13.2">
      <c r="A648" s="140"/>
      <c r="B648" s="140"/>
      <c r="C648" s="302"/>
      <c r="D648" s="1669"/>
      <c r="E648" s="1669"/>
      <c r="F648" s="1669"/>
      <c r="G648" s="288"/>
    </row>
    <row r="649" spans="1:7" ht="13.2">
      <c r="A649" s="140"/>
      <c r="B649" s="140"/>
      <c r="C649" s="302"/>
      <c r="D649" s="1669"/>
      <c r="E649" s="1669"/>
      <c r="F649" s="1669"/>
      <c r="G649" s="288"/>
    </row>
    <row r="650" spans="1:7" ht="13.2">
      <c r="A650" s="140"/>
      <c r="B650" s="140"/>
      <c r="C650" s="302"/>
      <c r="D650" s="282"/>
      <c r="E650" s="283"/>
      <c r="F650" s="283"/>
      <c r="G650" s="288"/>
    </row>
    <row r="651" spans="1:7" ht="14.4">
      <c r="A651" s="485"/>
      <c r="B651" s="947" t="s">
        <v>136</v>
      </c>
      <c r="C651" s="302"/>
      <c r="D651" s="1669" t="s">
        <v>1753</v>
      </c>
      <c r="E651" s="1669"/>
      <c r="F651" s="1669"/>
      <c r="G651" s="284"/>
    </row>
    <row r="652" spans="1:7" ht="14.4">
      <c r="A652" s="485"/>
      <c r="B652" s="485"/>
      <c r="C652" s="302"/>
      <c r="D652" s="1669"/>
      <c r="E652" s="1669"/>
      <c r="F652" s="1669"/>
      <c r="G652" s="284"/>
    </row>
    <row r="653" spans="1:7" ht="14.4">
      <c r="A653" s="485"/>
      <c r="B653" s="485"/>
      <c r="C653" s="302"/>
      <c r="D653" s="287"/>
      <c r="E653" s="286"/>
      <c r="F653" s="286"/>
      <c r="G653" s="284"/>
    </row>
    <row r="654" spans="1:7" ht="13.95" customHeight="1">
      <c r="A654" s="485"/>
      <c r="B654" s="947" t="s">
        <v>136</v>
      </c>
      <c r="C654" s="302"/>
      <c r="D654" s="1637" t="s">
        <v>2050</v>
      </c>
      <c r="E654" s="1637"/>
      <c r="F654" s="1637"/>
      <c r="G654" s="284"/>
    </row>
    <row r="655" spans="1:7" ht="14.4">
      <c r="A655" s="485"/>
      <c r="B655" s="485"/>
      <c r="C655" s="302"/>
      <c r="D655" s="1637"/>
      <c r="E655" s="1637"/>
      <c r="F655" s="1637"/>
      <c r="G655" s="284"/>
    </row>
    <row r="656" spans="1:7" ht="14.4">
      <c r="A656" s="570"/>
      <c r="B656" s="570"/>
      <c r="C656" s="285"/>
      <c r="D656" s="985"/>
      <c r="E656" s="985"/>
      <c r="F656" s="985"/>
      <c r="G656" s="284"/>
    </row>
    <row r="657" spans="1:9" ht="14.4">
      <c r="A657" s="413"/>
      <c r="B657" s="947" t="s">
        <v>136</v>
      </c>
      <c r="C657" s="322"/>
      <c r="D657" s="1670" t="s">
        <v>1754</v>
      </c>
      <c r="E657" s="1670"/>
      <c r="F657" s="1670"/>
      <c r="G657" s="284"/>
    </row>
    <row r="658" spans="1:9" ht="13.2">
      <c r="A658" s="143"/>
      <c r="B658" s="143"/>
      <c r="C658" s="322"/>
      <c r="D658" s="286"/>
      <c r="E658" s="286"/>
      <c r="F658" s="286"/>
      <c r="G658" s="284"/>
      <c r="H658" s="404"/>
      <c r="I658" s="404"/>
    </row>
    <row r="659" spans="1:9" ht="13.2">
      <c r="A659" s="1598" t="s">
        <v>1556</v>
      </c>
      <c r="B659" s="1598"/>
      <c r="C659" s="1598"/>
      <c r="D659" s="1598"/>
      <c r="E659" s="1598"/>
      <c r="F659" s="1598"/>
      <c r="G659" s="1598"/>
    </row>
    <row r="660" spans="1:9" ht="13.2">
      <c r="A660" s="143"/>
      <c r="B660" s="143"/>
      <c r="C660" s="322"/>
      <c r="D660" s="286"/>
      <c r="E660" s="286"/>
      <c r="F660" s="286"/>
      <c r="G660" s="284"/>
    </row>
    <row r="661" spans="1:9" ht="13.2">
      <c r="A661" s="140"/>
      <c r="B661" s="140"/>
      <c r="C661" s="303"/>
      <c r="D661" s="1671" t="s">
        <v>1555</v>
      </c>
      <c r="E661" s="1671"/>
      <c r="F661" s="1671"/>
      <c r="G661" s="284"/>
    </row>
    <row r="662" spans="1:9" ht="13.2">
      <c r="A662" s="415"/>
      <c r="B662" s="415"/>
      <c r="C662" s="299"/>
      <c r="D662" s="1657" t="s">
        <v>1582</v>
      </c>
      <c r="E662" s="1657"/>
      <c r="F662" s="1657"/>
      <c r="G662" s="284"/>
    </row>
    <row r="663" spans="1:9" ht="13.2">
      <c r="A663" s="415"/>
      <c r="B663" s="415"/>
      <c r="C663" s="299"/>
      <c r="D663" s="991"/>
      <c r="E663" s="991"/>
      <c r="F663" s="991"/>
      <c r="G663" s="284"/>
    </row>
    <row r="664" spans="1:9" ht="14.7" customHeight="1">
      <c r="A664" s="413"/>
      <c r="B664" s="947" t="s">
        <v>1531</v>
      </c>
      <c r="C664" s="322"/>
      <c r="D664" s="1558" t="s">
        <v>2141</v>
      </c>
      <c r="E664" s="1558"/>
      <c r="F664" s="1558"/>
      <c r="G664" s="284"/>
    </row>
    <row r="665" spans="1:9" ht="14.4">
      <c r="A665" s="413"/>
      <c r="B665" s="413"/>
      <c r="C665" s="322"/>
      <c r="D665" s="1558"/>
      <c r="E665" s="1558"/>
      <c r="F665" s="1558"/>
      <c r="G665" s="284"/>
    </row>
    <row r="666" spans="1:9" ht="14.4">
      <c r="A666" s="413"/>
      <c r="B666" s="413"/>
      <c r="C666" s="322"/>
      <c r="D666" s="1558"/>
      <c r="E666" s="1558"/>
      <c r="F666" s="1558"/>
      <c r="G666" s="284"/>
    </row>
    <row r="667" spans="1:9" ht="14.4">
      <c r="A667" s="413"/>
      <c r="B667" s="413"/>
      <c r="C667" s="322"/>
      <c r="D667" s="1558"/>
      <c r="E667" s="1558"/>
      <c r="F667" s="1558"/>
      <c r="G667" s="284"/>
    </row>
    <row r="668" spans="1:9" ht="14.4">
      <c r="A668" s="413"/>
      <c r="B668" s="413"/>
      <c r="C668" s="322"/>
      <c r="D668" s="1558"/>
      <c r="E668" s="1558"/>
      <c r="F668" s="1558"/>
      <c r="G668" s="284"/>
    </row>
    <row r="669" spans="1:9" ht="14.4">
      <c r="A669" s="413"/>
      <c r="B669" s="413"/>
      <c r="C669" s="322"/>
      <c r="D669" s="1558"/>
      <c r="E669" s="1558"/>
      <c r="F669" s="1558"/>
      <c r="G669" s="284"/>
    </row>
    <row r="670" spans="1:9" ht="14.4" hidden="1">
      <c r="A670" s="570"/>
      <c r="B670" s="570"/>
      <c r="C670" s="405"/>
      <c r="D670" s="708"/>
      <c r="F670" s="284"/>
      <c r="G670" s="284"/>
    </row>
    <row r="671" spans="1:9" ht="14.4" hidden="1">
      <c r="A671" s="570"/>
      <c r="B671" s="947" t="s">
        <v>86</v>
      </c>
      <c r="C671" s="405"/>
      <c r="D671" s="1645" t="s">
        <v>1607</v>
      </c>
      <c r="E671" s="1645"/>
      <c r="F671" s="1645"/>
      <c r="G671" s="284"/>
    </row>
    <row r="672" spans="1:9" ht="14.4" hidden="1">
      <c r="A672" s="570"/>
      <c r="B672" s="570"/>
      <c r="C672" s="405"/>
      <c r="D672" s="1665" t="s">
        <v>1783</v>
      </c>
      <c r="E672" s="1665"/>
      <c r="F672" s="1665"/>
      <c r="G672" s="284"/>
    </row>
    <row r="673" spans="1:7" ht="14.4" hidden="1">
      <c r="A673" s="570"/>
      <c r="B673" s="570"/>
      <c r="C673" s="405"/>
      <c r="D673" s="1665"/>
      <c r="E673" s="1665"/>
      <c r="F673" s="1665"/>
      <c r="G673" s="284"/>
    </row>
    <row r="674" spans="1:7" ht="14.4" hidden="1">
      <c r="A674" s="570"/>
      <c r="B674" s="570"/>
      <c r="C674" s="405"/>
      <c r="D674" s="1665"/>
      <c r="E674" s="1665"/>
      <c r="F674" s="1665"/>
      <c r="G674" s="284"/>
    </row>
    <row r="675" spans="1:7" ht="14.4" hidden="1">
      <c r="A675" s="570"/>
      <c r="B675" s="570"/>
      <c r="C675" s="405"/>
      <c r="D675" s="1665"/>
      <c r="E675" s="1665"/>
      <c r="F675" s="1665"/>
      <c r="G675" s="284"/>
    </row>
    <row r="676" spans="1:7" ht="14.4" hidden="1">
      <c r="A676" s="570"/>
      <c r="B676" s="570"/>
      <c r="C676" s="405"/>
      <c r="D676" s="1665"/>
      <c r="E676" s="1665"/>
      <c r="F676" s="1665"/>
      <c r="G676" s="284"/>
    </row>
    <row r="677" spans="1:7" ht="14.4" hidden="1">
      <c r="A677" s="570"/>
      <c r="B677" s="570"/>
      <c r="C677" s="405"/>
      <c r="D677" s="1672" t="s">
        <v>2140</v>
      </c>
      <c r="E677" s="1672"/>
      <c r="F677" s="1672"/>
      <c r="G677" s="284"/>
    </row>
    <row r="678" spans="1:7" ht="13.2">
      <c r="A678" s="143"/>
      <c r="B678" s="143"/>
      <c r="C678" s="322"/>
      <c r="D678" s="286"/>
      <c r="E678" s="286"/>
      <c r="F678" s="286"/>
      <c r="G678" s="284"/>
    </row>
    <row r="679" spans="1:7" ht="13.2">
      <c r="A679" s="1598" t="s">
        <v>1557</v>
      </c>
      <c r="B679" s="1598"/>
      <c r="C679" s="1598"/>
      <c r="D679" s="1598"/>
      <c r="E679" s="1598"/>
      <c r="F679" s="1598"/>
      <c r="G679" s="1598"/>
    </row>
    <row r="680" spans="1:7" ht="13.2">
      <c r="A680" s="143"/>
      <c r="B680" s="143"/>
      <c r="C680" s="322"/>
      <c r="D680" s="286"/>
      <c r="E680" s="286"/>
      <c r="F680" s="286"/>
      <c r="G680" s="284"/>
    </row>
    <row r="681" spans="1:7" ht="13.2">
      <c r="A681" s="140"/>
      <c r="B681" s="140"/>
      <c r="C681" s="303"/>
      <c r="D681" s="1589" t="s">
        <v>856</v>
      </c>
      <c r="E681" s="1589"/>
      <c r="F681" s="1589"/>
      <c r="G681" s="284"/>
    </row>
    <row r="682" spans="1:7" ht="13.2">
      <c r="A682" s="418"/>
      <c r="B682" s="418"/>
      <c r="C682" s="303"/>
      <c r="D682" s="1589" t="s">
        <v>957</v>
      </c>
      <c r="E682" s="1589"/>
      <c r="F682" s="1589"/>
      <c r="G682" s="284"/>
    </row>
    <row r="683" spans="1:7" ht="13.2">
      <c r="A683" s="415"/>
      <c r="B683" s="415"/>
      <c r="C683" s="299"/>
      <c r="D683" s="1584" t="s">
        <v>1709</v>
      </c>
      <c r="E683" s="1584"/>
      <c r="F683" s="1584"/>
      <c r="G683" s="288"/>
    </row>
    <row r="684" spans="1:7" ht="14.25" customHeight="1">
      <c r="A684" s="415"/>
      <c r="B684" s="415"/>
      <c r="C684" s="299"/>
      <c r="D684" s="282"/>
      <c r="E684" s="282"/>
      <c r="F684" s="282"/>
      <c r="G684" s="288"/>
    </row>
    <row r="685" spans="1:7" ht="14.4">
      <c r="A685" s="413"/>
      <c r="B685" s="947" t="s">
        <v>1531</v>
      </c>
      <c r="C685" s="299"/>
      <c r="D685" s="1584" t="s">
        <v>1235</v>
      </c>
      <c r="E685" s="1584"/>
      <c r="F685" s="1584"/>
      <c r="G685" s="288"/>
    </row>
    <row r="686" spans="1:7" ht="13.2">
      <c r="A686" s="415"/>
      <c r="B686" s="415"/>
      <c r="C686" s="299"/>
      <c r="D686" s="1584" t="s">
        <v>1256</v>
      </c>
      <c r="E686" s="1584"/>
      <c r="F686" s="1584"/>
      <c r="G686" s="288"/>
    </row>
    <row r="687" spans="1:7" ht="13.2">
      <c r="A687" s="415"/>
      <c r="B687" s="415"/>
      <c r="C687" s="299"/>
      <c r="D687" s="282"/>
      <c r="E687" s="1652" t="s">
        <v>1714</v>
      </c>
      <c r="F687" s="1652"/>
      <c r="G687" s="288"/>
    </row>
    <row r="688" spans="1:7" ht="13.2">
      <c r="A688" s="415"/>
      <c r="B688" s="415"/>
      <c r="C688" s="299"/>
      <c r="D688" s="282"/>
      <c r="E688" s="1652"/>
      <c r="F688" s="1652"/>
      <c r="G688" s="288"/>
    </row>
    <row r="689" spans="1:7" ht="13.2">
      <c r="A689" s="415"/>
      <c r="B689" s="415"/>
      <c r="C689" s="299"/>
      <c r="D689" s="332"/>
      <c r="E689" s="332"/>
      <c r="F689" s="332"/>
      <c r="G689" s="288"/>
    </row>
    <row r="690" spans="1:7" ht="14.4">
      <c r="A690" s="413"/>
      <c r="B690" s="947" t="s">
        <v>136</v>
      </c>
      <c r="C690" s="299"/>
      <c r="D690" s="1582" t="s">
        <v>1711</v>
      </c>
      <c r="E690" s="1582"/>
      <c r="F690" s="1582"/>
      <c r="G690" s="288"/>
    </row>
    <row r="691" spans="1:7" ht="13.2">
      <c r="A691" s="33"/>
      <c r="B691" s="33"/>
      <c r="C691" s="299"/>
      <c r="D691" s="1582"/>
      <c r="E691" s="1582"/>
      <c r="F691" s="1582"/>
      <c r="G691" s="288"/>
    </row>
    <row r="692" spans="1:7" ht="13.2">
      <c r="A692" s="415"/>
      <c r="B692" s="415"/>
      <c r="C692" s="299"/>
      <c r="D692" s="1582"/>
      <c r="E692" s="1582"/>
      <c r="F692" s="1582"/>
      <c r="G692" s="288"/>
    </row>
    <row r="693" spans="1:7" ht="13.2">
      <c r="A693" s="415"/>
      <c r="B693" s="415"/>
      <c r="C693" s="299"/>
      <c r="D693" s="282"/>
      <c r="E693" s="282"/>
      <c r="F693" s="282"/>
      <c r="G693" s="288"/>
    </row>
    <row r="694" spans="1:7" ht="14.4">
      <c r="A694" s="413"/>
      <c r="B694" s="947" t="s">
        <v>1531</v>
      </c>
      <c r="C694" s="299"/>
      <c r="D694" s="1584" t="s">
        <v>1300</v>
      </c>
      <c r="E694" s="1584"/>
      <c r="F694" s="1584"/>
      <c r="G694" s="288"/>
    </row>
    <row r="695" spans="1:7" ht="14.4">
      <c r="A695" s="413"/>
      <c r="B695" s="413"/>
      <c r="C695" s="299"/>
      <c r="D695" s="1584" t="s">
        <v>1256</v>
      </c>
      <c r="E695" s="1584"/>
      <c r="F695" s="1584"/>
      <c r="G695" s="288"/>
    </row>
    <row r="696" spans="1:7" ht="13.2">
      <c r="A696" s="415"/>
      <c r="B696" s="415"/>
      <c r="C696" s="299"/>
      <c r="D696" s="282"/>
      <c r="E696" s="1608" t="s">
        <v>1712</v>
      </c>
      <c r="F696" s="1608"/>
      <c r="G696" s="288"/>
    </row>
    <row r="697" spans="1:7" ht="13.2">
      <c r="A697" s="415"/>
      <c r="B697" s="415"/>
      <c r="C697" s="299"/>
      <c r="D697" s="6"/>
      <c r="E697" s="282"/>
      <c r="F697" s="282"/>
      <c r="G697" s="288"/>
    </row>
    <row r="698" spans="1:7" ht="14.4">
      <c r="A698" s="413"/>
      <c r="B698" s="947" t="s">
        <v>1531</v>
      </c>
      <c r="C698" s="299"/>
      <c r="D698" s="1616" t="s">
        <v>1713</v>
      </c>
      <c r="E698" s="1616"/>
      <c r="F698" s="1616"/>
      <c r="G698" s="288"/>
    </row>
    <row r="699" spans="1:7" ht="13.2">
      <c r="A699" s="415"/>
      <c r="B699" s="415"/>
      <c r="C699" s="299"/>
      <c r="D699" s="1616"/>
      <c r="E699" s="1616"/>
      <c r="F699" s="1616"/>
      <c r="G699" s="288"/>
    </row>
    <row r="700" spans="1:7" ht="13.2">
      <c r="A700" s="415"/>
      <c r="B700" s="415"/>
      <c r="C700" s="299"/>
      <c r="D700" s="1616"/>
      <c r="E700" s="1616"/>
      <c r="F700" s="1616"/>
      <c r="G700" s="288"/>
    </row>
    <row r="701" spans="1:7" ht="13.2">
      <c r="A701" s="415"/>
      <c r="B701" s="415"/>
      <c r="C701" s="299"/>
      <c r="D701" s="1616"/>
      <c r="E701" s="1616"/>
      <c r="F701" s="1616"/>
      <c r="G701" s="288"/>
    </row>
    <row r="702" spans="1:7" ht="13.2">
      <c r="A702" s="415"/>
      <c r="B702" s="415"/>
      <c r="C702" s="299"/>
      <c r="D702" s="1616"/>
      <c r="E702" s="1616"/>
      <c r="F702" s="1616"/>
      <c r="G702" s="288"/>
    </row>
    <row r="703" spans="1:7" ht="13.2">
      <c r="A703" s="415"/>
      <c r="B703" s="415"/>
      <c r="C703" s="299"/>
      <c r="D703" s="1616"/>
      <c r="E703" s="1616"/>
      <c r="F703" s="1616"/>
      <c r="G703" s="288"/>
    </row>
    <row r="704" spans="1:7" ht="13.2">
      <c r="A704" s="415"/>
      <c r="B704" s="415"/>
      <c r="C704" s="299"/>
      <c r="D704" s="1616"/>
      <c r="E704" s="1616"/>
      <c r="F704" s="1616"/>
      <c r="G704" s="288"/>
    </row>
    <row r="705" spans="1:7" ht="13.2">
      <c r="A705" s="415"/>
      <c r="B705" s="947" t="s">
        <v>1531</v>
      </c>
      <c r="C705" s="299"/>
      <c r="D705" s="1615" t="s">
        <v>1955</v>
      </c>
      <c r="E705" s="1616"/>
      <c r="F705" s="1616"/>
      <c r="G705" s="288"/>
    </row>
    <row r="706" spans="1:7" ht="13.2">
      <c r="A706" s="415"/>
      <c r="B706" s="415"/>
      <c r="C706" s="299"/>
      <c r="D706" s="1616"/>
      <c r="E706" s="1616"/>
      <c r="F706" s="1616"/>
      <c r="G706" s="288"/>
    </row>
    <row r="707" spans="1:7" ht="13.2">
      <c r="A707" s="415"/>
      <c r="B707" s="415"/>
      <c r="C707" s="299"/>
      <c r="D707" s="136"/>
      <c r="E707" s="282"/>
      <c r="F707" s="282"/>
      <c r="G707" s="288"/>
    </row>
    <row r="708" spans="1:7" ht="14.7" customHeight="1">
      <c r="A708" s="413"/>
      <c r="B708" s="947" t="s">
        <v>136</v>
      </c>
      <c r="C708" s="299"/>
      <c r="D708" s="1616" t="s">
        <v>1715</v>
      </c>
      <c r="E708" s="1616"/>
      <c r="F708" s="1616"/>
      <c r="G708" s="288"/>
    </row>
    <row r="709" spans="1:7" ht="13.2">
      <c r="A709" s="415"/>
      <c r="B709" s="415"/>
      <c r="C709" s="299"/>
      <c r="D709" s="1616"/>
      <c r="E709" s="1616"/>
      <c r="F709" s="1616"/>
      <c r="G709" s="288"/>
    </row>
    <row r="710" spans="1:7" ht="13.2">
      <c r="A710" s="415"/>
      <c r="B710" s="415"/>
      <c r="C710" s="299"/>
      <c r="D710" s="1616"/>
      <c r="E710" s="1616"/>
      <c r="F710" s="1616"/>
      <c r="G710" s="288"/>
    </row>
    <row r="711" spans="1:7" ht="13.2">
      <c r="A711" s="415"/>
      <c r="B711" s="415"/>
      <c r="C711" s="299"/>
      <c r="D711" s="1616"/>
      <c r="E711" s="1616"/>
      <c r="F711" s="1616"/>
      <c r="G711" s="288"/>
    </row>
    <row r="712" spans="1:7" ht="13.2">
      <c r="A712" s="415"/>
      <c r="B712" s="415"/>
      <c r="C712" s="299"/>
      <c r="D712" s="1616"/>
      <c r="E712" s="1616"/>
      <c r="F712" s="1616"/>
      <c r="G712" s="288"/>
    </row>
    <row r="713" spans="1:7" ht="13.2">
      <c r="A713" s="415"/>
      <c r="B713" s="415"/>
      <c r="C713" s="299"/>
      <c r="D713" s="1616"/>
      <c r="E713" s="1616"/>
      <c r="F713" s="1616"/>
      <c r="G713" s="288"/>
    </row>
    <row r="714" spans="1:7" ht="13.2">
      <c r="A714" s="415"/>
      <c r="B714" s="415"/>
      <c r="C714" s="299"/>
      <c r="D714" s="1616"/>
      <c r="E714" s="1616"/>
      <c r="F714" s="1616"/>
      <c r="G714" s="288"/>
    </row>
    <row r="715" spans="1:7" ht="13.2">
      <c r="A715" s="415"/>
      <c r="B715" s="415"/>
      <c r="C715" s="299"/>
      <c r="D715" s="1616"/>
      <c r="E715" s="1616"/>
      <c r="F715" s="1616"/>
      <c r="G715" s="288"/>
    </row>
    <row r="716" spans="1:7" ht="13.2">
      <c r="A716" s="415"/>
      <c r="B716" s="415"/>
      <c r="C716" s="299"/>
      <c r="D716" s="1616"/>
      <c r="E716" s="1616"/>
      <c r="F716" s="1616"/>
      <c r="G716" s="288"/>
    </row>
    <row r="717" spans="1:7" ht="13.2">
      <c r="A717" s="415"/>
      <c r="B717" s="415"/>
      <c r="C717" s="299"/>
      <c r="D717" s="1616"/>
      <c r="E717" s="1616"/>
      <c r="F717" s="1616"/>
      <c r="G717" s="288"/>
    </row>
    <row r="718" spans="1:7" ht="13.2">
      <c r="A718" s="415"/>
      <c r="B718" s="415"/>
      <c r="C718" s="299"/>
      <c r="D718" s="1616"/>
      <c r="E718" s="1616"/>
      <c r="F718" s="1616"/>
      <c r="G718" s="288"/>
    </row>
    <row r="719" spans="1:7" ht="13.2">
      <c r="A719" s="415"/>
      <c r="B719" s="415"/>
      <c r="C719" s="299"/>
      <c r="D719" s="1616"/>
      <c r="E719" s="1616"/>
      <c r="F719" s="1616"/>
      <c r="G719" s="288"/>
    </row>
    <row r="720" spans="1:7" ht="13.2">
      <c r="A720" s="415"/>
      <c r="B720" s="415"/>
      <c r="C720" s="299"/>
      <c r="D720" s="1616"/>
      <c r="E720" s="1616"/>
      <c r="F720" s="1616"/>
      <c r="G720" s="288"/>
    </row>
    <row r="721" spans="1:9" s="50" customFormat="1" ht="13.2">
      <c r="A721" s="415"/>
      <c r="B721" s="947" t="s">
        <v>136</v>
      </c>
      <c r="C721" s="415"/>
      <c r="D721" s="1616" t="s">
        <v>1719</v>
      </c>
      <c r="E721" s="1616"/>
      <c r="F721" s="1616"/>
      <c r="G721" s="71"/>
      <c r="H721" s="883"/>
      <c r="I721" s="1083"/>
    </row>
    <row r="722" spans="1:9" s="50" customFormat="1" ht="13.2">
      <c r="A722" s="415"/>
      <c r="B722" s="415"/>
      <c r="C722" s="415"/>
      <c r="D722" s="1616"/>
      <c r="E722" s="1616"/>
      <c r="F722" s="1616"/>
      <c r="G722" s="71"/>
      <c r="H722" s="883"/>
      <c r="I722" s="1083"/>
    </row>
    <row r="723" spans="1:9" s="50" customFormat="1" ht="13.2">
      <c r="A723" s="415"/>
      <c r="B723" s="415"/>
      <c r="C723" s="415"/>
      <c r="D723" s="975"/>
      <c r="E723" s="975"/>
      <c r="F723" s="975"/>
      <c r="G723" s="71"/>
      <c r="H723" s="883"/>
      <c r="I723" s="1083"/>
    </row>
    <row r="724" spans="1:9" s="50" customFormat="1" ht="13.2">
      <c r="A724" s="415"/>
      <c r="B724" s="947" t="s">
        <v>136</v>
      </c>
      <c r="C724" s="415"/>
      <c r="D724" s="1616" t="s">
        <v>1720</v>
      </c>
      <c r="E724" s="1616"/>
      <c r="F724" s="1616"/>
      <c r="G724" s="71"/>
      <c r="H724" s="883"/>
      <c r="I724" s="1083"/>
    </row>
    <row r="725" spans="1:9" s="50" customFormat="1" ht="13.2">
      <c r="A725" s="415"/>
      <c r="B725" s="415"/>
      <c r="C725" s="415"/>
      <c r="D725" s="1616"/>
      <c r="E725" s="1616"/>
      <c r="F725" s="1616"/>
      <c r="G725" s="71"/>
      <c r="H725" s="883"/>
      <c r="I725" s="1083"/>
    </row>
    <row r="726" spans="1:9" s="50" customFormat="1" ht="13.2">
      <c r="A726" s="415"/>
      <c r="B726" s="415"/>
      <c r="C726" s="415"/>
      <c r="D726" s="1616"/>
      <c r="E726" s="1616"/>
      <c r="F726" s="1616"/>
      <c r="G726" s="71"/>
      <c r="H726" s="883"/>
      <c r="I726" s="1083"/>
    </row>
    <row r="727" spans="1:9" s="50" customFormat="1" ht="13.2">
      <c r="A727" s="415"/>
      <c r="B727" s="415"/>
      <c r="C727" s="415"/>
      <c r="D727" s="975"/>
      <c r="E727" s="975"/>
      <c r="F727" s="975"/>
      <c r="G727" s="71"/>
      <c r="H727" s="883"/>
      <c r="I727" s="1083"/>
    </row>
    <row r="728" spans="1:9" ht="14.7" customHeight="1">
      <c r="A728" s="413"/>
      <c r="B728" s="947" t="s">
        <v>136</v>
      </c>
      <c r="C728" s="299"/>
      <c r="D728" s="1615" t="s">
        <v>2194</v>
      </c>
      <c r="E728" s="1616"/>
      <c r="F728" s="1616"/>
      <c r="G728" s="288"/>
    </row>
    <row r="729" spans="1:9" ht="13.2">
      <c r="A729" s="415"/>
      <c r="B729" s="415"/>
      <c r="C729" s="299"/>
      <c r="D729" s="1616"/>
      <c r="E729" s="1616"/>
      <c r="F729" s="1616"/>
      <c r="G729" s="288"/>
    </row>
    <row r="730" spans="1:9" ht="13.2">
      <c r="A730" s="415"/>
      <c r="B730" s="415"/>
      <c r="C730" s="299"/>
      <c r="D730" s="1616"/>
      <c r="E730" s="1616"/>
      <c r="F730" s="1616"/>
      <c r="G730" s="288"/>
    </row>
    <row r="731" spans="1:9" ht="13.2">
      <c r="A731" s="415"/>
      <c r="B731" s="415"/>
      <c r="C731" s="299"/>
      <c r="D731" s="136"/>
      <c r="E731" s="282"/>
      <c r="F731" s="282"/>
      <c r="G731" s="288"/>
    </row>
    <row r="732" spans="1:9" ht="14.7" customHeight="1">
      <c r="A732" s="413"/>
      <c r="B732" s="947" t="s">
        <v>136</v>
      </c>
      <c r="C732" s="299"/>
      <c r="D732" s="1616" t="s">
        <v>1716</v>
      </c>
      <c r="E732" s="1616"/>
      <c r="F732" s="1616"/>
      <c r="G732" s="288"/>
    </row>
    <row r="733" spans="1:9" ht="13.2">
      <c r="A733" s="415"/>
      <c r="B733" s="415"/>
      <c r="C733" s="299"/>
      <c r="D733" s="1616"/>
      <c r="E733" s="1616"/>
      <c r="F733" s="1616"/>
      <c r="G733" s="288"/>
    </row>
    <row r="734" spans="1:9" ht="13.2">
      <c r="A734" s="415"/>
      <c r="B734" s="415"/>
      <c r="C734" s="299"/>
      <c r="D734" s="1616"/>
      <c r="E734" s="1616"/>
      <c r="F734" s="1616"/>
      <c r="G734" s="288"/>
    </row>
    <row r="735" spans="1:9" ht="13.2">
      <c r="A735" s="415"/>
      <c r="B735" s="415"/>
      <c r="C735" s="299"/>
      <c r="D735" s="332"/>
      <c r="E735" s="282"/>
      <c r="F735" s="282"/>
      <c r="G735" s="288"/>
      <c r="H735" s="404"/>
      <c r="I735" s="404"/>
    </row>
    <row r="736" spans="1:9" ht="14.4">
      <c r="A736" s="413"/>
      <c r="B736" s="947" t="s">
        <v>136</v>
      </c>
      <c r="C736" s="299"/>
      <c r="D736" s="1582" t="s">
        <v>1718</v>
      </c>
      <c r="E736" s="1582"/>
      <c r="F736" s="1582"/>
      <c r="G736" s="288"/>
    </row>
    <row r="737" spans="1:9" ht="13.2">
      <c r="A737" s="415"/>
      <c r="B737" s="415"/>
      <c r="C737" s="299"/>
      <c r="D737" s="1582"/>
      <c r="E737" s="1582"/>
      <c r="F737" s="1582"/>
      <c r="G737" s="288"/>
    </row>
    <row r="738" spans="1:9" ht="13.2">
      <c r="A738" s="415"/>
      <c r="B738" s="415"/>
      <c r="C738" s="299"/>
      <c r="D738" s="1582"/>
      <c r="E738" s="1582"/>
      <c r="F738" s="1582"/>
      <c r="G738" s="288"/>
    </row>
    <row r="739" spans="1:9" ht="13.2">
      <c r="A739" s="415"/>
      <c r="B739" s="415"/>
      <c r="C739" s="299"/>
      <c r="D739" s="1582"/>
      <c r="E739" s="1582"/>
      <c r="F739" s="1582"/>
      <c r="G739" s="288"/>
    </row>
    <row r="740" spans="1:9" ht="13.2">
      <c r="A740" s="415"/>
      <c r="B740" s="415"/>
      <c r="C740" s="299"/>
      <c r="D740" s="956"/>
      <c r="E740" s="956"/>
      <c r="F740" s="956"/>
      <c r="G740" s="288"/>
    </row>
    <row r="741" spans="1:9" s="50" customFormat="1" ht="14.4">
      <c r="A741" s="413"/>
      <c r="B741" s="947" t="s">
        <v>136</v>
      </c>
      <c r="C741" s="415"/>
      <c r="D741" s="1616" t="s">
        <v>1892</v>
      </c>
      <c r="E741" s="1616"/>
      <c r="F741" s="1616"/>
      <c r="G741" s="71"/>
      <c r="H741" s="883"/>
      <c r="I741" s="1083"/>
    </row>
    <row r="742" spans="1:9" s="50" customFormat="1" ht="13.2">
      <c r="A742" s="415"/>
      <c r="B742" s="415"/>
      <c r="C742" s="415"/>
      <c r="D742" s="1616"/>
      <c r="E742" s="1616"/>
      <c r="F742" s="1616"/>
      <c r="G742" s="71"/>
      <c r="H742" s="883"/>
      <c r="I742" s="1083"/>
    </row>
    <row r="743" spans="1:9" s="50" customFormat="1" ht="13.2">
      <c r="A743" s="415"/>
      <c r="B743" s="415"/>
      <c r="C743" s="415"/>
      <c r="D743" s="1616"/>
      <c r="E743" s="1616"/>
      <c r="F743" s="1616"/>
      <c r="G743" s="71"/>
      <c r="H743" s="883"/>
      <c r="I743" s="1083"/>
    </row>
    <row r="744" spans="1:9" s="50" customFormat="1" ht="13.2">
      <c r="A744" s="415"/>
      <c r="B744" s="415"/>
      <c r="C744" s="415"/>
      <c r="D744" s="1616"/>
      <c r="E744" s="1616"/>
      <c r="F744" s="1616"/>
      <c r="G744" s="71"/>
      <c r="H744" s="883"/>
      <c r="I744" s="1083"/>
    </row>
    <row r="745" spans="1:9" s="50" customFormat="1" ht="13.2">
      <c r="A745" s="415"/>
      <c r="B745" s="415"/>
      <c r="C745" s="415"/>
      <c r="D745" s="1616"/>
      <c r="E745" s="1616"/>
      <c r="F745" s="1616"/>
      <c r="G745" s="71"/>
      <c r="H745" s="883"/>
      <c r="I745" s="1083"/>
    </row>
    <row r="746" spans="1:9" s="50" customFormat="1" ht="13.2">
      <c r="A746" s="415"/>
      <c r="B746" s="415"/>
      <c r="C746" s="415"/>
      <c r="D746" s="1616"/>
      <c r="E746" s="1616"/>
      <c r="F746" s="1616"/>
      <c r="G746" s="71"/>
      <c r="H746" s="883"/>
      <c r="I746" s="1083"/>
    </row>
    <row r="747" spans="1:9" s="50" customFormat="1" ht="13.2">
      <c r="A747" s="415"/>
      <c r="B747" s="415"/>
      <c r="C747" s="415"/>
      <c r="D747" s="1616"/>
      <c r="E747" s="1616"/>
      <c r="F747" s="1616"/>
      <c r="G747" s="71"/>
      <c r="H747" s="883"/>
      <c r="I747" s="1083"/>
    </row>
    <row r="748" spans="1:9" s="50" customFormat="1" ht="13.2">
      <c r="A748" s="415"/>
      <c r="B748" s="415"/>
      <c r="C748" s="415"/>
      <c r="D748" s="1664" t="s">
        <v>1717</v>
      </c>
      <c r="E748" s="1664"/>
      <c r="F748" s="1664"/>
      <c r="G748" s="71"/>
      <c r="H748" s="883"/>
      <c r="I748" s="1083"/>
    </row>
    <row r="749" spans="1:9" s="50" customFormat="1" ht="13.2">
      <c r="A749" s="415"/>
      <c r="B749" s="415"/>
      <c r="C749" s="415"/>
      <c r="D749" s="888"/>
      <c r="E749" s="8"/>
      <c r="F749" s="8"/>
      <c r="G749" s="71"/>
      <c r="H749" s="883"/>
      <c r="I749" s="1083"/>
    </row>
    <row r="750" spans="1:9" ht="13.2">
      <c r="A750" s="1633" t="s">
        <v>1589</v>
      </c>
      <c r="B750" s="1633"/>
      <c r="C750" s="1633"/>
      <c r="D750" s="1633"/>
      <c r="E750" s="1633"/>
      <c r="F750" s="1633"/>
      <c r="G750" s="1633"/>
      <c r="H750" s="404"/>
      <c r="I750" s="404"/>
    </row>
    <row r="751" spans="1:9" ht="13.2">
      <c r="A751" s="415"/>
      <c r="B751" s="415"/>
      <c r="C751" s="299"/>
      <c r="D751" s="332"/>
      <c r="E751" s="282"/>
      <c r="F751" s="282"/>
      <c r="G751" s="288"/>
      <c r="H751" s="404"/>
      <c r="I751" s="404"/>
    </row>
    <row r="752" spans="1:9" ht="13.2">
      <c r="A752" s="140"/>
      <c r="B752" s="140"/>
      <c r="C752" s="299"/>
      <c r="D752" s="1617" t="s">
        <v>1619</v>
      </c>
      <c r="E752" s="1617"/>
      <c r="F752" s="1617"/>
      <c r="G752" s="288"/>
      <c r="H752" s="404"/>
      <c r="I752" s="404"/>
    </row>
    <row r="753" spans="1:9" ht="13.2">
      <c r="A753" s="414"/>
      <c r="B753" s="414"/>
      <c r="C753" s="298"/>
      <c r="D753" s="1591" t="s">
        <v>1622</v>
      </c>
      <c r="E753" s="1591"/>
      <c r="F753" s="1591"/>
      <c r="G753" s="288"/>
      <c r="H753" s="404"/>
      <c r="I753" s="404"/>
    </row>
    <row r="754" spans="1:9" ht="13.2">
      <c r="A754" s="415"/>
      <c r="B754" s="415"/>
      <c r="C754" s="299"/>
      <c r="D754" s="282"/>
      <c r="E754" s="282"/>
      <c r="F754" s="282"/>
      <c r="G754" s="288"/>
      <c r="H754" s="404"/>
      <c r="I754" s="404"/>
    </row>
    <row r="755" spans="1:9" ht="14.25" customHeight="1">
      <c r="A755" s="413"/>
      <c r="B755" s="947" t="s">
        <v>1531</v>
      </c>
      <c r="C755" s="14"/>
      <c r="D755" s="1582" t="s">
        <v>1620</v>
      </c>
      <c r="E755" s="1582"/>
      <c r="F755" s="1582"/>
      <c r="G755" s="288"/>
      <c r="H755" s="404"/>
      <c r="I755" s="404"/>
    </row>
    <row r="756" spans="1:9" ht="11.25" customHeight="1">
      <c r="A756" s="140"/>
      <c r="B756" s="140"/>
      <c r="C756" s="14"/>
      <c r="D756" s="1582"/>
      <c r="E756" s="1582"/>
      <c r="F756" s="1582"/>
      <c r="G756" s="288"/>
      <c r="H756" s="404"/>
      <c r="I756" s="404"/>
    </row>
    <row r="757" spans="1:9" ht="13.2">
      <c r="A757" s="140"/>
      <c r="B757" s="140"/>
      <c r="C757" s="14"/>
      <c r="D757" s="1582"/>
      <c r="E757" s="1582"/>
      <c r="F757" s="1582"/>
      <c r="G757" s="288"/>
      <c r="H757" s="404"/>
      <c r="I757" s="404"/>
    </row>
    <row r="758" spans="1:9" ht="13.2">
      <c r="A758" s="140"/>
      <c r="B758" s="140"/>
      <c r="C758" s="14"/>
      <c r="D758" s="1582"/>
      <c r="E758" s="1582"/>
      <c r="F758" s="1582"/>
      <c r="G758" s="288"/>
      <c r="H758" s="404"/>
      <c r="I758" s="404"/>
    </row>
    <row r="759" spans="1:9" ht="13.2">
      <c r="A759" s="150"/>
      <c r="B759" s="150"/>
      <c r="D759" s="1582"/>
      <c r="E759" s="1582"/>
      <c r="F759" s="1582"/>
      <c r="G759" s="288"/>
      <c r="H759" s="404"/>
      <c r="I759" s="404"/>
    </row>
    <row r="760" spans="1:9" ht="17.25" customHeight="1">
      <c r="A760" s="150"/>
      <c r="B760" s="150"/>
      <c r="D760" s="1582"/>
      <c r="E760" s="1582"/>
      <c r="F760" s="1582"/>
      <c r="G760" s="288"/>
      <c r="H760" s="404"/>
      <c r="I760" s="404"/>
    </row>
    <row r="761" spans="1:9" ht="13.2">
      <c r="A761" s="150"/>
      <c r="B761" s="150"/>
      <c r="D761" s="403"/>
      <c r="E761" s="403"/>
      <c r="F761" s="403"/>
      <c r="G761" s="288"/>
      <c r="H761" s="404"/>
      <c r="I761" s="404"/>
    </row>
    <row r="762" spans="1:9" ht="12.75" customHeight="1">
      <c r="A762" s="140"/>
      <c r="B762" s="947" t="s">
        <v>1531</v>
      </c>
      <c r="C762" s="14"/>
      <c r="D762" s="1637" t="s">
        <v>2123</v>
      </c>
      <c r="E762" s="1637"/>
      <c r="F762" s="1637"/>
      <c r="G762" s="288"/>
      <c r="H762" s="404"/>
      <c r="I762" s="404"/>
    </row>
    <row r="763" spans="1:9" ht="13.2">
      <c r="A763" s="140"/>
      <c r="B763" s="140"/>
      <c r="C763" s="14"/>
      <c r="D763" s="1637"/>
      <c r="E763" s="1637"/>
      <c r="F763" s="1637"/>
      <c r="G763" s="288"/>
      <c r="H763" s="404"/>
      <c r="I763" s="404"/>
    </row>
    <row r="764" spans="1:9" ht="13.2">
      <c r="A764" s="140"/>
      <c r="B764" s="140"/>
      <c r="C764" s="14"/>
      <c r="D764" s="1637"/>
      <c r="E764" s="1637"/>
      <c r="F764" s="1637"/>
      <c r="G764" s="288"/>
      <c r="H764" s="404"/>
      <c r="I764" s="404"/>
    </row>
    <row r="765" spans="1:9" ht="13.2">
      <c r="A765" s="140"/>
      <c r="B765" s="140"/>
      <c r="C765" s="14"/>
      <c r="D765" s="1637"/>
      <c r="E765" s="1637"/>
      <c r="F765" s="1637"/>
      <c r="G765" s="288"/>
      <c r="H765" s="404"/>
      <c r="I765" s="404"/>
    </row>
    <row r="766" spans="1:9" ht="13.2">
      <c r="A766" s="140"/>
      <c r="B766" s="140"/>
      <c r="C766" s="14"/>
      <c r="D766" s="403"/>
      <c r="G766" s="288"/>
      <c r="H766" s="404"/>
      <c r="I766" s="404"/>
    </row>
    <row r="767" spans="1:9" ht="13.2">
      <c r="A767" s="140"/>
      <c r="B767" s="947" t="s">
        <v>136</v>
      </c>
      <c r="C767" s="687"/>
      <c r="D767" s="1634" t="s">
        <v>2124</v>
      </c>
      <c r="E767" s="1635"/>
      <c r="F767" s="1635"/>
      <c r="G767" s="709"/>
      <c r="H767" s="404"/>
      <c r="I767" s="404"/>
    </row>
    <row r="768" spans="1:9" ht="13.2">
      <c r="A768" s="687"/>
      <c r="B768" s="687"/>
      <c r="C768" s="687"/>
      <c r="D768" s="1635"/>
      <c r="E768" s="1635"/>
      <c r="F768" s="1635"/>
      <c r="G768" s="709"/>
      <c r="H768" s="404"/>
      <c r="I768" s="404"/>
    </row>
    <row r="769" spans="1:9" ht="13.2">
      <c r="A769" s="687"/>
      <c r="B769" s="687"/>
      <c r="C769" s="687"/>
      <c r="D769" s="1635"/>
      <c r="E769" s="1635"/>
      <c r="F769" s="1635"/>
      <c r="G769" s="709"/>
      <c r="H769" s="404"/>
      <c r="I769" s="404"/>
    </row>
    <row r="770" spans="1:9" ht="13.2">
      <c r="A770" s="150"/>
      <c r="B770" s="150"/>
      <c r="D770" s="403"/>
      <c r="E770" s="403"/>
      <c r="F770" s="403"/>
      <c r="G770" s="288"/>
      <c r="H770" s="404"/>
      <c r="I770" s="404"/>
    </row>
    <row r="771" spans="1:9" ht="13.2">
      <c r="A771" s="150"/>
      <c r="B771" s="947" t="s">
        <v>136</v>
      </c>
      <c r="D771" s="1626" t="s">
        <v>1621</v>
      </c>
      <c r="E771" s="1626"/>
      <c r="F771" s="1626"/>
      <c r="G771" s="288"/>
      <c r="H771" s="404"/>
      <c r="I771" s="404"/>
    </row>
    <row r="772" spans="1:9" ht="13.2">
      <c r="A772" s="150"/>
      <c r="B772" s="150"/>
      <c r="D772" s="1626"/>
      <c r="E772" s="1626"/>
      <c r="F772" s="1626"/>
      <c r="G772" s="288"/>
      <c r="H772" s="404"/>
      <c r="I772" s="404"/>
    </row>
    <row r="773" spans="1:9" ht="13.2">
      <c r="A773" s="150"/>
      <c r="B773" s="150"/>
      <c r="D773" s="954"/>
      <c r="E773" s="954"/>
      <c r="F773" s="954"/>
      <c r="G773" s="288"/>
      <c r="H773" s="404"/>
      <c r="I773" s="404"/>
    </row>
    <row r="774" spans="1:9" ht="13.95" customHeight="1">
      <c r="A774" s="150"/>
      <c r="B774" s="947" t="s">
        <v>136</v>
      </c>
      <c r="D774" s="1627" t="s">
        <v>1981</v>
      </c>
      <c r="E774" s="1626"/>
      <c r="F774" s="1626"/>
      <c r="G774" s="288"/>
      <c r="H774" s="404"/>
      <c r="I774" s="404"/>
    </row>
    <row r="775" spans="1:9" ht="13.2">
      <c r="A775" s="150"/>
      <c r="B775" s="150"/>
      <c r="D775" s="1626"/>
      <c r="E775" s="1626"/>
      <c r="F775" s="1626"/>
      <c r="G775" s="288"/>
      <c r="H775" s="404"/>
      <c r="I775" s="404"/>
    </row>
    <row r="776" spans="1:9" ht="13.2">
      <c r="A776" s="150"/>
      <c r="B776" s="150"/>
      <c r="D776" s="1626"/>
      <c r="E776" s="1626"/>
      <c r="F776" s="1626"/>
      <c r="G776" s="288"/>
      <c r="H776" s="404"/>
      <c r="I776" s="404"/>
    </row>
    <row r="777" spans="1:9" ht="13.2">
      <c r="A777" s="150"/>
      <c r="B777" s="150"/>
      <c r="D777" s="954"/>
      <c r="E777" s="954"/>
      <c r="F777" s="954"/>
      <c r="G777" s="288"/>
      <c r="H777" s="404"/>
      <c r="I777" s="404"/>
    </row>
    <row r="778" spans="1:9" ht="12" customHeight="1">
      <c r="A778" s="1633" t="s">
        <v>1794</v>
      </c>
      <c r="B778" s="1633"/>
      <c r="C778" s="1633"/>
      <c r="D778" s="1633"/>
      <c r="E778" s="1633"/>
      <c r="F778" s="1633"/>
      <c r="G778" s="1633"/>
      <c r="H778" s="404"/>
      <c r="I778" s="404"/>
    </row>
    <row r="779" spans="1:9" ht="13.2">
      <c r="A779" s="107"/>
      <c r="B779" s="107"/>
      <c r="C779" s="302"/>
      <c r="D779" s="283"/>
      <c r="E779" s="283"/>
      <c r="F779" s="283"/>
      <c r="G779" s="288"/>
      <c r="H779" s="404"/>
      <c r="I779" s="404"/>
    </row>
    <row r="780" spans="1:9" ht="13.95" customHeight="1">
      <c r="A780" s="107"/>
      <c r="B780" s="107"/>
      <c r="C780" s="302"/>
      <c r="D780" s="1679" t="s">
        <v>1795</v>
      </c>
      <c r="E780" s="1679"/>
      <c r="F780" s="1679"/>
      <c r="G780" s="288"/>
      <c r="H780" s="404"/>
      <c r="I780" s="404"/>
    </row>
    <row r="781" spans="1:9" ht="13.2">
      <c r="A781" s="107"/>
      <c r="B781" s="107"/>
      <c r="C781" s="302"/>
      <c r="D781" s="1680" t="s">
        <v>1796</v>
      </c>
      <c r="E781" s="1680"/>
      <c r="F781" s="1680"/>
      <c r="G781" s="288"/>
      <c r="H781" s="404"/>
      <c r="I781" s="404"/>
    </row>
    <row r="782" spans="1:9" ht="13.2">
      <c r="A782" s="107"/>
      <c r="B782" s="107"/>
      <c r="C782" s="302"/>
      <c r="D782" s="993"/>
      <c r="E782" s="993"/>
      <c r="F782" s="993"/>
      <c r="G782" s="288"/>
      <c r="H782" s="404"/>
      <c r="I782" s="404"/>
    </row>
    <row r="783" spans="1:9" ht="13.2">
      <c r="A783" s="107"/>
      <c r="B783" s="947" t="s">
        <v>136</v>
      </c>
      <c r="C783" s="302"/>
      <c r="D783" s="1665" t="s">
        <v>1797</v>
      </c>
      <c r="E783" s="1665"/>
      <c r="F783" s="1665"/>
      <c r="G783" s="288"/>
      <c r="H783" s="404"/>
      <c r="I783" s="404"/>
    </row>
    <row r="784" spans="1:9" ht="13.2">
      <c r="A784" s="107"/>
      <c r="B784" s="107"/>
      <c r="C784" s="302"/>
      <c r="D784" s="1665"/>
      <c r="E784" s="1665"/>
      <c r="F784" s="1665"/>
      <c r="G784" s="288"/>
      <c r="H784" s="404"/>
      <c r="I784" s="404"/>
    </row>
    <row r="785" spans="1:9" ht="13.2">
      <c r="A785" s="415"/>
      <c r="B785" s="415"/>
      <c r="C785" s="299"/>
      <c r="D785" s="1665"/>
      <c r="E785" s="1665"/>
      <c r="F785" s="1665"/>
      <c r="G785" s="284"/>
      <c r="H785" s="404"/>
      <c r="I785" s="404"/>
    </row>
    <row r="786" spans="1:9" ht="13.2">
      <c r="A786" s="150"/>
      <c r="B786" s="150"/>
      <c r="C786" s="285"/>
      <c r="D786" s="411"/>
      <c r="E786" s="288"/>
      <c r="F786" s="288"/>
      <c r="G786" s="288"/>
      <c r="H786" s="404"/>
      <c r="I786" s="404"/>
    </row>
    <row r="787" spans="1:9" ht="13.2">
      <c r="A787" s="418"/>
      <c r="B787" s="947" t="s">
        <v>136</v>
      </c>
      <c r="C787" s="303"/>
      <c r="D787" s="1665" t="s">
        <v>1798</v>
      </c>
      <c r="E787" s="1665"/>
      <c r="F787" s="1665"/>
      <c r="G787" s="288"/>
      <c r="H787" s="404"/>
      <c r="I787" s="404"/>
    </row>
    <row r="788" spans="1:9" ht="13.2">
      <c r="A788" s="739"/>
      <c r="B788" s="739"/>
      <c r="C788" s="740"/>
      <c r="D788" s="1665"/>
      <c r="E788" s="1665"/>
      <c r="F788" s="1665"/>
      <c r="G788" s="288"/>
      <c r="H788" s="404"/>
      <c r="I788" s="404"/>
    </row>
    <row r="789" spans="1:9" ht="13.2">
      <c r="A789" s="418"/>
      <c r="B789" s="418"/>
      <c r="C789" s="303"/>
      <c r="D789" s="1665"/>
      <c r="E789" s="1665"/>
      <c r="F789" s="1665"/>
      <c r="G789" s="288"/>
      <c r="H789" s="404"/>
      <c r="I789" s="404"/>
    </row>
    <row r="790" spans="1:9" ht="13.2">
      <c r="A790" s="415"/>
      <c r="B790" s="415"/>
      <c r="C790" s="299"/>
      <c r="D790" s="282"/>
      <c r="E790" s="296"/>
      <c r="F790" s="296"/>
      <c r="G790" s="572"/>
      <c r="H790" s="404"/>
      <c r="I790" s="404"/>
    </row>
    <row r="791" spans="1:9" ht="14.7" customHeight="1">
      <c r="A791" s="413"/>
      <c r="B791" s="947" t="s">
        <v>136</v>
      </c>
      <c r="C791" s="322"/>
      <c r="D791" s="1600" t="s">
        <v>1913</v>
      </c>
      <c r="E791" s="1600"/>
      <c r="F791" s="1600"/>
      <c r="G791" s="572"/>
      <c r="H791" s="404"/>
      <c r="I791" s="404"/>
    </row>
    <row r="792" spans="1:9" ht="14.4">
      <c r="A792" s="413"/>
      <c r="B792" s="413"/>
      <c r="C792" s="322"/>
      <c r="D792" s="1600"/>
      <c r="E792" s="1600"/>
      <c r="F792" s="1600"/>
      <c r="G792" s="572"/>
      <c r="H792" s="404"/>
      <c r="I792" s="404"/>
    </row>
    <row r="793" spans="1:9" ht="14.4">
      <c r="A793" s="413"/>
      <c r="B793" s="413"/>
      <c r="C793" s="322"/>
      <c r="D793" s="1600"/>
      <c r="E793" s="1600"/>
      <c r="F793" s="1600"/>
      <c r="G793" s="572"/>
      <c r="H793" s="404"/>
      <c r="I793" s="404"/>
    </row>
    <row r="794" spans="1:9" ht="14.4">
      <c r="A794" s="413"/>
      <c r="B794" s="413"/>
      <c r="C794" s="322"/>
      <c r="D794" s="1052"/>
      <c r="E794" s="282"/>
      <c r="F794" s="282"/>
      <c r="G794" s="572"/>
      <c r="H794" s="404"/>
      <c r="I794" s="404"/>
    </row>
    <row r="795" spans="1:9" ht="14.25" customHeight="1">
      <c r="A795" s="413"/>
      <c r="B795" s="947" t="s">
        <v>136</v>
      </c>
      <c r="C795" s="322"/>
      <c r="D795" s="1665" t="s">
        <v>1799</v>
      </c>
      <c r="E795" s="1665"/>
      <c r="F795" s="1665"/>
      <c r="G795" s="572"/>
      <c r="H795" s="404"/>
      <c r="I795" s="404"/>
    </row>
    <row r="796" spans="1:9" ht="14.4">
      <c r="A796" s="413"/>
      <c r="B796" s="413"/>
      <c r="C796" s="322"/>
      <c r="D796" s="1665"/>
      <c r="E796" s="1665"/>
      <c r="F796" s="1665"/>
      <c r="G796" s="572"/>
      <c r="H796" s="404"/>
      <c r="I796" s="404"/>
    </row>
    <row r="797" spans="1:9" ht="14.4">
      <c r="A797" s="413"/>
      <c r="B797" s="413"/>
      <c r="C797" s="322"/>
      <c r="D797" s="1665"/>
      <c r="E797" s="1665"/>
      <c r="F797" s="1665"/>
      <c r="G797" s="572"/>
      <c r="H797" s="404"/>
      <c r="I797" s="404"/>
    </row>
    <row r="798" spans="1:9" ht="14.4">
      <c r="A798" s="413"/>
      <c r="B798" s="413"/>
      <c r="C798" s="322"/>
      <c r="D798" s="1665"/>
      <c r="E798" s="1665"/>
      <c r="F798" s="1665"/>
      <c r="G798" s="572"/>
      <c r="H798" s="404"/>
      <c r="I798" s="404"/>
    </row>
    <row r="799" spans="1:9" ht="14.4">
      <c r="A799" s="413"/>
      <c r="B799" s="413"/>
      <c r="C799" s="322"/>
      <c r="D799" s="1665"/>
      <c r="E799" s="1665"/>
      <c r="F799" s="1665"/>
      <c r="G799" s="572"/>
      <c r="H799" s="404"/>
      <c r="I799" s="404"/>
    </row>
    <row r="800" spans="1:9" ht="14.4">
      <c r="A800" s="413"/>
      <c r="B800" s="413"/>
      <c r="C800" s="322"/>
      <c r="D800" s="1600" t="s">
        <v>2307</v>
      </c>
      <c r="E800" s="1600"/>
      <c r="F800" s="1600"/>
      <c r="G800" s="572"/>
      <c r="H800" s="404"/>
      <c r="I800" s="404"/>
    </row>
    <row r="801" spans="1:9" ht="14.4">
      <c r="A801" s="413"/>
      <c r="B801" s="413"/>
      <c r="C801" s="322"/>
      <c r="D801" s="1600"/>
      <c r="E801" s="1600"/>
      <c r="F801" s="1600"/>
      <c r="G801" s="572"/>
      <c r="H801" s="404"/>
      <c r="I801" s="404"/>
    </row>
    <row r="802" spans="1:9" ht="14.4">
      <c r="A802" s="413"/>
      <c r="B802" s="413"/>
      <c r="C802" s="322"/>
      <c r="D802" s="1600"/>
      <c r="E802" s="1600"/>
      <c r="F802" s="1600"/>
      <c r="G802" s="572"/>
      <c r="H802" s="404"/>
      <c r="I802" s="404"/>
    </row>
    <row r="803" spans="1:9" ht="14.4">
      <c r="A803" s="413"/>
      <c r="B803" s="14"/>
      <c r="C803" s="322"/>
      <c r="D803" s="1346"/>
      <c r="E803" s="1346"/>
      <c r="F803" s="1346"/>
      <c r="G803" s="572"/>
      <c r="H803" s="404"/>
      <c r="I803" s="404"/>
    </row>
    <row r="804" spans="1:9" ht="14.4">
      <c r="A804" s="413"/>
      <c r="B804" s="947" t="s">
        <v>136</v>
      </c>
      <c r="C804" s="322"/>
      <c r="D804" s="1665" t="s">
        <v>1801</v>
      </c>
      <c r="E804" s="1665"/>
      <c r="F804" s="1665"/>
      <c r="G804" s="572"/>
      <c r="H804" s="404"/>
      <c r="I804" s="404"/>
    </row>
    <row r="805" spans="1:9" ht="14.4">
      <c r="A805" s="413"/>
      <c r="B805" s="413"/>
      <c r="C805" s="322"/>
      <c r="D805" s="1665"/>
      <c r="E805" s="1665"/>
      <c r="F805" s="1665"/>
      <c r="G805" s="572"/>
      <c r="H805" s="404"/>
      <c r="I805" s="404"/>
    </row>
    <row r="806" spans="1:9" ht="14.4">
      <c r="A806" s="413"/>
      <c r="B806" s="413"/>
      <c r="C806" s="322"/>
      <c r="D806" s="1665"/>
      <c r="E806" s="1665"/>
      <c r="F806" s="1665"/>
      <c r="G806" s="572"/>
      <c r="H806" s="404"/>
      <c r="I806" s="404"/>
    </row>
    <row r="807" spans="1:9" ht="14.4">
      <c r="A807" s="413"/>
      <c r="B807" s="413"/>
      <c r="C807" s="322"/>
      <c r="D807" s="1665"/>
      <c r="E807" s="1665"/>
      <c r="F807" s="1665"/>
      <c r="G807" s="572"/>
      <c r="H807" s="404"/>
      <c r="I807" s="404"/>
    </row>
    <row r="808" spans="1:9" ht="14.4">
      <c r="A808" s="413"/>
      <c r="B808" s="413"/>
      <c r="C808" s="322"/>
      <c r="D808" s="1665"/>
      <c r="E808" s="1665"/>
      <c r="F808" s="1665"/>
      <c r="G808" s="572"/>
      <c r="H808" s="404"/>
      <c r="I808" s="404"/>
    </row>
    <row r="809" spans="1:9" ht="14.4">
      <c r="A809" s="413"/>
      <c r="B809" s="413"/>
      <c r="C809" s="322"/>
      <c r="D809" s="1665"/>
      <c r="E809" s="1665"/>
      <c r="F809" s="1665"/>
      <c r="G809" s="572"/>
      <c r="H809" s="404"/>
      <c r="I809" s="404"/>
    </row>
    <row r="810" spans="1:9" ht="14.4">
      <c r="A810" s="413"/>
      <c r="B810" s="413"/>
      <c r="C810" s="322"/>
      <c r="D810" s="1334"/>
      <c r="E810" s="1334"/>
      <c r="F810" s="1334"/>
      <c r="G810" s="572"/>
      <c r="H810" s="404"/>
      <c r="I810" s="404"/>
    </row>
    <row r="811" spans="1:9" ht="14.4">
      <c r="A811" s="413"/>
      <c r="B811" s="1335" t="s">
        <v>136</v>
      </c>
      <c r="C811" s="322"/>
      <c r="D811" s="1600" t="s">
        <v>2125</v>
      </c>
      <c r="E811" s="1665"/>
      <c r="F811" s="1665"/>
      <c r="G811" s="572"/>
      <c r="H811" s="404"/>
      <c r="I811" s="404"/>
    </row>
    <row r="812" spans="1:9" ht="14.4">
      <c r="A812" s="413"/>
      <c r="B812" s="413"/>
      <c r="C812" s="322"/>
      <c r="D812" s="1665"/>
      <c r="E812" s="1665"/>
      <c r="F812" s="1665"/>
      <c r="G812" s="572"/>
      <c r="H812" s="404"/>
      <c r="I812" s="404"/>
    </row>
    <row r="813" spans="1:9" ht="14.4">
      <c r="A813" s="413"/>
      <c r="B813" s="413"/>
      <c r="C813" s="322"/>
      <c r="D813" s="1665"/>
      <c r="E813" s="1665"/>
      <c r="F813" s="1665"/>
      <c r="G813" s="572"/>
      <c r="H813" s="404"/>
      <c r="I813" s="404"/>
    </row>
    <row r="814" spans="1:9" ht="14.4">
      <c r="A814" s="413"/>
      <c r="B814" s="413"/>
      <c r="C814" s="322"/>
      <c r="D814" s="1665"/>
      <c r="E814" s="1665"/>
      <c r="F814" s="1665"/>
      <c r="G814" s="572"/>
      <c r="H814" s="404"/>
      <c r="I814" s="404"/>
    </row>
    <row r="815" spans="1:9" ht="14.4">
      <c r="A815" s="413"/>
      <c r="B815" s="413"/>
      <c r="C815" s="322"/>
      <c r="D815" s="1665"/>
      <c r="E815" s="1665"/>
      <c r="F815" s="1665"/>
      <c r="G815" s="572"/>
      <c r="H815" s="404"/>
      <c r="I815" s="404"/>
    </row>
    <row r="816" spans="1:9" ht="14.4">
      <c r="A816" s="413"/>
      <c r="B816" s="413"/>
      <c r="C816" s="322"/>
      <c r="D816" s="1054"/>
      <c r="E816" s="1054"/>
      <c r="F816" s="1054"/>
      <c r="G816" s="572"/>
      <c r="H816" s="404"/>
      <c r="I816" s="404"/>
    </row>
    <row r="817" spans="1:9" ht="14.4">
      <c r="A817" s="413"/>
      <c r="B817" s="947" t="s">
        <v>136</v>
      </c>
      <c r="C817" s="322"/>
      <c r="D817" s="1665" t="s">
        <v>1800</v>
      </c>
      <c r="E817" s="1665"/>
      <c r="F817" s="1665"/>
      <c r="G817" s="572"/>
      <c r="H817" s="404"/>
      <c r="I817" s="404"/>
    </row>
    <row r="818" spans="1:9" ht="14.4">
      <c r="A818" s="413"/>
      <c r="B818" s="413"/>
      <c r="C818" s="322"/>
      <c r="D818" s="1665"/>
      <c r="E818" s="1665"/>
      <c r="F818" s="1665"/>
      <c r="G818" s="572"/>
      <c r="H818" s="404"/>
      <c r="I818" s="404"/>
    </row>
    <row r="819" spans="1:9" ht="14.4">
      <c r="A819" s="413"/>
      <c r="B819" s="413"/>
      <c r="C819" s="322"/>
      <c r="D819" s="1665"/>
      <c r="E819" s="1665"/>
      <c r="F819" s="1665"/>
      <c r="G819" s="572"/>
      <c r="H819" s="404"/>
      <c r="I819" s="404"/>
    </row>
    <row r="820" spans="1:9" ht="14.4">
      <c r="A820" s="413"/>
      <c r="B820" s="413"/>
      <c r="C820" s="322"/>
      <c r="D820" s="1665"/>
      <c r="E820" s="1665"/>
      <c r="F820" s="1665"/>
      <c r="G820" s="572"/>
      <c r="H820" s="404"/>
      <c r="I820" s="404"/>
    </row>
    <row r="821" spans="1:9" ht="14.4">
      <c r="A821" s="413"/>
      <c r="B821" s="413"/>
      <c r="C821" s="322"/>
      <c r="D821" s="296"/>
      <c r="E821" s="282"/>
      <c r="F821" s="282"/>
      <c r="G821" s="572"/>
      <c r="H821" s="404"/>
      <c r="I821" s="404"/>
    </row>
    <row r="822" spans="1:9" ht="14.4">
      <c r="A822" s="413"/>
      <c r="B822" s="947" t="s">
        <v>136</v>
      </c>
      <c r="C822" s="322"/>
      <c r="D822" s="1666" t="s">
        <v>1803</v>
      </c>
      <c r="E822" s="1666"/>
      <c r="F822" s="1666"/>
      <c r="G822" s="572"/>
      <c r="H822" s="404"/>
      <c r="I822" s="404"/>
    </row>
    <row r="823" spans="1:9" ht="14.4">
      <c r="A823" s="413"/>
      <c r="B823" s="413"/>
      <c r="C823" s="322"/>
      <c r="D823" s="1666"/>
      <c r="E823" s="1666"/>
      <c r="F823" s="1666"/>
      <c r="G823" s="572"/>
      <c r="H823" s="404"/>
      <c r="I823" s="404"/>
    </row>
    <row r="824" spans="1:9" ht="13.2">
      <c r="A824" s="33"/>
      <c r="B824" s="33"/>
      <c r="C824" s="322"/>
      <c r="D824" s="1666"/>
      <c r="E824" s="1666"/>
      <c r="F824" s="1666"/>
      <c r="G824" s="572"/>
      <c r="H824" s="404"/>
      <c r="I824" s="404"/>
    </row>
    <row r="825" spans="1:9" ht="14.4">
      <c r="A825" s="413"/>
      <c r="B825" s="994"/>
      <c r="C825" s="322"/>
      <c r="D825" s="1666"/>
      <c r="E825" s="1666"/>
      <c r="F825" s="1666"/>
      <c r="G825" s="572"/>
      <c r="H825" s="404"/>
      <c r="I825" s="404"/>
    </row>
    <row r="826" spans="1:9" ht="14.4">
      <c r="A826" s="413"/>
      <c r="B826" s="994"/>
      <c r="C826" s="322"/>
      <c r="D826" s="1666"/>
      <c r="E826" s="1666"/>
      <c r="F826" s="1666"/>
      <c r="G826" s="572"/>
      <c r="H826" s="404"/>
      <c r="I826" s="404"/>
    </row>
    <row r="827" spans="1:9" ht="14.4">
      <c r="A827" s="413"/>
      <c r="B827" s="994"/>
      <c r="C827" s="322"/>
      <c r="D827" s="1666"/>
      <c r="E827" s="1666"/>
      <c r="F827" s="1666"/>
      <c r="G827" s="572"/>
      <c r="H827" s="404"/>
      <c r="I827" s="404"/>
    </row>
    <row r="828" spans="1:9" ht="14.4">
      <c r="A828" s="413"/>
      <c r="B828" s="1055"/>
      <c r="C828" s="322"/>
      <c r="D828" s="1053"/>
      <c r="E828" s="1053"/>
      <c r="F828" s="1053"/>
      <c r="G828" s="572"/>
      <c r="H828" s="404"/>
      <c r="I828" s="404"/>
    </row>
    <row r="829" spans="1:9" ht="14.4">
      <c r="A829" s="413"/>
      <c r="B829" s="947" t="s">
        <v>136</v>
      </c>
      <c r="C829" s="322"/>
      <c r="D829" s="1665" t="s">
        <v>1802</v>
      </c>
      <c r="E829" s="1665"/>
      <c r="F829" s="1665"/>
      <c r="G829" s="572"/>
      <c r="H829" s="404"/>
      <c r="I829" s="404"/>
    </row>
    <row r="830" spans="1:9" ht="14.4">
      <c r="A830" s="413"/>
      <c r="B830" s="413"/>
      <c r="C830" s="322"/>
      <c r="D830" s="1665"/>
      <c r="E830" s="1665"/>
      <c r="F830" s="1665"/>
      <c r="G830" s="572"/>
      <c r="H830" s="404"/>
      <c r="I830" s="404"/>
    </row>
    <row r="831" spans="1:9" ht="14.4">
      <c r="A831" s="413"/>
      <c r="B831" s="413"/>
      <c r="C831" s="322"/>
      <c r="D831" s="296"/>
      <c r="E831" s="282"/>
      <c r="F831" s="282"/>
      <c r="G831" s="572"/>
      <c r="H831" s="404"/>
      <c r="I831" s="404"/>
    </row>
    <row r="832" spans="1:9" ht="14.4">
      <c r="A832" s="413"/>
      <c r="B832" s="947" t="s">
        <v>136</v>
      </c>
      <c r="C832" s="322"/>
      <c r="D832" s="1666" t="s">
        <v>1804</v>
      </c>
      <c r="E832" s="1666"/>
      <c r="F832" s="1666"/>
      <c r="G832" s="572"/>
      <c r="H832" s="404"/>
      <c r="I832" s="404"/>
    </row>
    <row r="833" spans="1:9" ht="14.4">
      <c r="A833" s="413"/>
      <c r="B833" s="413"/>
      <c r="C833" s="322"/>
      <c r="D833" s="1666"/>
      <c r="E833" s="1666"/>
      <c r="F833" s="1666"/>
      <c r="G833" s="572"/>
      <c r="H833" s="404"/>
      <c r="I833" s="404"/>
    </row>
    <row r="834" spans="1:9" ht="13.2">
      <c r="A834" s="33"/>
      <c r="B834" s="33"/>
      <c r="C834" s="322"/>
      <c r="D834" s="296"/>
      <c r="E834" s="282"/>
      <c r="F834" s="282"/>
      <c r="G834" s="572"/>
      <c r="H834" s="404"/>
      <c r="I834" s="404"/>
    </row>
    <row r="835" spans="1:9" ht="13.2">
      <c r="A835" s="1598" t="s">
        <v>2146</v>
      </c>
      <c r="B835" s="1598"/>
      <c r="C835" s="1598"/>
      <c r="D835" s="1598"/>
      <c r="E835" s="1598"/>
      <c r="F835" s="1598"/>
      <c r="G835" s="1598"/>
      <c r="H835" s="404"/>
      <c r="I835" s="404"/>
    </row>
    <row r="836" spans="1:9" ht="13.2">
      <c r="A836" s="414"/>
      <c r="B836" s="414"/>
      <c r="C836" s="322"/>
      <c r="D836" s="296"/>
      <c r="E836" s="296"/>
      <c r="F836" s="296"/>
      <c r="G836" s="572"/>
      <c r="H836" s="404"/>
      <c r="I836" s="404"/>
    </row>
    <row r="837" spans="1:9" ht="14.4">
      <c r="A837" s="413"/>
      <c r="B837" s="413"/>
      <c r="C837" s="14"/>
      <c r="D837" s="1617" t="s">
        <v>1699</v>
      </c>
      <c r="E837" s="1617"/>
      <c r="F837" s="1617"/>
      <c r="H837" s="404"/>
      <c r="I837" s="404"/>
    </row>
    <row r="838" spans="1:9" ht="14.4">
      <c r="A838" s="413"/>
      <c r="B838" s="413"/>
      <c r="C838" s="14"/>
      <c r="D838" s="1581" t="s">
        <v>2143</v>
      </c>
      <c r="E838" s="1581"/>
      <c r="F838" s="1581"/>
      <c r="H838" s="404"/>
      <c r="I838" s="404"/>
    </row>
    <row r="839" spans="1:9" ht="14.4">
      <c r="A839" s="413"/>
      <c r="B839" s="413"/>
      <c r="C839" s="14"/>
      <c r="D839" s="1349"/>
      <c r="E839" s="1351"/>
      <c r="F839" s="1351"/>
      <c r="H839" s="404"/>
      <c r="I839" s="404"/>
    </row>
    <row r="840" spans="1:9" ht="13.2">
      <c r="A840" s="140"/>
      <c r="B840" s="947" t="s">
        <v>1531</v>
      </c>
      <c r="C840" s="322"/>
      <c r="D840" s="1582" t="s">
        <v>1625</v>
      </c>
      <c r="E840" s="1582"/>
      <c r="F840" s="1582"/>
      <c r="H840" s="404"/>
      <c r="I840" s="404"/>
    </row>
    <row r="841" spans="1:9" ht="13.2">
      <c r="A841" s="33"/>
      <c r="B841" s="33"/>
      <c r="C841" s="322"/>
      <c r="D841" s="6" t="s">
        <v>1594</v>
      </c>
      <c r="E841" s="1652" t="s">
        <v>1626</v>
      </c>
      <c r="F841" s="1652"/>
      <c r="H841" s="404"/>
      <c r="I841" s="404"/>
    </row>
    <row r="842" spans="1:9" ht="13.2">
      <c r="A842" s="33"/>
      <c r="B842" s="33"/>
      <c r="C842" s="322"/>
      <c r="D842" s="333"/>
      <c r="E842" s="282"/>
      <c r="F842" s="282"/>
      <c r="H842" s="404"/>
      <c r="I842" s="404"/>
    </row>
    <row r="843" spans="1:9" ht="13.2">
      <c r="A843" s="1031"/>
      <c r="B843" s="1030" t="s">
        <v>136</v>
      </c>
      <c r="C843" s="322"/>
      <c r="D843" s="1667" t="s">
        <v>1889</v>
      </c>
      <c r="E843" s="1667"/>
      <c r="F843" s="1667"/>
      <c r="H843" s="404"/>
      <c r="I843" s="404"/>
    </row>
    <row r="844" spans="1:9" ht="13.2">
      <c r="A844" s="1031"/>
      <c r="B844" s="1031"/>
      <c r="C844" s="322"/>
      <c r="D844" s="1667"/>
      <c r="E844" s="1667"/>
      <c r="F844" s="1667"/>
      <c r="H844" s="404"/>
      <c r="I844" s="404"/>
    </row>
    <row r="845" spans="1:9" ht="13.2">
      <c r="A845" s="1031"/>
      <c r="B845" s="1031"/>
      <c r="C845" s="322"/>
      <c r="D845" s="1667"/>
      <c r="E845" s="1667"/>
      <c r="F845" s="1667"/>
      <c r="H845" s="404"/>
      <c r="I845" s="404"/>
    </row>
    <row r="846" spans="1:9" ht="13.2">
      <c r="A846" s="1031"/>
      <c r="B846" s="1031"/>
      <c r="C846" s="322"/>
      <c r="D846" s="1667"/>
      <c r="E846" s="1667"/>
      <c r="F846" s="1667"/>
      <c r="H846" s="404"/>
      <c r="I846" s="404"/>
    </row>
    <row r="847" spans="1:9" ht="13.2">
      <c r="A847" s="1031"/>
      <c r="B847" s="1031"/>
      <c r="C847" s="322"/>
      <c r="D847" s="1667"/>
      <c r="E847" s="1667"/>
      <c r="F847" s="1667"/>
      <c r="H847" s="404"/>
      <c r="I847" s="404"/>
    </row>
    <row r="848" spans="1:9" ht="13.2">
      <c r="A848" s="1031"/>
      <c r="B848" s="1031"/>
      <c r="C848" s="322"/>
      <c r="D848" s="1667"/>
      <c r="E848" s="1667"/>
      <c r="F848" s="1667"/>
      <c r="H848" s="404"/>
      <c r="I848" s="404"/>
    </row>
    <row r="849" spans="1:9" ht="13.2">
      <c r="A849" s="1031"/>
      <c r="B849" s="1031"/>
      <c r="C849" s="322"/>
      <c r="D849" s="1667"/>
      <c r="E849" s="1667"/>
      <c r="F849" s="1667"/>
      <c r="H849" s="404"/>
      <c r="I849" s="404"/>
    </row>
    <row r="850" spans="1:9" ht="13.2">
      <c r="A850" s="1031"/>
      <c r="B850" s="1031"/>
      <c r="C850" s="322"/>
      <c r="D850" s="1667"/>
      <c r="E850" s="1667"/>
      <c r="F850" s="1667"/>
      <c r="H850" s="404"/>
      <c r="I850" s="404"/>
    </row>
    <row r="851" spans="1:9" ht="13.2">
      <c r="A851" s="1031"/>
      <c r="B851" s="1031"/>
      <c r="C851" s="322"/>
      <c r="D851" s="1667"/>
      <c r="E851" s="1667"/>
      <c r="F851" s="1667"/>
      <c r="H851" s="404"/>
      <c r="I851" s="404"/>
    </row>
    <row r="852" spans="1:9" ht="13.2">
      <c r="A852" s="1031"/>
      <c r="B852" s="1031"/>
      <c r="C852" s="322"/>
      <c r="D852" s="333"/>
      <c r="E852" s="282"/>
      <c r="F852" s="282"/>
      <c r="H852" s="404"/>
      <c r="I852" s="404"/>
    </row>
    <row r="853" spans="1:9" ht="14.4">
      <c r="A853" s="413"/>
      <c r="B853" s="947" t="s">
        <v>1531</v>
      </c>
      <c r="C853" s="322"/>
      <c r="D853" s="1582" t="s">
        <v>1627</v>
      </c>
      <c r="E853" s="1582"/>
      <c r="F853" s="1582"/>
      <c r="H853" s="404"/>
      <c r="I853" s="404"/>
    </row>
    <row r="854" spans="1:9" ht="14.4">
      <c r="A854" s="413"/>
      <c r="B854" s="413"/>
      <c r="C854" s="322"/>
      <c r="D854" s="1582"/>
      <c r="E854" s="1582"/>
      <c r="F854" s="1582"/>
      <c r="H854" s="404"/>
      <c r="I854" s="404"/>
    </row>
    <row r="855" spans="1:9" ht="14.4">
      <c r="A855" s="413"/>
      <c r="B855" s="413"/>
      <c r="C855" s="322"/>
      <c r="D855" s="1582"/>
      <c r="E855" s="1582"/>
      <c r="F855" s="1582"/>
      <c r="H855" s="404"/>
      <c r="I855" s="404"/>
    </row>
    <row r="856" spans="1:9" ht="14.4">
      <c r="A856" s="570"/>
      <c r="B856" s="570"/>
      <c r="C856" s="405"/>
      <c r="D856" s="403"/>
      <c r="H856" s="404"/>
      <c r="I856" s="404"/>
    </row>
    <row r="857" spans="1:9" ht="13.2">
      <c r="A857" s="704"/>
      <c r="B857" s="947" t="s">
        <v>136</v>
      </c>
      <c r="C857" s="405"/>
      <c r="D857" s="1675" t="s">
        <v>1628</v>
      </c>
      <c r="E857" s="1675"/>
      <c r="F857" s="1675"/>
      <c r="H857" s="404"/>
      <c r="I857" s="404"/>
    </row>
    <row r="858" spans="1:9" ht="13.2">
      <c r="A858" s="14"/>
      <c r="B858" s="704"/>
      <c r="C858" s="405"/>
      <c r="D858" s="1675"/>
      <c r="E858" s="1675"/>
      <c r="F858" s="1675"/>
      <c r="H858" s="404"/>
      <c r="I858" s="404"/>
    </row>
    <row r="859" spans="1:9" ht="14.25" customHeight="1">
      <c r="A859" s="570"/>
      <c r="B859" s="14"/>
      <c r="C859" s="405"/>
      <c r="D859" s="1626" t="s">
        <v>1654</v>
      </c>
      <c r="E859" s="1626"/>
      <c r="F859" s="1626"/>
      <c r="H859" s="404"/>
      <c r="I859" s="404"/>
    </row>
    <row r="860" spans="1:9" ht="14.4">
      <c r="A860" s="570"/>
      <c r="B860" s="570"/>
      <c r="C860" s="405"/>
      <c r="D860" s="1626"/>
      <c r="E860" s="1626"/>
      <c r="F860" s="1626"/>
      <c r="H860" s="404"/>
      <c r="I860" s="404"/>
    </row>
    <row r="861" spans="1:9" ht="14.4">
      <c r="A861" s="570"/>
      <c r="B861" s="570"/>
      <c r="C861" s="405"/>
      <c r="D861" s="1626"/>
      <c r="E861" s="1626"/>
      <c r="F861" s="1626"/>
      <c r="H861" s="404"/>
      <c r="I861" s="404"/>
    </row>
    <row r="862" spans="1:9" ht="14.4">
      <c r="A862" s="570"/>
      <c r="B862" s="570"/>
      <c r="C862" s="405"/>
      <c r="D862" s="1626"/>
      <c r="E862" s="1626"/>
      <c r="F862" s="1626"/>
      <c r="H862" s="404"/>
      <c r="I862" s="404"/>
    </row>
    <row r="863" spans="1:9" ht="14.4">
      <c r="A863" s="570"/>
      <c r="B863" s="570"/>
      <c r="C863" s="405"/>
      <c r="D863" s="1626"/>
      <c r="E863" s="1626"/>
      <c r="F863" s="1626"/>
      <c r="H863" s="404"/>
      <c r="I863" s="404"/>
    </row>
    <row r="864" spans="1:9" ht="14.25" customHeight="1">
      <c r="A864" s="570"/>
      <c r="B864" s="570"/>
      <c r="C864" s="405"/>
      <c r="D864" s="1626"/>
      <c r="E864" s="1626"/>
      <c r="F864" s="1626"/>
      <c r="H864" s="404"/>
      <c r="I864" s="404"/>
    </row>
    <row r="865" spans="1:9" ht="14.4">
      <c r="A865" s="570"/>
      <c r="B865" s="570"/>
      <c r="C865" s="405"/>
      <c r="D865" s="403"/>
      <c r="H865" s="404"/>
      <c r="I865" s="404"/>
    </row>
    <row r="866" spans="1:9" ht="14.4">
      <c r="A866" s="570"/>
      <c r="B866" s="947" t="s">
        <v>136</v>
      </c>
      <c r="C866" s="405"/>
      <c r="D866" s="1626" t="s">
        <v>1301</v>
      </c>
      <c r="E866" s="1626"/>
      <c r="F866" s="1626"/>
      <c r="H866" s="404"/>
      <c r="I866" s="404"/>
    </row>
    <row r="867" spans="1:9" ht="14.4">
      <c r="A867" s="570"/>
      <c r="B867" s="570"/>
      <c r="C867" s="405"/>
      <c r="D867" s="1626" t="s">
        <v>1302</v>
      </c>
      <c r="E867" s="1626"/>
      <c r="F867" s="1626"/>
      <c r="H867" s="404"/>
      <c r="I867" s="404"/>
    </row>
    <row r="868" spans="1:9" ht="14.4">
      <c r="A868" s="570"/>
      <c r="B868" s="570"/>
      <c r="C868" s="405"/>
      <c r="D868" s="330" t="s">
        <v>1593</v>
      </c>
      <c r="E868" s="1681" t="s">
        <v>1629</v>
      </c>
      <c r="F868" s="1681"/>
      <c r="H868" s="404"/>
      <c r="I868" s="404"/>
    </row>
    <row r="869" spans="1:9" ht="14.4">
      <c r="A869" s="570"/>
      <c r="B869" s="570"/>
      <c r="C869" s="405"/>
      <c r="D869" s="403"/>
      <c r="H869" s="404"/>
      <c r="I869" s="404"/>
    </row>
    <row r="870" spans="1:9" ht="14.4">
      <c r="A870" s="570"/>
      <c r="B870" s="947" t="s">
        <v>136</v>
      </c>
      <c r="C870" s="405"/>
      <c r="D870" s="1626" t="s">
        <v>1630</v>
      </c>
      <c r="E870" s="1626"/>
      <c r="F870" s="1626"/>
      <c r="H870" s="404"/>
      <c r="I870" s="404"/>
    </row>
    <row r="871" spans="1:9" ht="14.4">
      <c r="A871" s="570"/>
      <c r="B871" s="570"/>
      <c r="C871" s="405"/>
      <c r="D871" s="1626"/>
      <c r="E871" s="1626"/>
      <c r="F871" s="1626"/>
      <c r="H871" s="404"/>
      <c r="I871" s="404"/>
    </row>
    <row r="872" spans="1:9" ht="14.4">
      <c r="A872" s="570"/>
      <c r="B872" s="570"/>
      <c r="C872" s="405"/>
      <c r="D872" s="1626"/>
      <c r="E872" s="1626"/>
      <c r="F872" s="1626"/>
      <c r="H872" s="404"/>
      <c r="I872" s="404"/>
    </row>
    <row r="873" spans="1:9" ht="14.4">
      <c r="A873" s="570"/>
      <c r="B873" s="570"/>
      <c r="C873" s="405"/>
      <c r="D873" s="1626"/>
      <c r="E873" s="1626"/>
      <c r="F873" s="1626"/>
      <c r="H873" s="404"/>
      <c r="I873" s="404"/>
    </row>
    <row r="874" spans="1:9" ht="13.2">
      <c r="A874" s="414"/>
      <c r="B874" s="414"/>
      <c r="C874" s="298"/>
      <c r="D874" s="287"/>
      <c r="E874" s="282"/>
      <c r="F874" s="282"/>
      <c r="H874" s="404"/>
      <c r="I874" s="404"/>
    </row>
    <row r="875" spans="1:9" ht="13.2">
      <c r="A875" s="416" t="s">
        <v>1558</v>
      </c>
      <c r="B875" s="416"/>
      <c r="C875" s="949"/>
      <c r="D875" s="949"/>
      <c r="E875" s="949"/>
      <c r="F875" s="949"/>
      <c r="G875" s="950"/>
      <c r="H875" s="404"/>
      <c r="I875" s="404"/>
    </row>
    <row r="876" spans="1:9" ht="13.2">
      <c r="A876" s="414"/>
      <c r="B876" s="414"/>
      <c r="C876" s="298"/>
      <c r="D876" s="332"/>
      <c r="E876" s="282"/>
      <c r="F876" s="282"/>
      <c r="H876" s="404"/>
      <c r="I876" s="404"/>
    </row>
    <row r="877" spans="1:9" ht="13.2">
      <c r="A877" s="140"/>
      <c r="B877" s="140"/>
      <c r="C877" s="299"/>
      <c r="D877" s="1589" t="s">
        <v>1698</v>
      </c>
      <c r="E877" s="1589"/>
      <c r="F877" s="1589"/>
      <c r="G877" s="572"/>
      <c r="H877" s="404"/>
      <c r="I877" s="404"/>
    </row>
    <row r="878" spans="1:9" ht="13.2">
      <c r="A878" s="1019"/>
      <c r="B878" s="1019"/>
      <c r="C878" s="299"/>
      <c r="D878" s="1677" t="s">
        <v>2144</v>
      </c>
      <c r="E878" s="1678"/>
      <c r="F878" s="1678"/>
      <c r="G878" s="572"/>
      <c r="H878" s="404"/>
      <c r="I878" s="404"/>
    </row>
    <row r="879" spans="1:9" ht="13.2">
      <c r="A879" s="1019"/>
      <c r="B879" s="1019"/>
      <c r="C879" s="299"/>
      <c r="D879" s="1012"/>
      <c r="E879" s="1012"/>
      <c r="F879" s="1012"/>
      <c r="G879" s="572"/>
      <c r="H879" s="404"/>
      <c r="I879" s="404"/>
    </row>
    <row r="880" spans="1:9" ht="14.4">
      <c r="A880" s="413"/>
      <c r="B880" s="947" t="s">
        <v>1531</v>
      </c>
      <c r="C880" s="14"/>
      <c r="D880" s="1584" t="s">
        <v>1653</v>
      </c>
      <c r="E880" s="1584"/>
      <c r="F880" s="1584"/>
      <c r="G880" s="572"/>
      <c r="H880" s="404"/>
      <c r="I880" s="404"/>
    </row>
    <row r="881" spans="1:9" ht="13.2">
      <c r="A881" s="140"/>
      <c r="B881" s="140"/>
      <c r="C881" s="14"/>
      <c r="D881" s="6" t="s">
        <v>1593</v>
      </c>
      <c r="E881" s="1676" t="s">
        <v>1629</v>
      </c>
      <c r="F881" s="1676"/>
      <c r="G881" s="572"/>
    </row>
    <row r="882" spans="1:9" ht="13.2">
      <c r="A882" s="140"/>
      <c r="B882" s="140"/>
      <c r="C882" s="14"/>
      <c r="D882" s="287"/>
      <c r="E882" s="296"/>
      <c r="F882" s="296"/>
      <c r="G882" s="572"/>
      <c r="H882" s="404"/>
      <c r="I882" s="404"/>
    </row>
    <row r="883" spans="1:9" ht="14.4">
      <c r="A883" s="413"/>
      <c r="B883" s="947" t="s">
        <v>1531</v>
      </c>
      <c r="C883" s="14"/>
      <c r="D883" s="1581" t="s">
        <v>2147</v>
      </c>
      <c r="E883" s="1636"/>
      <c r="F883" s="1636"/>
    </row>
    <row r="884" spans="1:9" ht="12.45" customHeight="1">
      <c r="A884" s="140"/>
      <c r="B884" s="140"/>
      <c r="C884" s="14"/>
      <c r="D884" s="1636"/>
      <c r="E884" s="1636"/>
      <c r="F884" s="1636"/>
    </row>
    <row r="885" spans="1:9" ht="14.4">
      <c r="A885" s="413"/>
      <c r="B885" s="413"/>
      <c r="C885" s="14"/>
      <c r="D885" s="287"/>
      <c r="E885" s="296"/>
      <c r="F885" s="296"/>
      <c r="G885" s="572"/>
      <c r="H885" s="404"/>
      <c r="I885" s="404"/>
    </row>
    <row r="886" spans="1:9" ht="13.2">
      <c r="A886" s="14"/>
      <c r="B886" s="947" t="s">
        <v>136</v>
      </c>
      <c r="D886" s="1673" t="s">
        <v>1893</v>
      </c>
      <c r="E886" s="1673"/>
      <c r="F886" s="1673"/>
      <c r="G886" s="572"/>
      <c r="H886" s="404"/>
      <c r="I886" s="404"/>
    </row>
    <row r="887" spans="1:9" ht="29.7" customHeight="1">
      <c r="A887" s="14"/>
      <c r="B887" s="895"/>
      <c r="D887" s="1673"/>
      <c r="E887" s="1673"/>
      <c r="F887" s="1673"/>
      <c r="G887" s="572"/>
      <c r="H887" s="404"/>
      <c r="I887" s="404"/>
    </row>
    <row r="888" spans="1:9" ht="14.4">
      <c r="A888" s="413"/>
      <c r="B888" s="2"/>
      <c r="C888" s="14"/>
      <c r="D888" s="1626" t="s">
        <v>1654</v>
      </c>
      <c r="E888" s="1626"/>
      <c r="F888" s="1626"/>
      <c r="G888" s="572"/>
      <c r="H888" s="404"/>
      <c r="I888" s="404"/>
    </row>
    <row r="889" spans="1:9" ht="14.4">
      <c r="A889" s="413"/>
      <c r="B889" s="413"/>
      <c r="C889" s="14"/>
      <c r="D889" s="1626"/>
      <c r="E889" s="1626"/>
      <c r="F889" s="1626"/>
      <c r="G889" s="572"/>
      <c r="H889" s="404"/>
      <c r="I889" s="404"/>
    </row>
    <row r="890" spans="1:9" ht="14.4">
      <c r="A890" s="413"/>
      <c r="B890" s="413"/>
      <c r="C890" s="14"/>
      <c r="D890" s="1626"/>
      <c r="E890" s="1626"/>
      <c r="F890" s="1626"/>
      <c r="G890" s="572"/>
      <c r="H890" s="404"/>
      <c r="I890" s="404"/>
    </row>
    <row r="891" spans="1:9" ht="14.4">
      <c r="A891" s="413"/>
      <c r="B891" s="413"/>
      <c r="C891" s="14"/>
      <c r="D891" s="1626"/>
      <c r="E891" s="1626"/>
      <c r="F891" s="1626"/>
      <c r="G891" s="572"/>
      <c r="H891" s="404"/>
      <c r="I891" s="404"/>
    </row>
    <row r="892" spans="1:9" ht="14.4">
      <c r="A892" s="413"/>
      <c r="B892" s="413"/>
      <c r="C892" s="14"/>
      <c r="D892" s="1626"/>
      <c r="E892" s="1626"/>
      <c r="F892" s="1626"/>
      <c r="G892" s="572"/>
      <c r="H892" s="404"/>
      <c r="I892" s="404"/>
    </row>
    <row r="893" spans="1:9" ht="14.4">
      <c r="A893" s="413"/>
      <c r="B893" s="413"/>
      <c r="C893" s="14"/>
      <c r="D893" s="1626"/>
      <c r="E893" s="1626"/>
      <c r="F893" s="1626"/>
      <c r="G893" s="572"/>
      <c r="H893" s="404"/>
      <c r="I893" s="404"/>
    </row>
    <row r="894" spans="1:9" ht="14.4">
      <c r="A894" s="413"/>
      <c r="B894" s="413"/>
      <c r="C894" s="14"/>
      <c r="D894" s="287"/>
      <c r="E894" s="296"/>
      <c r="F894" s="296"/>
      <c r="G894" s="572"/>
      <c r="H894" s="404"/>
      <c r="I894" s="404"/>
    </row>
    <row r="895" spans="1:9" ht="14.4">
      <c r="A895" s="413"/>
      <c r="B895" s="947" t="s">
        <v>136</v>
      </c>
      <c r="C895" s="14"/>
      <c r="D895" s="1591" t="s">
        <v>1301</v>
      </c>
      <c r="E895" s="1591"/>
      <c r="F895" s="1591"/>
      <c r="G895" s="572"/>
      <c r="H895" s="404"/>
      <c r="I895" s="404"/>
    </row>
    <row r="896" spans="1:9" ht="14.4">
      <c r="A896" s="413"/>
      <c r="B896" s="413"/>
      <c r="C896" s="14"/>
      <c r="D896" s="1591" t="s">
        <v>1302</v>
      </c>
      <c r="E896" s="1591"/>
      <c r="F896" s="1591"/>
      <c r="G896" s="572"/>
      <c r="H896" s="404"/>
      <c r="I896" s="404"/>
    </row>
    <row r="897" spans="1:9" ht="14.4">
      <c r="A897" s="413"/>
      <c r="B897" s="413"/>
      <c r="C897" s="14"/>
      <c r="D897" s="6" t="s">
        <v>1655</v>
      </c>
      <c r="E897" s="1674" t="s">
        <v>1629</v>
      </c>
      <c r="F897" s="1674"/>
      <c r="G897" s="572"/>
      <c r="H897" s="404"/>
      <c r="I897" s="404"/>
    </row>
    <row r="898" spans="1:9" ht="14.4">
      <c r="A898" s="413"/>
      <c r="B898" s="413"/>
      <c r="C898" s="14"/>
      <c r="D898" s="287"/>
      <c r="E898" s="296"/>
      <c r="F898" s="296"/>
      <c r="G898" s="572"/>
      <c r="H898" s="404"/>
      <c r="I898" s="404"/>
    </row>
    <row r="899" spans="1:9" ht="14.4">
      <c r="A899" s="413"/>
      <c r="B899" s="947" t="s">
        <v>136</v>
      </c>
      <c r="C899" s="14"/>
      <c r="D899" s="1582" t="s">
        <v>1630</v>
      </c>
      <c r="E899" s="1582"/>
      <c r="F899" s="1582"/>
      <c r="G899" s="572"/>
      <c r="H899" s="404"/>
      <c r="I899" s="404"/>
    </row>
    <row r="900" spans="1:9" ht="14.4">
      <c r="A900" s="413"/>
      <c r="B900" s="413"/>
      <c r="C900" s="14"/>
      <c r="D900" s="1582"/>
      <c r="E900" s="1582"/>
      <c r="F900" s="1582"/>
      <c r="G900" s="572"/>
      <c r="H900" s="404"/>
      <c r="I900" s="404"/>
    </row>
    <row r="901" spans="1:9" ht="14.4">
      <c r="A901" s="413"/>
      <c r="B901" s="413"/>
      <c r="C901" s="14"/>
      <c r="D901" s="1582"/>
      <c r="E901" s="1582"/>
      <c r="F901" s="1582"/>
      <c r="G901" s="572"/>
      <c r="H901" s="404"/>
      <c r="I901" s="404"/>
    </row>
    <row r="902" spans="1:9" ht="14.4">
      <c r="A902" s="413"/>
      <c r="B902" s="413"/>
      <c r="C902" s="14"/>
      <c r="D902" s="1582"/>
      <c r="E902" s="1582"/>
      <c r="F902" s="1582"/>
      <c r="G902" s="572"/>
      <c r="H902" s="404"/>
      <c r="I902" s="404"/>
    </row>
    <row r="903" spans="1:9" ht="13.2">
      <c r="A903" s="143"/>
      <c r="B903" s="143"/>
      <c r="C903" s="322"/>
      <c r="D903" s="296"/>
      <c r="E903" s="296"/>
      <c r="F903" s="296"/>
      <c r="G903" s="572"/>
      <c r="H903" s="404"/>
      <c r="I903" s="404"/>
    </row>
    <row r="904" spans="1:9" ht="13.2">
      <c r="A904" s="1598" t="s">
        <v>1559</v>
      </c>
      <c r="B904" s="1598"/>
      <c r="C904" s="1598"/>
      <c r="D904" s="1598"/>
      <c r="E904" s="1598"/>
      <c r="F904" s="1598"/>
      <c r="G904" s="1598"/>
      <c r="H904" s="404"/>
      <c r="I904" s="404"/>
    </row>
    <row r="905" spans="1:9" ht="13.2">
      <c r="A905" s="143"/>
      <c r="B905" s="143"/>
      <c r="C905" s="322"/>
      <c r="D905" s="296"/>
      <c r="E905" s="296"/>
      <c r="F905" s="296"/>
      <c r="G905" s="572"/>
      <c r="H905" s="404"/>
      <c r="I905" s="404"/>
    </row>
    <row r="906" spans="1:9" ht="13.2">
      <c r="A906" s="140"/>
      <c r="B906" s="140"/>
      <c r="C906" s="322"/>
      <c r="D906" s="1645" t="s">
        <v>1841</v>
      </c>
      <c r="E906" s="1645"/>
      <c r="F906" s="1645"/>
      <c r="G906" s="572"/>
      <c r="H906" s="404"/>
      <c r="I906" s="404"/>
    </row>
    <row r="907" spans="1:9" ht="13.2">
      <c r="A907" s="414"/>
      <c r="B907" s="414"/>
      <c r="C907" s="298"/>
      <c r="D907" s="1584" t="s">
        <v>1652</v>
      </c>
      <c r="E907" s="1584"/>
      <c r="F907" s="1584"/>
      <c r="G907" s="572"/>
      <c r="H907" s="404"/>
      <c r="I907" s="404"/>
    </row>
    <row r="908" spans="1:9" ht="13.2">
      <c r="A908" s="414"/>
      <c r="B908" s="414"/>
      <c r="C908" s="298"/>
      <c r="D908" s="282"/>
      <c r="E908" s="282"/>
      <c r="F908" s="296"/>
      <c r="G908" s="572"/>
      <c r="H908" s="404"/>
      <c r="I908" s="404"/>
    </row>
    <row r="909" spans="1:9" ht="13.95" customHeight="1">
      <c r="A909" s="414"/>
      <c r="B909" s="1017" t="s">
        <v>136</v>
      </c>
      <c r="C909" s="298"/>
      <c r="D909" s="1683" t="s">
        <v>1851</v>
      </c>
      <c r="E909" s="1683"/>
      <c r="F909" s="1683"/>
      <c r="G909" s="572"/>
      <c r="H909" s="404"/>
      <c r="I909" s="404"/>
    </row>
    <row r="910" spans="1:9" ht="13.2">
      <c r="A910" s="414"/>
      <c r="B910" s="414"/>
      <c r="C910" s="298"/>
      <c r="D910" s="1683"/>
      <c r="E910" s="1683"/>
      <c r="F910" s="1683"/>
      <c r="G910" s="572"/>
      <c r="H910" s="404"/>
      <c r="I910" s="404"/>
    </row>
    <row r="911" spans="1:9" ht="13.2">
      <c r="A911" s="414"/>
      <c r="B911" s="414"/>
      <c r="C911" s="298"/>
      <c r="D911" s="1683"/>
      <c r="E911" s="1683"/>
      <c r="F911" s="1683"/>
      <c r="G911" s="572"/>
      <c r="H911" s="404"/>
      <c r="I911" s="404"/>
    </row>
    <row r="912" spans="1:9" ht="13.2">
      <c r="A912" s="414"/>
      <c r="B912" s="414"/>
      <c r="C912" s="298"/>
      <c r="D912" s="1683"/>
      <c r="E912" s="1683"/>
      <c r="F912" s="1683"/>
      <c r="G912" s="572"/>
      <c r="H912" s="404"/>
      <c r="I912" s="404"/>
    </row>
    <row r="913" spans="1:9" ht="13.2">
      <c r="A913" s="414"/>
      <c r="B913" s="414"/>
      <c r="C913" s="298"/>
      <c r="D913" s="1683"/>
      <c r="E913" s="1683"/>
      <c r="F913" s="1683"/>
      <c r="G913" s="572"/>
      <c r="H913" s="404"/>
      <c r="I913" s="404"/>
    </row>
    <row r="914" spans="1:9" ht="13.2">
      <c r="A914" s="415"/>
      <c r="B914" s="415"/>
      <c r="C914" s="299"/>
      <c r="D914" s="282"/>
      <c r="E914" s="282"/>
      <c r="F914" s="296"/>
      <c r="G914" s="572"/>
      <c r="H914" s="404"/>
      <c r="I914" s="404"/>
    </row>
    <row r="915" spans="1:9" ht="14.25" customHeight="1">
      <c r="A915" s="570"/>
      <c r="B915" s="947" t="s">
        <v>1531</v>
      </c>
      <c r="C915" s="571"/>
      <c r="D915" s="1681" t="s">
        <v>1951</v>
      </c>
      <c r="E915" s="1681"/>
      <c r="F915" s="1681"/>
      <c r="G915" s="572"/>
      <c r="H915" s="404"/>
      <c r="I915" s="404"/>
    </row>
    <row r="916" spans="1:9" ht="14.25" customHeight="1">
      <c r="A916" s="570"/>
      <c r="B916" s="570"/>
      <c r="C916" s="571"/>
      <c r="D916" s="1681"/>
      <c r="E916" s="1681"/>
      <c r="F916" s="1681"/>
      <c r="G916" s="572"/>
      <c r="H916" s="404"/>
      <c r="I916" s="404"/>
    </row>
    <row r="917" spans="1:9" ht="14.25" customHeight="1">
      <c r="A917" s="570"/>
      <c r="B917" s="570"/>
      <c r="C917" s="571"/>
      <c r="D917" s="1681"/>
      <c r="E917" s="1681"/>
      <c r="F917" s="1681"/>
      <c r="G917" s="572"/>
      <c r="H917" s="404"/>
      <c r="I917" s="404"/>
    </row>
    <row r="918" spans="1:9" ht="14.25" customHeight="1">
      <c r="A918" s="570"/>
      <c r="B918" s="570"/>
      <c r="C918" s="571"/>
      <c r="D918" s="1681"/>
      <c r="E918" s="1681"/>
      <c r="F918" s="1681"/>
      <c r="G918" s="572"/>
      <c r="H918" s="404"/>
      <c r="I918" s="404"/>
    </row>
    <row r="919" spans="1:9" ht="14.25" customHeight="1">
      <c r="A919" s="573"/>
      <c r="B919" s="573"/>
      <c r="C919" s="571"/>
      <c r="D919" s="1681"/>
      <c r="E919" s="1681"/>
      <c r="F919" s="1681"/>
      <c r="G919" s="572"/>
      <c r="H919" s="404"/>
      <c r="I919" s="404"/>
    </row>
    <row r="920" spans="1:9" ht="14.25" customHeight="1">
      <c r="A920" s="573"/>
      <c r="B920" s="573"/>
      <c r="C920" s="571"/>
      <c r="D920" s="1681"/>
      <c r="E920" s="1681"/>
      <c r="F920" s="1681"/>
      <c r="G920" s="572"/>
      <c r="H920" s="404"/>
      <c r="I920" s="404"/>
    </row>
    <row r="921" spans="1:9" ht="14.25" customHeight="1">
      <c r="A921" s="573"/>
      <c r="B921" s="573"/>
      <c r="C921" s="571"/>
      <c r="D921" s="1681"/>
      <c r="E921" s="1681"/>
      <c r="F921" s="1681"/>
      <c r="G921" s="572"/>
      <c r="H921" s="404"/>
      <c r="I921" s="404"/>
    </row>
    <row r="922" spans="1:9" ht="14.25" customHeight="1">
      <c r="A922" s="573"/>
      <c r="B922" s="573"/>
      <c r="C922" s="571"/>
      <c r="D922" s="330"/>
      <c r="F922" s="572"/>
      <c r="G922" s="572"/>
      <c r="H922" s="404"/>
      <c r="I922" s="404"/>
    </row>
    <row r="923" spans="1:9" s="515" customFormat="1" ht="14.25" customHeight="1">
      <c r="A923" s="574"/>
      <c r="B923" s="947" t="s">
        <v>136</v>
      </c>
      <c r="C923" s="575"/>
      <c r="D923" s="1681" t="s">
        <v>1952</v>
      </c>
      <c r="E923" s="1681"/>
      <c r="F923" s="1681"/>
      <c r="G923" s="577"/>
      <c r="H923" s="578"/>
      <c r="I923" s="578"/>
    </row>
    <row r="924" spans="1:9" s="515" customFormat="1" ht="14.25" customHeight="1">
      <c r="A924" s="574"/>
      <c r="B924" s="574"/>
      <c r="C924" s="575"/>
      <c r="D924" s="1681"/>
      <c r="E924" s="1681"/>
      <c r="F924" s="1681"/>
      <c r="G924" s="577"/>
      <c r="H924" s="578"/>
      <c r="I924" s="578"/>
    </row>
    <row r="925" spans="1:9" s="515" customFormat="1" ht="14.25" customHeight="1">
      <c r="A925" s="574"/>
      <c r="B925" s="574"/>
      <c r="C925" s="575"/>
      <c r="D925" s="1681"/>
      <c r="E925" s="1681"/>
      <c r="F925" s="1681"/>
      <c r="G925" s="577"/>
      <c r="H925" s="578"/>
      <c r="I925" s="578"/>
    </row>
    <row r="926" spans="1:9" s="515" customFormat="1" ht="14.25" customHeight="1">
      <c r="A926" s="574"/>
      <c r="B926" s="574"/>
      <c r="C926" s="575"/>
      <c r="D926" s="1681"/>
      <c r="E926" s="1681"/>
      <c r="F926" s="1681"/>
      <c r="G926" s="577"/>
      <c r="H926" s="578"/>
      <c r="I926" s="578"/>
    </row>
    <row r="927" spans="1:9" s="515" customFormat="1" ht="14.25" customHeight="1">
      <c r="A927" s="574"/>
      <c r="B927" s="574"/>
      <c r="C927" s="575"/>
      <c r="D927" s="1681"/>
      <c r="E927" s="1681"/>
      <c r="F927" s="1681"/>
      <c r="G927" s="577"/>
      <c r="H927" s="578"/>
      <c r="I927" s="578"/>
    </row>
    <row r="928" spans="1:9" s="515" customFormat="1" ht="14.4">
      <c r="A928" s="574"/>
      <c r="B928" s="574"/>
      <c r="C928" s="575"/>
      <c r="D928" s="1681"/>
      <c r="E928" s="1681"/>
      <c r="F928" s="1681"/>
      <c r="G928" s="577"/>
      <c r="H928" s="578"/>
      <c r="I928" s="578"/>
    </row>
    <row r="929" spans="1:9" s="515" customFormat="1" ht="14.25" customHeight="1">
      <c r="A929" s="574"/>
      <c r="B929" s="574"/>
      <c r="C929" s="575"/>
      <c r="D929" s="1681"/>
      <c r="E929" s="1681"/>
      <c r="F929" s="1681"/>
      <c r="G929" s="577"/>
      <c r="H929" s="578"/>
      <c r="I929" s="578"/>
    </row>
    <row r="930" spans="1:9" s="515" customFormat="1" ht="14.25" customHeight="1">
      <c r="A930" s="574"/>
      <c r="B930" s="574"/>
      <c r="C930" s="575"/>
      <c r="D930" s="1681"/>
      <c r="E930" s="1681"/>
      <c r="F930" s="1681"/>
      <c r="G930" s="577"/>
      <c r="H930" s="578"/>
      <c r="I930" s="578"/>
    </row>
    <row r="931" spans="1:9" s="515" customFormat="1" ht="14.25" customHeight="1">
      <c r="A931" s="574"/>
      <c r="B931" s="574"/>
      <c r="C931" s="575"/>
      <c r="D931" s="1681"/>
      <c r="E931" s="1681"/>
      <c r="F931" s="1681"/>
      <c r="G931" s="577"/>
      <c r="H931" s="578"/>
      <c r="I931" s="578"/>
    </row>
    <row r="932" spans="1:9" ht="14.25" customHeight="1">
      <c r="A932" s="573"/>
      <c r="B932" s="573"/>
      <c r="C932" s="571"/>
      <c r="D932" s="330"/>
      <c r="F932" s="572"/>
      <c r="G932" s="572"/>
      <c r="H932" s="404"/>
      <c r="I932" s="404"/>
    </row>
    <row r="933" spans="1:9" ht="14.25" customHeight="1">
      <c r="A933" s="570"/>
      <c r="B933" s="947" t="s">
        <v>1531</v>
      </c>
      <c r="C933" s="571"/>
      <c r="D933" s="1640" t="s">
        <v>1852</v>
      </c>
      <c r="E933" s="1640"/>
      <c r="F933" s="1640"/>
      <c r="G933" s="572"/>
      <c r="H933" s="404"/>
      <c r="I933" s="404"/>
    </row>
    <row r="934" spans="1:9" ht="14.25" customHeight="1">
      <c r="A934" s="570"/>
      <c r="B934" s="570"/>
      <c r="C934" s="571"/>
      <c r="D934" s="1640"/>
      <c r="E934" s="1640"/>
      <c r="F934" s="1640"/>
      <c r="G934" s="572"/>
      <c r="H934" s="404"/>
      <c r="I934" s="404"/>
    </row>
    <row r="935" spans="1:9" ht="14.25" customHeight="1">
      <c r="A935" s="570"/>
      <c r="B935" s="570"/>
      <c r="C935" s="571"/>
      <c r="D935" s="1640"/>
      <c r="E935" s="1640"/>
      <c r="F935" s="1640"/>
      <c r="G935" s="572"/>
      <c r="H935" s="404"/>
      <c r="I935" s="404"/>
    </row>
    <row r="936" spans="1:9" ht="14.25" customHeight="1">
      <c r="A936" s="570"/>
      <c r="B936" s="570"/>
      <c r="C936" s="571"/>
      <c r="D936" s="1640"/>
      <c r="E936" s="1640"/>
      <c r="F936" s="1640"/>
      <c r="G936" s="572"/>
      <c r="H936" s="404"/>
      <c r="I936" s="404"/>
    </row>
    <row r="937" spans="1:9" ht="14.25" customHeight="1">
      <c r="A937" s="570"/>
      <c r="B937" s="570"/>
      <c r="C937" s="571"/>
      <c r="D937" s="1640"/>
      <c r="E937" s="1640"/>
      <c r="F937" s="1640"/>
      <c r="G937" s="572"/>
      <c r="H937" s="404"/>
      <c r="I937" s="404"/>
    </row>
    <row r="938" spans="1:9" ht="14.25" customHeight="1">
      <c r="A938" s="570"/>
      <c r="B938" s="570"/>
      <c r="C938" s="571"/>
      <c r="D938" s="1640"/>
      <c r="E938" s="1640"/>
      <c r="F938" s="1640"/>
      <c r="G938" s="572"/>
      <c r="H938" s="404"/>
      <c r="I938" s="404"/>
    </row>
    <row r="939" spans="1:9" ht="14.25" customHeight="1">
      <c r="A939" s="570"/>
      <c r="B939" s="570"/>
      <c r="C939" s="571"/>
      <c r="D939" s="1640"/>
      <c r="E939" s="1640"/>
      <c r="F939" s="1640"/>
      <c r="G939" s="572"/>
      <c r="H939" s="404"/>
      <c r="I939" s="404"/>
    </row>
    <row r="940" spans="1:9" ht="14.25" customHeight="1">
      <c r="A940" s="570"/>
      <c r="B940" s="570"/>
      <c r="C940" s="571"/>
      <c r="D940" s="636"/>
      <c r="F940" s="572"/>
      <c r="G940" s="572"/>
      <c r="H940" s="404"/>
      <c r="I940" s="404"/>
    </row>
    <row r="941" spans="1:9" s="705" customFormat="1" ht="14.4">
      <c r="A941" s="570"/>
      <c r="B941" s="947" t="s">
        <v>1531</v>
      </c>
      <c r="C941" s="571"/>
      <c r="D941" s="1681" t="s">
        <v>1853</v>
      </c>
      <c r="E941" s="1681"/>
      <c r="F941" s="1681"/>
      <c r="G941" s="572"/>
      <c r="H941" s="767"/>
    </row>
    <row r="942" spans="1:9" s="705" customFormat="1" ht="14.4">
      <c r="A942" s="570"/>
      <c r="B942" s="570"/>
      <c r="C942" s="571"/>
      <c r="D942" s="1681"/>
      <c r="E942" s="1681"/>
      <c r="F942" s="1681"/>
      <c r="G942" s="572"/>
      <c r="H942" s="767"/>
    </row>
    <row r="943" spans="1:9" s="705" customFormat="1" ht="14.4">
      <c r="A943" s="570"/>
      <c r="B943" s="570"/>
      <c r="C943" s="571"/>
      <c r="D943" s="1681"/>
      <c r="E943" s="1681"/>
      <c r="F943" s="1681"/>
      <c r="G943" s="572"/>
      <c r="H943" s="767"/>
    </row>
    <row r="944" spans="1:9" s="705" customFormat="1" ht="14.4">
      <c r="A944" s="570"/>
      <c r="B944" s="570"/>
      <c r="C944" s="571"/>
      <c r="D944" s="1681"/>
      <c r="E944" s="1681"/>
      <c r="F944" s="1681"/>
      <c r="G944" s="572"/>
      <c r="H944" s="767"/>
    </row>
    <row r="945" spans="1:9" s="705" customFormat="1" ht="14.4">
      <c r="A945" s="570"/>
      <c r="B945" s="570"/>
      <c r="C945" s="571"/>
      <c r="D945" s="330"/>
      <c r="E945" s="329"/>
      <c r="F945" s="572"/>
      <c r="G945" s="572"/>
      <c r="H945" s="767"/>
    </row>
    <row r="946" spans="1:9" ht="14.25" customHeight="1">
      <c r="A946" s="33"/>
      <c r="B946" s="33"/>
      <c r="C946" s="322"/>
      <c r="D946" s="1582" t="s">
        <v>1854</v>
      </c>
      <c r="E946" s="1582"/>
      <c r="F946" s="1582"/>
      <c r="G946" s="572"/>
      <c r="H946" s="404"/>
      <c r="I946" s="404"/>
    </row>
    <row r="947" spans="1:9" ht="14.25" customHeight="1">
      <c r="A947" s="355"/>
      <c r="B947" s="355"/>
      <c r="C947" s="322"/>
      <c r="D947" s="1582"/>
      <c r="E947" s="1582"/>
      <c r="F947" s="1582"/>
      <c r="G947" s="572"/>
      <c r="H947" s="404"/>
      <c r="I947" s="404"/>
    </row>
    <row r="948" spans="1:9" ht="14.25" customHeight="1">
      <c r="A948" s="355"/>
      <c r="B948" s="355"/>
      <c r="C948" s="322"/>
      <c r="D948" s="6"/>
      <c r="E948" s="296"/>
      <c r="F948" s="296"/>
      <c r="G948" s="572"/>
      <c r="H948" s="404"/>
      <c r="I948" s="404"/>
    </row>
    <row r="949" spans="1:9" ht="14.4">
      <c r="A949" s="413"/>
      <c r="B949" s="947" t="s">
        <v>1531</v>
      </c>
      <c r="C949" s="14"/>
      <c r="D949" s="1582" t="s">
        <v>1855</v>
      </c>
      <c r="E949" s="1582"/>
      <c r="F949" s="1582"/>
    </row>
    <row r="950" spans="1:9" ht="13.2">
      <c r="A950" s="140"/>
      <c r="B950" s="140"/>
      <c r="C950" s="14"/>
      <c r="D950" s="1582"/>
      <c r="E950" s="1582"/>
      <c r="F950" s="1582"/>
    </row>
    <row r="951" spans="1:9" ht="14.25" customHeight="1">
      <c r="A951" s="355"/>
      <c r="B951" s="355"/>
      <c r="C951" s="322"/>
      <c r="D951" s="6"/>
      <c r="E951" s="296"/>
      <c r="F951" s="296"/>
      <c r="G951" s="572"/>
      <c r="H951" s="404"/>
      <c r="I951" s="404"/>
    </row>
    <row r="952" spans="1:9" ht="14.25" customHeight="1">
      <c r="A952" s="415"/>
      <c r="B952" s="415"/>
      <c r="C952" s="299"/>
      <c r="D952" s="1645" t="s">
        <v>1844</v>
      </c>
      <c r="E952" s="1645"/>
      <c r="F952" s="1645"/>
      <c r="G952" s="572"/>
      <c r="H952" s="404"/>
      <c r="I952" s="404"/>
    </row>
    <row r="953" spans="1:9" ht="14.25" customHeight="1">
      <c r="A953" s="415"/>
      <c r="B953" s="415"/>
      <c r="C953" s="299"/>
      <c r="D953" s="1014"/>
      <c r="E953" s="282"/>
      <c r="F953" s="296"/>
      <c r="G953" s="572"/>
      <c r="H953" s="404"/>
      <c r="I953" s="404"/>
    </row>
    <row r="954" spans="1:9" ht="14.7" customHeight="1">
      <c r="A954" s="413"/>
      <c r="B954" s="947" t="s">
        <v>136</v>
      </c>
      <c r="C954" s="322"/>
      <c r="D954" s="1597" t="s">
        <v>1843</v>
      </c>
      <c r="E954" s="1597"/>
      <c r="F954" s="1597"/>
      <c r="G954" s="572"/>
      <c r="H954" s="404"/>
      <c r="I954" s="404"/>
    </row>
    <row r="955" spans="1:9" ht="13.2">
      <c r="A955" s="355"/>
      <c r="B955" s="355"/>
      <c r="C955" s="322"/>
      <c r="D955" s="1597"/>
      <c r="E955" s="1597"/>
      <c r="F955" s="1597"/>
      <c r="G955" s="572"/>
      <c r="H955" s="404"/>
      <c r="I955" s="404"/>
    </row>
    <row r="956" spans="1:9" ht="13.2">
      <c r="A956" s="355"/>
      <c r="B956" s="355"/>
      <c r="C956" s="322"/>
      <c r="D956" s="1597"/>
      <c r="E956" s="1597"/>
      <c r="F956" s="1597"/>
      <c r="G956" s="572"/>
      <c r="H956" s="404"/>
      <c r="I956" s="404"/>
    </row>
    <row r="957" spans="1:9" ht="13.2">
      <c r="A957" s="355"/>
      <c r="B957" s="355"/>
      <c r="C957" s="322"/>
      <c r="D957" s="1597"/>
      <c r="E957" s="1597"/>
      <c r="F957" s="1597"/>
      <c r="G957" s="572"/>
      <c r="H957" s="404"/>
      <c r="I957" s="404"/>
    </row>
    <row r="958" spans="1:9" ht="13.2">
      <c r="A958" s="355"/>
      <c r="B958" s="355"/>
      <c r="C958" s="322"/>
      <c r="D958" s="1597"/>
      <c r="E958" s="1597"/>
      <c r="F958" s="1597"/>
      <c r="G958" s="572"/>
      <c r="H958" s="404"/>
      <c r="I958" s="404"/>
    </row>
    <row r="959" spans="1:9" ht="13.2">
      <c r="A959" s="355"/>
      <c r="B959" s="355"/>
      <c r="C959" s="322"/>
      <c r="D959" s="1597"/>
      <c r="E959" s="1597"/>
      <c r="F959" s="1597"/>
      <c r="G959" s="572"/>
      <c r="H959" s="404"/>
      <c r="I959" s="404"/>
    </row>
    <row r="960" spans="1:9" ht="13.2">
      <c r="A960" s="355"/>
      <c r="B960" s="355"/>
      <c r="C960" s="322"/>
      <c r="D960" s="1016"/>
      <c r="E960" s="1016"/>
      <c r="F960" s="1016"/>
      <c r="G960" s="572"/>
      <c r="H960" s="404"/>
      <c r="I960" s="404"/>
    </row>
    <row r="961" spans="1:9" ht="14.7" customHeight="1">
      <c r="A961" s="413"/>
      <c r="B961" s="947" t="s">
        <v>136</v>
      </c>
      <c r="C961" s="322"/>
      <c r="D961" s="1597" t="s">
        <v>1842</v>
      </c>
      <c r="E961" s="1597"/>
      <c r="F961" s="1597"/>
      <c r="G961" s="572"/>
      <c r="H961" s="404"/>
      <c r="I961" s="404"/>
    </row>
    <row r="962" spans="1:9" ht="13.2">
      <c r="A962" s="355"/>
      <c r="B962" s="355"/>
      <c r="C962" s="322"/>
      <c r="D962" s="1597"/>
      <c r="E962" s="1597"/>
      <c r="F962" s="1597"/>
      <c r="G962" s="572"/>
      <c r="H962" s="404"/>
      <c r="I962" s="404"/>
    </row>
    <row r="963" spans="1:9" ht="13.2">
      <c r="A963" s="355"/>
      <c r="B963" s="355"/>
      <c r="C963" s="322"/>
      <c r="D963" s="1597"/>
      <c r="E963" s="1597"/>
      <c r="F963" s="1597"/>
      <c r="G963" s="572"/>
      <c r="H963" s="404"/>
      <c r="I963" s="404"/>
    </row>
    <row r="964" spans="1:9" ht="13.2">
      <c r="A964" s="355"/>
      <c r="B964" s="355"/>
      <c r="C964" s="322"/>
      <c r="D964" s="1597"/>
      <c r="E964" s="1597"/>
      <c r="F964" s="1597"/>
      <c r="G964" s="572"/>
      <c r="H964" s="404"/>
      <c r="I964" s="404"/>
    </row>
    <row r="965" spans="1:9" ht="13.2">
      <c r="A965" s="355"/>
      <c r="B965" s="355"/>
      <c r="C965" s="322"/>
      <c r="D965" s="1597"/>
      <c r="E965" s="1597"/>
      <c r="F965" s="1597"/>
      <c r="G965" s="572"/>
      <c r="H965" s="404"/>
      <c r="I965" s="404"/>
    </row>
    <row r="966" spans="1:9" ht="13.2">
      <c r="A966" s="355"/>
      <c r="B966" s="355"/>
      <c r="C966" s="322"/>
      <c r="D966" s="708"/>
      <c r="E966" s="296"/>
      <c r="F966" s="296"/>
      <c r="G966" s="572"/>
      <c r="H966" s="404"/>
      <c r="I966" s="404"/>
    </row>
    <row r="967" spans="1:9" ht="14.4">
      <c r="A967" s="413"/>
      <c r="B967" s="947" t="s">
        <v>136</v>
      </c>
      <c r="C967" s="322"/>
      <c r="D967" s="1597" t="s">
        <v>1845</v>
      </c>
      <c r="E967" s="1597"/>
      <c r="F967" s="1597"/>
      <c r="G967" s="572"/>
      <c r="H967" s="404"/>
      <c r="I967" s="404"/>
    </row>
    <row r="968" spans="1:9" ht="13.2">
      <c r="A968" s="355"/>
      <c r="B968" s="355"/>
      <c r="C968" s="322"/>
      <c r="D968" s="1597"/>
      <c r="E968" s="1597"/>
      <c r="F968" s="1597"/>
      <c r="G968" s="572"/>
      <c r="H968" s="404"/>
      <c r="I968" s="404"/>
    </row>
    <row r="969" spans="1:9" ht="13.2">
      <c r="A969" s="355"/>
      <c r="B969" s="355"/>
      <c r="C969" s="322"/>
      <c r="D969" s="1597"/>
      <c r="E969" s="1597"/>
      <c r="F969" s="1597"/>
      <c r="G969" s="572"/>
      <c r="H969" s="404"/>
      <c r="I969" s="404"/>
    </row>
    <row r="970" spans="1:9" ht="13.2">
      <c r="A970" s="355"/>
      <c r="B970" s="355"/>
      <c r="C970" s="322"/>
      <c r="D970" s="1597"/>
      <c r="E970" s="1597"/>
      <c r="F970" s="1597"/>
      <c r="G970" s="572"/>
      <c r="H970" s="404"/>
      <c r="I970" s="404"/>
    </row>
    <row r="971" spans="1:9" ht="13.2">
      <c r="A971" s="355"/>
      <c r="B971" s="355"/>
      <c r="C971" s="322"/>
      <c r="D971" s="1597"/>
      <c r="E971" s="1597"/>
      <c r="F971" s="1597"/>
      <c r="G971" s="572"/>
      <c r="H971" s="404"/>
      <c r="I971" s="404"/>
    </row>
    <row r="972" spans="1:9" ht="13.2">
      <c r="A972" s="355"/>
      <c r="B972" s="355"/>
      <c r="C972" s="322"/>
      <c r="D972" s="708"/>
      <c r="E972" s="296"/>
      <c r="F972" s="296"/>
      <c r="G972" s="572"/>
      <c r="H972" s="404"/>
      <c r="I972" s="404"/>
    </row>
    <row r="973" spans="1:9" ht="14.7" customHeight="1">
      <c r="A973" s="413"/>
      <c r="B973" s="947" t="s">
        <v>136</v>
      </c>
      <c r="C973" s="322"/>
      <c r="D973" s="1597" t="s">
        <v>1846</v>
      </c>
      <c r="E973" s="1597"/>
      <c r="F973" s="1597"/>
      <c r="G973" s="572"/>
      <c r="H973" s="404"/>
      <c r="I973" s="404"/>
    </row>
    <row r="974" spans="1:9" ht="13.2">
      <c r="A974" s="355"/>
      <c r="B974" s="355"/>
      <c r="C974" s="322"/>
      <c r="D974" s="1597"/>
      <c r="E974" s="1597"/>
      <c r="F974" s="1597"/>
      <c r="G974" s="572"/>
      <c r="H974" s="404"/>
      <c r="I974" s="404"/>
    </row>
    <row r="975" spans="1:9" ht="13.2">
      <c r="A975" s="355"/>
      <c r="B975" s="355"/>
      <c r="C975" s="322"/>
      <c r="D975" s="1597"/>
      <c r="E975" s="1597"/>
      <c r="F975" s="1597"/>
      <c r="G975" s="572"/>
      <c r="H975" s="404"/>
      <c r="I975" s="404"/>
    </row>
    <row r="976" spans="1:9" ht="13.2">
      <c r="A976" s="355"/>
      <c r="B976" s="355"/>
      <c r="C976" s="322"/>
      <c r="D976" s="1016"/>
      <c r="E976" s="1016"/>
      <c r="F976" s="1016"/>
      <c r="G976" s="572"/>
      <c r="H976" s="404"/>
      <c r="I976" s="404"/>
    </row>
    <row r="977" spans="1:9" ht="14.4">
      <c r="A977" s="413"/>
      <c r="B977" s="947" t="s">
        <v>1531</v>
      </c>
      <c r="C977" s="322"/>
      <c r="D977" s="1597" t="s">
        <v>1847</v>
      </c>
      <c r="E977" s="1597"/>
      <c r="F977" s="1597"/>
      <c r="G977" s="572"/>
      <c r="H977" s="404"/>
      <c r="I977" s="404"/>
    </row>
    <row r="978" spans="1:9" ht="13.2">
      <c r="A978" s="355"/>
      <c r="B978" s="355"/>
      <c r="C978" s="322"/>
      <c r="D978" s="1597"/>
      <c r="E978" s="1597"/>
      <c r="F978" s="1597"/>
      <c r="G978" s="572"/>
      <c r="H978" s="404"/>
      <c r="I978" s="404"/>
    </row>
    <row r="979" spans="1:9" ht="13.2">
      <c r="A979" s="355"/>
      <c r="B979" s="355"/>
      <c r="C979" s="322"/>
      <c r="D979" s="708"/>
      <c r="E979" s="296"/>
      <c r="F979" s="296"/>
      <c r="G979" s="572"/>
      <c r="H979" s="404"/>
      <c r="I979" s="404"/>
    </row>
    <row r="980" spans="1:9" ht="13.2">
      <c r="A980" s="355"/>
      <c r="B980" s="947" t="s">
        <v>136</v>
      </c>
      <c r="C980" s="322"/>
      <c r="D980" s="1582" t="s">
        <v>1848</v>
      </c>
      <c r="E980" s="1582"/>
      <c r="F980" s="1582"/>
      <c r="G980" s="572"/>
      <c r="H980" s="404"/>
      <c r="I980" s="404"/>
    </row>
    <row r="981" spans="1:9" ht="13.2">
      <c r="A981" s="355"/>
      <c r="B981" s="355"/>
      <c r="C981" s="322"/>
      <c r="D981" s="1582"/>
      <c r="E981" s="1582"/>
      <c r="F981" s="1582"/>
      <c r="G981" s="572"/>
      <c r="H981" s="404"/>
      <c r="I981" s="404"/>
    </row>
    <row r="982" spans="1:9" ht="13.2">
      <c r="A982" s="355"/>
      <c r="B982" s="355"/>
      <c r="C982" s="322"/>
      <c r="D982" s="296"/>
      <c r="E982" s="296"/>
      <c r="F982" s="296"/>
      <c r="G982" s="572"/>
      <c r="H982" s="404"/>
      <c r="I982" s="404"/>
    </row>
    <row r="983" spans="1:9" ht="13.2">
      <c r="A983" s="355"/>
      <c r="B983" s="947" t="s">
        <v>136</v>
      </c>
      <c r="C983" s="322"/>
      <c r="D983" s="1682" t="s">
        <v>2000</v>
      </c>
      <c r="E983" s="1666"/>
      <c r="F983" s="1666"/>
      <c r="G983" s="572"/>
      <c r="H983" s="404"/>
      <c r="I983" s="404"/>
    </row>
    <row r="984" spans="1:9" ht="13.2">
      <c r="A984" s="355"/>
      <c r="B984" s="355"/>
      <c r="C984" s="322"/>
      <c r="D984" s="1682"/>
      <c r="E984" s="1666"/>
      <c r="F984" s="1666"/>
      <c r="G984" s="572"/>
      <c r="H984" s="404"/>
      <c r="I984" s="404"/>
    </row>
    <row r="985" spans="1:9" ht="13.2">
      <c r="A985" s="355"/>
      <c r="B985" s="355"/>
      <c r="C985" s="322"/>
      <c r="D985" s="1682"/>
      <c r="E985" s="1666"/>
      <c r="F985" s="1666"/>
      <c r="G985" s="572"/>
      <c r="H985" s="404"/>
      <c r="I985" s="404"/>
    </row>
    <row r="986" spans="1:9" ht="13.2">
      <c r="A986" s="355"/>
      <c r="B986" s="355"/>
      <c r="C986" s="322"/>
      <c r="D986" s="1666"/>
      <c r="E986" s="1666"/>
      <c r="F986" s="1666"/>
      <c r="G986" s="572"/>
      <c r="H986" s="404"/>
      <c r="I986" s="404"/>
    </row>
    <row r="987" spans="1:9" ht="13.2">
      <c r="A987" s="355"/>
      <c r="B987" s="355"/>
      <c r="C987" s="322"/>
      <c r="D987" s="287"/>
      <c r="E987" s="296"/>
      <c r="F987" s="296"/>
      <c r="G987" s="572"/>
      <c r="H987" s="404"/>
      <c r="I987" s="404"/>
    </row>
    <row r="988" spans="1:9" ht="13.2">
      <c r="A988" s="355"/>
      <c r="B988" s="947" t="s">
        <v>136</v>
      </c>
      <c r="C988" s="322"/>
      <c r="D988" s="1584" t="s">
        <v>1236</v>
      </c>
      <c r="E988" s="1584"/>
      <c r="F988" s="1584"/>
      <c r="G988" s="572"/>
      <c r="H988" s="404"/>
      <c r="I988" s="404"/>
    </row>
    <row r="989" spans="1:9" ht="13.2">
      <c r="A989" s="355"/>
      <c r="B989" s="355"/>
      <c r="C989" s="322"/>
      <c r="D989" s="287"/>
      <c r="E989" s="296"/>
      <c r="F989" s="296"/>
      <c r="G989" s="572"/>
      <c r="H989" s="404"/>
      <c r="I989" s="404"/>
    </row>
    <row r="990" spans="1:9" ht="13.2">
      <c r="A990" s="355"/>
      <c r="B990" s="947" t="s">
        <v>136</v>
      </c>
      <c r="C990" s="322"/>
      <c r="D990" s="1584" t="s">
        <v>1237</v>
      </c>
      <c r="E990" s="1584"/>
      <c r="F990" s="1584"/>
      <c r="G990" s="572"/>
      <c r="H990" s="404"/>
      <c r="I990" s="404"/>
    </row>
    <row r="991" spans="1:9" ht="12.75" customHeight="1">
      <c r="A991" s="355"/>
      <c r="B991" s="355"/>
      <c r="C991" s="322"/>
      <c r="D991" s="296"/>
      <c r="E991" s="296"/>
      <c r="F991" s="296"/>
      <c r="G991" s="572"/>
      <c r="H991" s="404"/>
      <c r="I991" s="404"/>
    </row>
    <row r="992" spans="1:9" ht="13.2">
      <c r="A992" s="355"/>
      <c r="B992" s="14"/>
      <c r="C992" s="322"/>
      <c r="D992" s="1589" t="s">
        <v>1656</v>
      </c>
      <c r="E992" s="1589"/>
      <c r="F992" s="1589"/>
      <c r="G992" s="572"/>
      <c r="H992" s="404"/>
      <c r="I992" s="404"/>
    </row>
    <row r="993" spans="1:9" ht="13.2">
      <c r="A993" s="355"/>
      <c r="B993" s="14"/>
      <c r="C993" s="322"/>
      <c r="D993" s="1014"/>
      <c r="E993" s="296"/>
      <c r="F993" s="296"/>
      <c r="G993" s="572"/>
      <c r="H993" s="404"/>
      <c r="I993" s="404"/>
    </row>
    <row r="994" spans="1:9" ht="14.4">
      <c r="A994" s="413"/>
      <c r="B994" s="947" t="s">
        <v>1531</v>
      </c>
      <c r="C994" s="322"/>
      <c r="D994" s="1626" t="s">
        <v>1849</v>
      </c>
      <c r="E994" s="1626"/>
      <c r="F994" s="1626"/>
      <c r="G994" s="572"/>
      <c r="H994" s="404"/>
      <c r="I994" s="404"/>
    </row>
    <row r="995" spans="1:9" ht="13.2">
      <c r="A995" s="355"/>
      <c r="B995" s="355"/>
      <c r="C995" s="322"/>
      <c r="D995" s="1626"/>
      <c r="E995" s="1626"/>
      <c r="F995" s="1626"/>
      <c r="G995" s="572"/>
      <c r="H995" s="404"/>
      <c r="I995" s="404"/>
    </row>
    <row r="996" spans="1:9" ht="13.2">
      <c r="A996" s="355"/>
      <c r="B996" s="355"/>
      <c r="C996" s="322"/>
      <c r="D996" s="1626"/>
      <c r="E996" s="1626"/>
      <c r="F996" s="1626"/>
      <c r="G996" s="572"/>
      <c r="H996" s="404"/>
      <c r="I996" s="404"/>
    </row>
    <row r="997" spans="1:9" ht="13.2">
      <c r="A997" s="355"/>
      <c r="B997" s="355"/>
      <c r="C997" s="322"/>
      <c r="D997" s="1626"/>
      <c r="E997" s="1626"/>
      <c r="F997" s="1626"/>
      <c r="G997" s="572"/>
      <c r="H997" s="404"/>
      <c r="I997" s="404"/>
    </row>
    <row r="998" spans="1:9" ht="13.2">
      <c r="A998" s="355"/>
      <c r="B998" s="355"/>
      <c r="C998" s="322"/>
      <c r="D998" s="1626"/>
      <c r="E998" s="1626"/>
      <c r="F998" s="1626"/>
      <c r="G998" s="572"/>
      <c r="H998" s="404"/>
      <c r="I998" s="404"/>
    </row>
    <row r="999" spans="1:9" ht="13.2">
      <c r="A999" s="355"/>
      <c r="B999" s="355"/>
      <c r="C999" s="322"/>
      <c r="E999" s="282"/>
      <c r="F999" s="282"/>
      <c r="G999" s="572"/>
      <c r="H999" s="404"/>
      <c r="I999" s="404"/>
    </row>
    <row r="1000" spans="1:9" ht="14.4">
      <c r="A1000" s="413"/>
      <c r="B1000" s="947" t="s">
        <v>136</v>
      </c>
      <c r="C1000" s="322"/>
      <c r="D1000" s="1626" t="s">
        <v>1850</v>
      </c>
      <c r="E1000" s="1626"/>
      <c r="F1000" s="1626"/>
      <c r="G1000" s="572"/>
      <c r="H1000" s="404"/>
      <c r="I1000" s="404"/>
    </row>
    <row r="1001" spans="1:9" ht="13.2">
      <c r="A1001" s="355"/>
      <c r="B1001" s="355"/>
      <c r="C1001" s="322"/>
      <c r="D1001" s="1626"/>
      <c r="E1001" s="1626"/>
      <c r="F1001" s="1626"/>
      <c r="G1001" s="572"/>
      <c r="H1001" s="404"/>
      <c r="I1001" s="404"/>
    </row>
    <row r="1002" spans="1:9" ht="13.2">
      <c r="A1002" s="355"/>
      <c r="B1002" s="355"/>
      <c r="C1002" s="322"/>
      <c r="D1002" s="1626"/>
      <c r="E1002" s="1626"/>
      <c r="F1002" s="1626"/>
      <c r="G1002" s="572"/>
      <c r="H1002" s="404"/>
      <c r="I1002" s="404"/>
    </row>
    <row r="1003" spans="1:9" ht="13.2">
      <c r="A1003" s="355"/>
      <c r="B1003" s="355"/>
      <c r="C1003" s="322"/>
      <c r="D1003" s="1626"/>
      <c r="E1003" s="1626"/>
      <c r="F1003" s="1626"/>
      <c r="G1003" s="572"/>
      <c r="H1003" s="404"/>
      <c r="I1003" s="404"/>
    </row>
    <row r="1004" spans="1:9" ht="13.2">
      <c r="A1004" s="355"/>
      <c r="B1004" s="355"/>
      <c r="C1004" s="322"/>
      <c r="D1004" s="1626"/>
      <c r="E1004" s="1626"/>
      <c r="F1004" s="1626"/>
      <c r="G1004" s="572"/>
      <c r="H1004" s="404"/>
      <c r="I1004" s="404"/>
    </row>
    <row r="1005" spans="1:9" ht="13.2">
      <c r="A1005" s="355"/>
      <c r="B1005" s="355"/>
      <c r="C1005" s="322"/>
      <c r="D1005" s="296"/>
      <c r="E1005" s="296"/>
      <c r="F1005" s="296"/>
      <c r="G1005" s="572"/>
      <c r="H1005" s="404"/>
      <c r="I1005" s="404"/>
    </row>
    <row r="1006" spans="1:9" ht="13.2">
      <c r="A1006" s="355"/>
      <c r="B1006" s="355"/>
      <c r="C1006" s="322"/>
      <c r="D1006" s="1589" t="s">
        <v>1657</v>
      </c>
      <c r="E1006" s="1589"/>
      <c r="F1006" s="1589"/>
      <c r="G1006" s="572"/>
      <c r="H1006" s="404"/>
      <c r="I1006" s="404"/>
    </row>
    <row r="1007" spans="1:9" ht="13.2">
      <c r="A1007" s="355"/>
      <c r="B1007" s="355"/>
      <c r="C1007" s="322"/>
      <c r="D1007" s="1014"/>
      <c r="E1007" s="296"/>
      <c r="F1007" s="296"/>
      <c r="G1007" s="572"/>
      <c r="H1007" s="404"/>
      <c r="I1007" s="404"/>
    </row>
    <row r="1008" spans="1:9" ht="14.4">
      <c r="A1008" s="413"/>
      <c r="B1008" s="947" t="s">
        <v>136</v>
      </c>
      <c r="C1008" s="322"/>
      <c r="D1008" s="1626" t="s">
        <v>1856</v>
      </c>
      <c r="E1008" s="1626"/>
      <c r="F1008" s="1626"/>
      <c r="G1008" s="572"/>
      <c r="H1008" s="404"/>
      <c r="I1008" s="404"/>
    </row>
    <row r="1009" spans="1:9" ht="13.2">
      <c r="A1009" s="355"/>
      <c r="B1009" s="355"/>
      <c r="C1009" s="322"/>
      <c r="D1009" s="1626"/>
      <c r="E1009" s="1626"/>
      <c r="F1009" s="1626"/>
      <c r="G1009" s="572"/>
      <c r="H1009" s="404"/>
      <c r="I1009" s="404"/>
    </row>
    <row r="1010" spans="1:9" ht="13.2">
      <c r="A1010" s="355"/>
      <c r="B1010" s="355"/>
      <c r="C1010" s="322"/>
      <c r="D1010" s="1626"/>
      <c r="E1010" s="1626"/>
      <c r="F1010" s="1626"/>
      <c r="G1010" s="572"/>
      <c r="H1010" s="404"/>
      <c r="I1010" s="404"/>
    </row>
    <row r="1011" spans="1:9" ht="13.2">
      <c r="A1011" s="355"/>
      <c r="B1011" s="355"/>
      <c r="C1011" s="322"/>
      <c r="E1011" s="282"/>
      <c r="F1011" s="282"/>
      <c r="G1011" s="572"/>
      <c r="H1011" s="404"/>
      <c r="I1011" s="404"/>
    </row>
    <row r="1012" spans="1:9" ht="14.4">
      <c r="A1012" s="413"/>
      <c r="B1012" s="947" t="s">
        <v>136</v>
      </c>
      <c r="C1012" s="322"/>
      <c r="D1012" s="1626" t="s">
        <v>1857</v>
      </c>
      <c r="E1012" s="1626"/>
      <c r="F1012" s="1626"/>
      <c r="G1012" s="572"/>
      <c r="H1012" s="404"/>
      <c r="I1012" s="404"/>
    </row>
    <row r="1013" spans="1:9" ht="13.2">
      <c r="A1013" s="355"/>
      <c r="B1013" s="355"/>
      <c r="C1013" s="322"/>
      <c r="D1013" s="1626"/>
      <c r="E1013" s="1626"/>
      <c r="F1013" s="1626"/>
      <c r="G1013" s="572"/>
      <c r="H1013" s="404"/>
      <c r="I1013" s="404"/>
    </row>
    <row r="1014" spans="1:9" ht="13.2">
      <c r="A1014" s="355"/>
      <c r="B1014" s="355"/>
      <c r="C1014" s="322"/>
      <c r="D1014" s="1626"/>
      <c r="E1014" s="1626"/>
      <c r="F1014" s="1626"/>
      <c r="G1014" s="572"/>
      <c r="H1014" s="404"/>
      <c r="I1014" s="404"/>
    </row>
    <row r="1015" spans="1:9" ht="13.2">
      <c r="A1015" s="355"/>
      <c r="B1015" s="355"/>
      <c r="C1015" s="322"/>
      <c r="D1015" s="287"/>
      <c r="E1015" s="296"/>
      <c r="F1015" s="296"/>
      <c r="G1015" s="572"/>
      <c r="H1015" s="404"/>
      <c r="I1015" s="404"/>
    </row>
    <row r="1016" spans="1:9" ht="13.2">
      <c r="A1016" s="355"/>
      <c r="B1016" s="355"/>
      <c r="C1016" s="322"/>
      <c r="D1016" s="1589" t="s">
        <v>1658</v>
      </c>
      <c r="E1016" s="1589"/>
      <c r="F1016" s="1589"/>
      <c r="G1016" s="572"/>
      <c r="H1016" s="404"/>
      <c r="I1016" s="404"/>
    </row>
    <row r="1017" spans="1:9" ht="13.2">
      <c r="A1017" s="355"/>
      <c r="B1017" s="355"/>
      <c r="C1017" s="322"/>
      <c r="D1017" s="1014"/>
      <c r="E1017" s="296"/>
      <c r="F1017" s="296"/>
      <c r="G1017" s="572"/>
      <c r="H1017" s="404"/>
      <c r="I1017" s="404"/>
    </row>
    <row r="1018" spans="1:9" ht="14.25" customHeight="1">
      <c r="A1018" s="413"/>
      <c r="B1018" s="947" t="s">
        <v>136</v>
      </c>
      <c r="C1018" s="322"/>
      <c r="D1018" s="1630" t="s">
        <v>1859</v>
      </c>
      <c r="E1018" s="1630"/>
      <c r="F1018" s="1630"/>
      <c r="G1018" s="477"/>
      <c r="H1018" s="480"/>
      <c r="I1018" s="480"/>
    </row>
    <row r="1019" spans="1:9" ht="13.2">
      <c r="A1019" s="355"/>
      <c r="B1019" s="355"/>
      <c r="C1019" s="322"/>
      <c r="D1019" s="1630"/>
      <c r="E1019" s="1630"/>
      <c r="F1019" s="1630"/>
      <c r="G1019" s="477"/>
      <c r="H1019" s="480"/>
      <c r="I1019" s="480"/>
    </row>
    <row r="1020" spans="1:9" ht="13.2">
      <c r="A1020" s="355"/>
      <c r="B1020" s="355"/>
      <c r="C1020" s="322"/>
      <c r="D1020" s="1630"/>
      <c r="E1020" s="1630"/>
      <c r="F1020" s="1630"/>
      <c r="G1020" s="477"/>
      <c r="H1020" s="480"/>
      <c r="I1020" s="480"/>
    </row>
    <row r="1021" spans="1:9" ht="12" customHeight="1">
      <c r="A1021" s="355"/>
      <c r="B1021" s="355"/>
      <c r="C1021" s="322"/>
      <c r="D1021" s="480"/>
      <c r="E1021" s="480"/>
      <c r="F1021" s="480"/>
      <c r="G1021" s="480"/>
      <c r="H1021" s="480"/>
      <c r="I1021" s="480"/>
    </row>
    <row r="1022" spans="1:9" ht="12.75" customHeight="1">
      <c r="A1022" s="355"/>
      <c r="B1022" s="947" t="s">
        <v>1531</v>
      </c>
      <c r="C1022" s="322"/>
      <c r="D1022" s="1630" t="s">
        <v>1858</v>
      </c>
      <c r="E1022" s="1630"/>
      <c r="F1022" s="1630"/>
      <c r="G1022" s="480"/>
      <c r="H1022" s="404"/>
      <c r="I1022" s="404"/>
    </row>
    <row r="1023" spans="1:9" ht="13.2">
      <c r="A1023" s="355"/>
      <c r="B1023" s="355"/>
      <c r="C1023" s="322"/>
      <c r="D1023" s="1630"/>
      <c r="E1023" s="1630"/>
      <c r="F1023" s="1630"/>
      <c r="G1023" s="480"/>
      <c r="H1023" s="404"/>
      <c r="I1023" s="404"/>
    </row>
    <row r="1024" spans="1:9" ht="13.2">
      <c r="A1024" s="355"/>
      <c r="B1024" s="355"/>
      <c r="C1024" s="322"/>
      <c r="D1024" s="1630"/>
      <c r="E1024" s="1630"/>
      <c r="F1024" s="1630"/>
      <c r="G1024" s="480"/>
      <c r="H1024" s="404"/>
      <c r="I1024" s="404"/>
    </row>
    <row r="1025" spans="1:9" ht="12" customHeight="1">
      <c r="A1025" s="355"/>
      <c r="B1025" s="355"/>
      <c r="C1025" s="322"/>
      <c r="D1025" s="287"/>
      <c r="E1025" s="296"/>
      <c r="F1025" s="296"/>
      <c r="G1025" s="572"/>
      <c r="H1025" s="404"/>
      <c r="I1025" s="404"/>
    </row>
    <row r="1026" spans="1:9" ht="12.75" customHeight="1">
      <c r="A1026" s="355"/>
      <c r="B1026" s="947" t="s">
        <v>136</v>
      </c>
      <c r="C1026" s="322"/>
      <c r="D1026" s="1684" t="s">
        <v>1860</v>
      </c>
      <c r="E1026" s="1684"/>
      <c r="F1026" s="1684"/>
      <c r="G1026" s="564"/>
      <c r="H1026" s="404"/>
      <c r="I1026" s="404"/>
    </row>
    <row r="1027" spans="1:9" ht="13.2">
      <c r="A1027" s="355"/>
      <c r="B1027" s="355"/>
      <c r="C1027" s="322"/>
      <c r="D1027" s="1684"/>
      <c r="E1027" s="1684"/>
      <c r="F1027" s="1684"/>
      <c r="G1027" s="564"/>
      <c r="H1027" s="404"/>
      <c r="I1027" s="404"/>
    </row>
    <row r="1028" spans="1:9" ht="13.2">
      <c r="A1028" s="355"/>
      <c r="B1028" s="355"/>
      <c r="C1028" s="322"/>
      <c r="D1028" s="1684"/>
      <c r="E1028" s="1684"/>
      <c r="F1028" s="1684"/>
      <c r="G1028" s="564"/>
      <c r="H1028" s="404"/>
      <c r="I1028" s="404"/>
    </row>
    <row r="1029" spans="1:9" ht="12" customHeight="1">
      <c r="A1029" s="355"/>
      <c r="B1029" s="355"/>
      <c r="C1029" s="322"/>
      <c r="D1029" s="296"/>
      <c r="E1029" s="296"/>
      <c r="F1029" s="296"/>
      <c r="G1029" s="572"/>
      <c r="H1029" s="404"/>
      <c r="I1029" s="404"/>
    </row>
    <row r="1030" spans="1:9" ht="12.75" customHeight="1">
      <c r="A1030" s="355"/>
      <c r="B1030" s="947" t="s">
        <v>136</v>
      </c>
      <c r="C1030" s="322"/>
      <c r="D1030" s="1630" t="s">
        <v>1861</v>
      </c>
      <c r="E1030" s="1630"/>
      <c r="F1030" s="1630"/>
      <c r="G1030" s="564"/>
      <c r="H1030" s="564"/>
      <c r="I1030" s="564"/>
    </row>
    <row r="1031" spans="1:9" ht="13.2">
      <c r="A1031" s="355"/>
      <c r="B1031" s="355"/>
      <c r="C1031" s="322"/>
      <c r="D1031" s="1630"/>
      <c r="E1031" s="1630"/>
      <c r="F1031" s="1630"/>
      <c r="G1031" s="564"/>
      <c r="H1031" s="564"/>
      <c r="I1031" s="564"/>
    </row>
    <row r="1032" spans="1:9" ht="13.2">
      <c r="A1032" s="355"/>
      <c r="B1032" s="355"/>
      <c r="C1032" s="322"/>
      <c r="D1032" s="1630"/>
      <c r="E1032" s="1630"/>
      <c r="F1032" s="1630"/>
      <c r="G1032" s="564"/>
      <c r="H1032" s="564"/>
      <c r="I1032" s="564"/>
    </row>
    <row r="1033" spans="1:9" ht="14.4">
      <c r="A1033" s="413"/>
      <c r="B1033" s="413"/>
      <c r="C1033" s="322"/>
      <c r="D1033" s="287"/>
      <c r="E1033" s="296"/>
      <c r="F1033" s="296"/>
      <c r="G1033" s="572"/>
      <c r="H1033" s="404"/>
      <c r="I1033" s="404"/>
    </row>
    <row r="1034" spans="1:9" ht="12.75" customHeight="1">
      <c r="A1034" s="355"/>
      <c r="B1034" s="947" t="s">
        <v>136</v>
      </c>
      <c r="C1034" s="322"/>
      <c r="D1034" s="1630" t="s">
        <v>1862</v>
      </c>
      <c r="E1034" s="1630"/>
      <c r="F1034" s="1630"/>
      <c r="G1034" s="564"/>
      <c r="H1034" s="564"/>
      <c r="I1034" s="564"/>
    </row>
    <row r="1035" spans="1:9" ht="13.2">
      <c r="A1035" s="355"/>
      <c r="B1035" s="355"/>
      <c r="C1035" s="322"/>
      <c r="D1035" s="1630"/>
      <c r="E1035" s="1630"/>
      <c r="F1035" s="1630"/>
      <c r="G1035" s="564"/>
      <c r="H1035" s="564"/>
      <c r="I1035" s="564"/>
    </row>
    <row r="1036" spans="1:9" ht="13.2">
      <c r="A1036" s="355"/>
      <c r="B1036" s="355"/>
      <c r="C1036" s="322"/>
      <c r="D1036" s="1630"/>
      <c r="E1036" s="1630"/>
      <c r="F1036" s="1630"/>
      <c r="G1036" s="564"/>
      <c r="H1036" s="564"/>
      <c r="I1036" s="564"/>
    </row>
    <row r="1037" spans="1:9" ht="13.2">
      <c r="A1037" s="355"/>
      <c r="B1037" s="355"/>
      <c r="C1037" s="322"/>
      <c r="D1037" s="287"/>
      <c r="E1037" s="296"/>
      <c r="F1037" s="296"/>
      <c r="G1037" s="572"/>
      <c r="H1037" s="404"/>
      <c r="I1037" s="404"/>
    </row>
    <row r="1038" spans="1:9" ht="12.75" customHeight="1">
      <c r="A1038" s="355"/>
      <c r="B1038" s="947" t="s">
        <v>136</v>
      </c>
      <c r="C1038" s="322"/>
      <c r="D1038" s="1630" t="s">
        <v>1659</v>
      </c>
      <c r="E1038" s="1630"/>
      <c r="F1038" s="1630"/>
      <c r="G1038" s="477"/>
      <c r="H1038" s="404"/>
      <c r="I1038" s="404"/>
    </row>
    <row r="1039" spans="1:9" ht="13.2">
      <c r="A1039" s="355"/>
      <c r="B1039" s="355"/>
      <c r="C1039" s="322"/>
      <c r="D1039" s="1630"/>
      <c r="E1039" s="1630"/>
      <c r="F1039" s="1630"/>
      <c r="G1039" s="477"/>
      <c r="H1039" s="404"/>
      <c r="I1039" s="404"/>
    </row>
    <row r="1040" spans="1:9" ht="13.2">
      <c r="A1040" s="355"/>
      <c r="B1040" s="355"/>
      <c r="C1040" s="322"/>
      <c r="D1040" s="1630"/>
      <c r="E1040" s="1630"/>
      <c r="F1040" s="1630"/>
      <c r="G1040" s="477"/>
      <c r="H1040" s="404"/>
      <c r="I1040" s="404"/>
    </row>
    <row r="1041" spans="1:9" ht="13.2">
      <c r="A1041" s="355"/>
      <c r="B1041" s="355"/>
      <c r="C1041" s="322"/>
      <c r="D1041" s="477"/>
      <c r="E1041" s="477"/>
      <c r="F1041" s="477"/>
      <c r="G1041" s="477"/>
      <c r="H1041" s="404"/>
      <c r="I1041" s="404"/>
    </row>
    <row r="1042" spans="1:9" ht="12.75" customHeight="1">
      <c r="A1042" s="355"/>
      <c r="B1042" s="947" t="s">
        <v>136</v>
      </c>
      <c r="C1042" s="322"/>
      <c r="D1042" s="1630" t="s">
        <v>1660</v>
      </c>
      <c r="E1042" s="1630"/>
      <c r="F1042" s="1630"/>
      <c r="G1042" s="477"/>
      <c r="H1042" s="404"/>
      <c r="I1042" s="404"/>
    </row>
    <row r="1043" spans="1:9" ht="13.2">
      <c r="A1043" s="355"/>
      <c r="B1043" s="355"/>
      <c r="C1043" s="322"/>
      <c r="D1043" s="1630"/>
      <c r="E1043" s="1630"/>
      <c r="F1043" s="1630"/>
      <c r="G1043" s="477"/>
      <c r="H1043" s="404"/>
      <c r="I1043" s="404"/>
    </row>
    <row r="1044" spans="1:9" ht="13.2">
      <c r="A1044" s="355"/>
      <c r="B1044" s="355"/>
      <c r="C1044" s="322"/>
      <c r="D1044" s="1630"/>
      <c r="E1044" s="1630"/>
      <c r="F1044" s="1630"/>
      <c r="G1044" s="477"/>
      <c r="H1044" s="404"/>
      <c r="I1044" s="404"/>
    </row>
    <row r="1045" spans="1:9" ht="13.2">
      <c r="A1045" s="355"/>
      <c r="B1045" s="355"/>
      <c r="C1045" s="322"/>
      <c r="D1045" s="483"/>
      <c r="E1045" s="483"/>
      <c r="F1045" s="483"/>
      <c r="G1045" s="510"/>
      <c r="H1045" s="404"/>
      <c r="I1045" s="404"/>
    </row>
    <row r="1046" spans="1:9" ht="12.75" customHeight="1">
      <c r="A1046" s="579"/>
      <c r="B1046" s="947" t="s">
        <v>1531</v>
      </c>
      <c r="C1046" s="405"/>
      <c r="D1046" s="1631" t="s">
        <v>1247</v>
      </c>
      <c r="E1046" s="1631"/>
      <c r="F1046" s="1631"/>
      <c r="G1046" s="945"/>
      <c r="H1046" s="404"/>
      <c r="I1046" s="404"/>
    </row>
    <row r="1047" spans="1:9" ht="13.2">
      <c r="A1047" s="579"/>
      <c r="B1047" s="579"/>
      <c r="C1047" s="405"/>
      <c r="D1047" s="1631"/>
      <c r="E1047" s="1631"/>
      <c r="F1047" s="1631"/>
      <c r="G1047" s="945"/>
      <c r="H1047" s="404"/>
      <c r="I1047" s="404"/>
    </row>
    <row r="1048" spans="1:9" ht="13.2">
      <c r="A1048" s="579"/>
      <c r="B1048" s="579"/>
      <c r="C1048" s="405"/>
      <c r="D1048" s="1631"/>
      <c r="E1048" s="1631"/>
      <c r="F1048" s="1631"/>
      <c r="G1048" s="945"/>
      <c r="H1048" s="404"/>
      <c r="I1048" s="404"/>
    </row>
    <row r="1049" spans="1:9" ht="13.2">
      <c r="A1049" s="579"/>
      <c r="B1049" s="579"/>
      <c r="C1049" s="405"/>
      <c r="D1049" s="1631"/>
      <c r="E1049" s="1631"/>
      <c r="F1049" s="1631"/>
      <c r="G1049" s="945"/>
      <c r="H1049" s="404"/>
      <c r="I1049" s="404"/>
    </row>
    <row r="1050" spans="1:9" ht="13.2">
      <c r="A1050" s="579"/>
      <c r="B1050" s="579"/>
      <c r="C1050" s="405"/>
      <c r="D1050" s="1631"/>
      <c r="E1050" s="1631"/>
      <c r="F1050" s="1631"/>
      <c r="G1050" s="945"/>
      <c r="H1050" s="404"/>
      <c r="I1050" s="404"/>
    </row>
    <row r="1051" spans="1:9" ht="13.2">
      <c r="A1051" s="579"/>
      <c r="B1051" s="579"/>
      <c r="C1051" s="405"/>
      <c r="D1051" s="1631"/>
      <c r="E1051" s="1631"/>
      <c r="F1051" s="1631"/>
      <c r="G1051" s="945"/>
      <c r="H1051" s="404"/>
      <c r="I1051" s="404"/>
    </row>
    <row r="1052" spans="1:9" ht="13.2">
      <c r="A1052" s="579"/>
      <c r="B1052" s="579"/>
      <c r="C1052" s="405"/>
      <c r="D1052" s="1631"/>
      <c r="E1052" s="1631"/>
      <c r="F1052" s="1631"/>
      <c r="G1052" s="945"/>
      <c r="H1052" s="404"/>
      <c r="I1052" s="404"/>
    </row>
    <row r="1053" spans="1:9" ht="13.2">
      <c r="A1053" s="579"/>
      <c r="B1053" s="579"/>
      <c r="C1053" s="405"/>
      <c r="D1053" s="1631"/>
      <c r="E1053" s="1631"/>
      <c r="F1053" s="1631"/>
      <c r="G1053" s="945"/>
      <c r="H1053" s="404"/>
      <c r="I1053" s="404"/>
    </row>
    <row r="1054" spans="1:9" ht="13.2">
      <c r="A1054" s="579"/>
      <c r="B1054" s="579"/>
      <c r="C1054" s="405"/>
      <c r="D1054" s="1631"/>
      <c r="E1054" s="1631"/>
      <c r="F1054" s="1631"/>
      <c r="G1054" s="945"/>
      <c r="H1054" s="404"/>
      <c r="I1054" s="404"/>
    </row>
    <row r="1055" spans="1:9" ht="13.2">
      <c r="A1055" s="579"/>
      <c r="B1055" s="579"/>
      <c r="C1055" s="405"/>
      <c r="D1055" s="1631"/>
      <c r="E1055" s="1631"/>
      <c r="F1055" s="1631"/>
      <c r="G1055" s="945"/>
      <c r="H1055" s="404"/>
      <c r="I1055" s="404"/>
    </row>
    <row r="1056" spans="1:9" ht="27.45" customHeight="1">
      <c r="A1056" s="579"/>
      <c r="B1056" s="579"/>
      <c r="C1056" s="405"/>
      <c r="D1056" s="1631"/>
      <c r="E1056" s="1631"/>
      <c r="F1056" s="1631"/>
      <c r="G1056" s="945"/>
      <c r="H1056" s="404"/>
      <c r="I1056" s="404"/>
    </row>
    <row r="1057" spans="1:9" ht="13.2">
      <c r="A1057" s="579"/>
      <c r="B1057" s="579"/>
      <c r="C1057" s="405"/>
      <c r="D1057" s="662"/>
      <c r="E1057" s="662"/>
      <c r="F1057" s="662"/>
      <c r="G1057" s="662"/>
      <c r="H1057" s="404"/>
      <c r="I1057" s="404"/>
    </row>
    <row r="1058" spans="1:9" ht="12.75" customHeight="1">
      <c r="A1058" s="355"/>
      <c r="B1058" s="355"/>
      <c r="C1058" s="322"/>
      <c r="D1058" s="1589" t="s">
        <v>1661</v>
      </c>
      <c r="E1058" s="1589"/>
      <c r="F1058" s="1589"/>
      <c r="G1058" s="662"/>
      <c r="H1058" s="404"/>
      <c r="I1058" s="404"/>
    </row>
    <row r="1059" spans="1:9" ht="12.75" customHeight="1">
      <c r="A1059" s="355"/>
      <c r="B1059" s="355"/>
      <c r="C1059" s="322"/>
      <c r="D1059" s="1014"/>
      <c r="E1059" s="1011"/>
      <c r="F1059" s="1011"/>
      <c r="G1059" s="662"/>
      <c r="H1059" s="404"/>
      <c r="I1059" s="404"/>
    </row>
    <row r="1060" spans="1:9" ht="14.4">
      <c r="A1060" s="413"/>
      <c r="B1060" s="947" t="s">
        <v>136</v>
      </c>
      <c r="C1060" s="322"/>
      <c r="D1060" s="1582" t="s">
        <v>1863</v>
      </c>
      <c r="E1060" s="1582"/>
      <c r="F1060" s="1582"/>
      <c r="G1060" s="572"/>
      <c r="H1060" s="404"/>
      <c r="I1060" s="404"/>
    </row>
    <row r="1061" spans="1:9" ht="13.2">
      <c r="A1061" s="355"/>
      <c r="B1061" s="355"/>
      <c r="C1061" s="322"/>
      <c r="D1061" s="1582"/>
      <c r="E1061" s="1582"/>
      <c r="F1061" s="1582"/>
      <c r="G1061" s="572"/>
      <c r="H1061" s="404"/>
      <c r="I1061" s="404"/>
    </row>
    <row r="1062" spans="1:9" ht="13.2">
      <c r="A1062" s="355"/>
      <c r="B1062" s="355"/>
      <c r="C1062" s="322"/>
      <c r="D1062" s="1582"/>
      <c r="E1062" s="1582"/>
      <c r="F1062" s="1582"/>
      <c r="G1062" s="572"/>
      <c r="H1062" s="404"/>
      <c r="I1062" s="404"/>
    </row>
    <row r="1063" spans="1:9" ht="13.2">
      <c r="A1063" s="355"/>
      <c r="B1063" s="355"/>
      <c r="C1063" s="322"/>
      <c r="D1063" s="1582"/>
      <c r="E1063" s="1582"/>
      <c r="F1063" s="1582"/>
      <c r="G1063" s="572"/>
      <c r="H1063" s="404"/>
      <c r="I1063" s="404"/>
    </row>
    <row r="1064" spans="1:9" ht="13.2">
      <c r="A1064" s="355"/>
      <c r="B1064" s="355"/>
      <c r="C1064" s="322"/>
      <c r="D1064" s="296"/>
      <c r="E1064" s="296"/>
      <c r="F1064" s="296"/>
      <c r="G1064" s="572"/>
      <c r="H1064" s="404"/>
      <c r="I1064" s="404"/>
    </row>
    <row r="1065" spans="1:9" ht="14.4">
      <c r="A1065" s="413"/>
      <c r="B1065" s="947" t="s">
        <v>136</v>
      </c>
      <c r="C1065" s="322"/>
      <c r="D1065" s="1582" t="s">
        <v>1864</v>
      </c>
      <c r="E1065" s="1582"/>
      <c r="F1065" s="1582"/>
      <c r="G1065" s="572"/>
      <c r="H1065" s="404"/>
      <c r="I1065" s="404"/>
    </row>
    <row r="1066" spans="1:9" ht="13.2">
      <c r="A1066" s="355"/>
      <c r="B1066" s="355"/>
      <c r="C1066" s="322"/>
      <c r="D1066" s="1582"/>
      <c r="E1066" s="1582"/>
      <c r="F1066" s="1582"/>
      <c r="G1066" s="572"/>
      <c r="H1066" s="404"/>
      <c r="I1066" s="404"/>
    </row>
    <row r="1067" spans="1:9" ht="13.2">
      <c r="A1067" s="355"/>
      <c r="B1067" s="355"/>
      <c r="C1067" s="322"/>
      <c r="D1067" s="1582"/>
      <c r="E1067" s="1582"/>
      <c r="F1067" s="1582"/>
      <c r="G1067" s="572"/>
      <c r="H1067" s="404"/>
      <c r="I1067" s="404"/>
    </row>
    <row r="1068" spans="1:9" ht="13.2">
      <c r="A1068" s="355"/>
      <c r="B1068" s="355"/>
      <c r="C1068" s="322"/>
      <c r="D1068" s="1582"/>
      <c r="E1068" s="1582"/>
      <c r="F1068" s="1582"/>
      <c r="G1068" s="572"/>
      <c r="H1068" s="404"/>
      <c r="I1068" s="404"/>
    </row>
    <row r="1069" spans="1:9" ht="13.2">
      <c r="A1069" s="355"/>
      <c r="B1069" s="355"/>
      <c r="C1069" s="322"/>
      <c r="D1069" s="296"/>
      <c r="E1069" s="296"/>
      <c r="F1069" s="296"/>
      <c r="G1069" s="572"/>
    </row>
    <row r="1070" spans="1:9" ht="13.2">
      <c r="A1070" s="355"/>
      <c r="B1070" s="947" t="s">
        <v>136</v>
      </c>
      <c r="C1070" s="322"/>
      <c r="D1070" s="1650" t="s">
        <v>1865</v>
      </c>
      <c r="E1070" s="1650"/>
      <c r="F1070" s="1650"/>
      <c r="G1070" s="572"/>
    </row>
    <row r="1071" spans="1:9" ht="13.2">
      <c r="A1071" s="355"/>
      <c r="B1071" s="355"/>
      <c r="C1071" s="322"/>
      <c r="D1071" s="1650"/>
      <c r="E1071" s="1650"/>
      <c r="F1071" s="1650"/>
      <c r="G1071" s="572"/>
    </row>
    <row r="1072" spans="1:9" ht="13.2">
      <c r="A1072" s="355"/>
      <c r="B1072" s="355"/>
      <c r="C1072" s="322"/>
      <c r="D1072" s="1650"/>
      <c r="E1072" s="1650"/>
      <c r="F1072" s="1650"/>
      <c r="G1072" s="572"/>
    </row>
    <row r="1073" spans="1:7" ht="13.2">
      <c r="A1073" s="355"/>
      <c r="B1073" s="355"/>
      <c r="C1073" s="322"/>
      <c r="D1073" s="296"/>
      <c r="E1073" s="296"/>
      <c r="F1073" s="296"/>
      <c r="G1073" s="572"/>
    </row>
    <row r="1074" spans="1:7" ht="14.4">
      <c r="A1074" s="413"/>
      <c r="B1074" s="947" t="s">
        <v>136</v>
      </c>
      <c r="C1074" s="678"/>
      <c r="D1074" s="1651" t="s">
        <v>1866</v>
      </c>
      <c r="E1074" s="1651"/>
      <c r="F1074" s="1651"/>
      <c r="G1074" s="710"/>
    </row>
    <row r="1075" spans="1:7" ht="13.2">
      <c r="A1075" s="677"/>
      <c r="B1075" s="677"/>
      <c r="C1075" s="678"/>
      <c r="D1075" s="1651"/>
      <c r="E1075" s="1651"/>
      <c r="F1075" s="1651"/>
      <c r="G1075" s="710"/>
    </row>
    <row r="1076" spans="1:7" ht="13.2">
      <c r="A1076" s="677"/>
      <c r="B1076" s="677"/>
      <c r="C1076" s="678"/>
      <c r="D1076" s="1651"/>
      <c r="E1076" s="1651"/>
      <c r="F1076" s="1651"/>
      <c r="G1076" s="710"/>
    </row>
    <row r="1077" spans="1:7" ht="13.2">
      <c r="A1077" s="355"/>
      <c r="B1077" s="355"/>
      <c r="C1077" s="322"/>
      <c r="D1077" s="296"/>
      <c r="E1077" s="296"/>
      <c r="F1077" s="296"/>
      <c r="G1077" s="572"/>
    </row>
    <row r="1078" spans="1:7" ht="13.2">
      <c r="A1078" s="14"/>
      <c r="B1078" s="14"/>
      <c r="C1078" s="322"/>
      <c r="D1078" s="1589" t="s">
        <v>1662</v>
      </c>
      <c r="E1078" s="1589"/>
      <c r="F1078" s="1589"/>
      <c r="G1078" s="572"/>
    </row>
    <row r="1079" spans="1:7" ht="13.2">
      <c r="A1079" s="14"/>
      <c r="B1079" s="14"/>
      <c r="C1079" s="322"/>
      <c r="D1079" s="1014"/>
      <c r="E1079" s="296"/>
      <c r="F1079" s="296"/>
      <c r="G1079" s="572"/>
    </row>
    <row r="1080" spans="1:7" ht="13.2">
      <c r="A1080" s="355"/>
      <c r="B1080" s="947" t="s">
        <v>136</v>
      </c>
      <c r="C1080" s="322"/>
      <c r="D1080" s="1626" t="s">
        <v>1867</v>
      </c>
      <c r="E1080" s="1626"/>
      <c r="F1080" s="1626"/>
      <c r="G1080" s="572"/>
    </row>
    <row r="1081" spans="1:7" ht="13.2">
      <c r="A1081" s="355"/>
      <c r="B1081" s="355"/>
      <c r="C1081" s="322"/>
      <c r="D1081" s="1626"/>
      <c r="E1081" s="1626"/>
      <c r="F1081" s="1626"/>
      <c r="G1081" s="572"/>
    </row>
    <row r="1082" spans="1:7" ht="13.2">
      <c r="A1082" s="355"/>
      <c r="B1082" s="355"/>
      <c r="C1082" s="322"/>
      <c r="D1082" s="1626"/>
      <c r="E1082" s="1626"/>
      <c r="F1082" s="1626"/>
      <c r="G1082" s="572"/>
    </row>
    <row r="1083" spans="1:7" ht="13.2">
      <c r="A1083" s="355"/>
      <c r="B1083" s="355"/>
      <c r="C1083" s="322"/>
      <c r="D1083" s="572"/>
      <c r="E1083" s="296"/>
      <c r="F1083" s="296"/>
      <c r="G1083" s="572"/>
    </row>
    <row r="1084" spans="1:7" ht="14.4">
      <c r="A1084" s="413"/>
      <c r="B1084" s="947" t="s">
        <v>136</v>
      </c>
      <c r="C1084" s="322"/>
      <c r="D1084" s="1626" t="s">
        <v>1868</v>
      </c>
      <c r="E1084" s="1626"/>
      <c r="F1084" s="1626"/>
      <c r="G1084" s="572"/>
    </row>
    <row r="1085" spans="1:7" ht="13.2">
      <c r="A1085" s="355"/>
      <c r="B1085" s="355"/>
      <c r="C1085" s="322"/>
      <c r="D1085" s="1626"/>
      <c r="E1085" s="1626"/>
      <c r="F1085" s="1626"/>
      <c r="G1085" s="572"/>
    </row>
    <row r="1086" spans="1:7" ht="13.2">
      <c r="A1086" s="355"/>
      <c r="B1086" s="355"/>
      <c r="C1086" s="322"/>
      <c r="D1086" s="1626"/>
      <c r="E1086" s="1626"/>
      <c r="F1086" s="1626"/>
      <c r="G1086" s="572"/>
    </row>
    <row r="1087" spans="1:7" ht="13.2">
      <c r="A1087" s="355"/>
      <c r="B1087" s="355"/>
      <c r="C1087" s="322"/>
      <c r="D1087" s="296"/>
      <c r="E1087" s="296"/>
      <c r="F1087" s="296"/>
      <c r="G1087" s="572"/>
    </row>
    <row r="1088" spans="1:7" ht="13.2">
      <c r="A1088" s="355"/>
      <c r="B1088" s="355"/>
      <c r="C1088" s="322"/>
      <c r="D1088" s="1589" t="s">
        <v>1238</v>
      </c>
      <c r="E1088" s="1589"/>
      <c r="F1088" s="1589"/>
      <c r="G1088" s="572"/>
    </row>
    <row r="1089" spans="1:7" ht="13.2">
      <c r="A1089" s="355"/>
      <c r="B1089" s="355"/>
      <c r="C1089" s="322"/>
      <c r="D1089" s="1584" t="s">
        <v>1663</v>
      </c>
      <c r="E1089" s="1584"/>
      <c r="F1089" s="1584"/>
      <c r="G1089" s="572"/>
    </row>
    <row r="1090" spans="1:7" ht="13.2">
      <c r="A1090" s="355"/>
      <c r="B1090" s="355"/>
      <c r="C1090" s="322"/>
      <c r="D1090" s="1015"/>
      <c r="E1090" s="296"/>
      <c r="F1090" s="296"/>
      <c r="G1090" s="572"/>
    </row>
    <row r="1091" spans="1:7" ht="14.4">
      <c r="A1091" s="413"/>
      <c r="B1091" s="947" t="s">
        <v>1531</v>
      </c>
      <c r="C1091" s="322"/>
      <c r="D1091" s="1582" t="s">
        <v>1869</v>
      </c>
      <c r="E1091" s="1582"/>
      <c r="F1091" s="1582"/>
      <c r="G1091" s="572"/>
    </row>
    <row r="1092" spans="1:7" ht="13.2">
      <c r="A1092" s="355"/>
      <c r="B1092" s="355"/>
      <c r="C1092" s="322"/>
      <c r="D1092" s="1582"/>
      <c r="E1092" s="1582"/>
      <c r="F1092" s="1582"/>
      <c r="G1092" s="572"/>
    </row>
    <row r="1093" spans="1:7" ht="13.2">
      <c r="A1093" s="355"/>
      <c r="B1093" s="355"/>
      <c r="C1093" s="322"/>
      <c r="D1093" s="296"/>
      <c r="E1093" s="296"/>
      <c r="F1093" s="296"/>
      <c r="G1093" s="572"/>
    </row>
    <row r="1094" spans="1:7" ht="14.4">
      <c r="A1094" s="413"/>
      <c r="B1094" s="947" t="s">
        <v>136</v>
      </c>
      <c r="C1094" s="322"/>
      <c r="D1094" s="1582" t="s">
        <v>1870</v>
      </c>
      <c r="E1094" s="1582"/>
      <c r="F1094" s="1582"/>
      <c r="G1094" s="572"/>
    </row>
    <row r="1095" spans="1:7" ht="13.2">
      <c r="A1095" s="355"/>
      <c r="B1095" s="355"/>
      <c r="C1095" s="322"/>
      <c r="D1095" s="1582"/>
      <c r="E1095" s="1582"/>
      <c r="F1095" s="1582"/>
      <c r="G1095" s="572"/>
    </row>
    <row r="1096" spans="1:7" ht="13.2">
      <c r="A1096" s="355"/>
      <c r="B1096" s="355"/>
      <c r="C1096" s="322"/>
      <c r="D1096" s="282"/>
      <c r="E1096" s="296"/>
      <c r="F1096" s="296"/>
      <c r="G1096" s="572"/>
    </row>
    <row r="1097" spans="1:7" ht="13.2">
      <c r="A1097" s="355"/>
      <c r="B1097" s="355"/>
      <c r="C1097" s="322"/>
      <c r="D1097" s="1589" t="s">
        <v>1664</v>
      </c>
      <c r="E1097" s="1589"/>
      <c r="F1097" s="1589"/>
      <c r="G1097" s="572"/>
    </row>
    <row r="1098" spans="1:7" ht="13.2">
      <c r="A1098" s="355"/>
      <c r="B1098" s="355"/>
      <c r="C1098" s="322"/>
      <c r="D1098" s="1014"/>
      <c r="E1098" s="296"/>
      <c r="F1098" s="296"/>
      <c r="G1098" s="572"/>
    </row>
    <row r="1099" spans="1:7" ht="14.4">
      <c r="A1099" s="413"/>
      <c r="B1099" s="947" t="s">
        <v>1531</v>
      </c>
      <c r="C1099" s="322"/>
      <c r="D1099" s="1582" t="s">
        <v>1871</v>
      </c>
      <c r="E1099" s="1582"/>
      <c r="F1099" s="1582"/>
      <c r="G1099" s="572"/>
    </row>
    <row r="1100" spans="1:7" ht="13.2">
      <c r="A1100" s="355"/>
      <c r="B1100" s="355"/>
      <c r="C1100" s="322"/>
      <c r="D1100" s="1582"/>
      <c r="E1100" s="1582"/>
      <c r="F1100" s="1582"/>
      <c r="G1100" s="572"/>
    </row>
    <row r="1101" spans="1:7" ht="13.2">
      <c r="A1101" s="355"/>
      <c r="B1101" s="355"/>
      <c r="C1101" s="322"/>
      <c r="D1101" s="1582"/>
      <c r="E1101" s="1582"/>
      <c r="F1101" s="1582"/>
      <c r="G1101" s="572"/>
    </row>
    <row r="1102" spans="1:7" ht="13.2">
      <c r="A1102" s="355"/>
      <c r="B1102" s="355"/>
      <c r="C1102" s="322"/>
      <c r="D1102" s="1582"/>
      <c r="E1102" s="1582"/>
      <c r="F1102" s="1582"/>
      <c r="G1102" s="572"/>
    </row>
    <row r="1103" spans="1:7" ht="13.2">
      <c r="A1103" s="355"/>
      <c r="B1103" s="355"/>
      <c r="C1103" s="322"/>
      <c r="D1103" s="1582"/>
      <c r="E1103" s="1582"/>
      <c r="F1103" s="1582"/>
      <c r="G1103" s="572"/>
    </row>
    <row r="1104" spans="1:7" ht="13.2">
      <c r="A1104" s="355"/>
      <c r="B1104" s="355"/>
      <c r="C1104" s="322"/>
      <c r="D1104" s="1582"/>
      <c r="E1104" s="1582"/>
      <c r="F1104" s="1582"/>
      <c r="G1104" s="572"/>
    </row>
    <row r="1105" spans="1:7" ht="13.2">
      <c r="A1105" s="355"/>
      <c r="B1105" s="355"/>
      <c r="C1105" s="322"/>
      <c r="D1105" s="1582"/>
      <c r="E1105" s="1582"/>
      <c r="F1105" s="1582"/>
      <c r="G1105" s="572"/>
    </row>
    <row r="1106" spans="1:7" ht="13.2">
      <c r="A1106" s="355"/>
      <c r="B1106" s="355"/>
      <c r="C1106" s="322"/>
      <c r="D1106" s="296"/>
      <c r="E1106" s="296"/>
      <c r="F1106" s="296"/>
      <c r="G1106" s="572"/>
    </row>
    <row r="1107" spans="1:7" ht="14.4">
      <c r="A1107" s="413"/>
      <c r="B1107" s="947" t="s">
        <v>136</v>
      </c>
      <c r="C1107" s="322"/>
      <c r="D1107" s="1582" t="s">
        <v>1872</v>
      </c>
      <c r="E1107" s="1582"/>
      <c r="F1107" s="1582"/>
      <c r="G1107" s="572"/>
    </row>
    <row r="1108" spans="1:7" ht="13.2">
      <c r="A1108" s="355"/>
      <c r="B1108" s="355"/>
      <c r="C1108" s="322"/>
      <c r="D1108" s="1582"/>
      <c r="E1108" s="1582"/>
      <c r="F1108" s="1582"/>
      <c r="G1108" s="572"/>
    </row>
    <row r="1109" spans="1:7" ht="13.2">
      <c r="A1109" s="355"/>
      <c r="B1109" s="355"/>
      <c r="C1109" s="322"/>
      <c r="D1109" s="1582"/>
      <c r="E1109" s="1582"/>
      <c r="F1109" s="1582"/>
      <c r="G1109" s="572"/>
    </row>
    <row r="1110" spans="1:7" ht="13.2">
      <c r="A1110" s="355"/>
      <c r="B1110" s="355"/>
      <c r="C1110" s="322"/>
      <c r="D1110" s="1582"/>
      <c r="E1110" s="1582"/>
      <c r="F1110" s="1582"/>
      <c r="G1110" s="572"/>
    </row>
    <row r="1111" spans="1:7" ht="13.2">
      <c r="A1111" s="355"/>
      <c r="B1111" s="355"/>
      <c r="C1111" s="322"/>
      <c r="D1111" s="1582"/>
      <c r="E1111" s="1582"/>
      <c r="F1111" s="1582"/>
      <c r="G1111" s="572"/>
    </row>
    <row r="1112" spans="1:7" ht="13.2">
      <c r="A1112" s="355"/>
      <c r="B1112" s="355"/>
      <c r="C1112" s="322"/>
      <c r="D1112" s="1582"/>
      <c r="E1112" s="1582"/>
      <c r="F1112" s="1582"/>
      <c r="G1112" s="572"/>
    </row>
    <row r="1113" spans="1:7" ht="13.2">
      <c r="A1113" s="355"/>
      <c r="B1113" s="355"/>
      <c r="C1113" s="322"/>
      <c r="D1113" s="1582"/>
      <c r="E1113" s="1582"/>
      <c r="F1113" s="1582"/>
      <c r="G1113" s="572"/>
    </row>
    <row r="1114" spans="1:7" ht="13.2">
      <c r="A1114" s="355"/>
      <c r="B1114" s="355"/>
      <c r="C1114" s="322"/>
      <c r="D1114" s="1129"/>
      <c r="E1114" s="1129"/>
      <c r="F1114" s="1129"/>
      <c r="G1114" s="572"/>
    </row>
    <row r="1115" spans="1:7" ht="12.45" customHeight="1">
      <c r="A1115" s="355"/>
      <c r="B1115" s="1131" t="s">
        <v>136</v>
      </c>
      <c r="C1115" s="322"/>
      <c r="D1115" s="1653" t="s">
        <v>2001</v>
      </c>
      <c r="E1115" s="1650"/>
      <c r="F1115" s="1650"/>
      <c r="G1115" s="572"/>
    </row>
    <row r="1116" spans="1:7" ht="12.45" customHeight="1">
      <c r="A1116" s="355"/>
      <c r="B1116" s="355"/>
      <c r="C1116" s="322"/>
      <c r="D1116" s="1650"/>
      <c r="E1116" s="1650"/>
      <c r="F1116" s="1650"/>
      <c r="G1116" s="572"/>
    </row>
    <row r="1117" spans="1:7" ht="13.2">
      <c r="A1117" s="355"/>
      <c r="B1117" s="355"/>
      <c r="C1117" s="322"/>
      <c r="D1117" s="1650"/>
      <c r="E1117" s="1650"/>
      <c r="F1117" s="1650"/>
      <c r="G1117" s="572"/>
    </row>
    <row r="1118" spans="1:7" ht="13.2">
      <c r="A1118" s="355"/>
      <c r="B1118" s="355"/>
      <c r="C1118" s="322"/>
      <c r="D1118" s="1130"/>
      <c r="E1118" s="1130"/>
      <c r="F1118" s="1130"/>
      <c r="G1118" s="572"/>
    </row>
    <row r="1119" spans="1:7" ht="13.2">
      <c r="A1119" s="140"/>
      <c r="B1119" s="140"/>
      <c r="C1119" s="14"/>
      <c r="D1119" s="1589" t="s">
        <v>1665</v>
      </c>
      <c r="E1119" s="1589"/>
      <c r="F1119" s="1589"/>
    </row>
    <row r="1120" spans="1:7" ht="13.2">
      <c r="A1120" s="1019"/>
      <c r="B1120" s="1019"/>
      <c r="C1120" s="14"/>
      <c r="D1120" s="1014"/>
      <c r="E1120" s="282"/>
      <c r="F1120" s="282"/>
    </row>
    <row r="1121" spans="1:7" ht="14.4">
      <c r="A1121" s="413"/>
      <c r="B1121" s="947" t="s">
        <v>1531</v>
      </c>
      <c r="C1121" s="14"/>
      <c r="D1121" s="1626" t="s">
        <v>1873</v>
      </c>
      <c r="E1121" s="1626"/>
      <c r="F1121" s="1626"/>
    </row>
    <row r="1122" spans="1:7" ht="13.2">
      <c r="A1122" s="140"/>
      <c r="B1122" s="140"/>
      <c r="C1122" s="14"/>
      <c r="D1122" s="1626"/>
      <c r="E1122" s="1626"/>
      <c r="F1122" s="1626"/>
    </row>
    <row r="1123" spans="1:7" ht="13.2">
      <c r="A1123" s="140"/>
      <c r="B1123" s="140"/>
      <c r="C1123" s="14"/>
      <c r="E1123" s="282"/>
      <c r="F1123" s="282"/>
    </row>
    <row r="1124" spans="1:7" ht="14.4">
      <c r="A1124" s="413"/>
      <c r="B1124" s="947" t="s">
        <v>136</v>
      </c>
      <c r="C1124" s="14"/>
      <c r="D1124" s="1626" t="s">
        <v>1874</v>
      </c>
      <c r="E1124" s="1626"/>
      <c r="F1124" s="1626"/>
    </row>
    <row r="1125" spans="1:7" ht="13.2">
      <c r="A1125" s="140"/>
      <c r="B1125" s="140"/>
      <c r="C1125" s="14"/>
      <c r="D1125" s="1626"/>
      <c r="E1125" s="1626"/>
      <c r="F1125" s="1626"/>
    </row>
    <row r="1126" spans="1:7" ht="13.2">
      <c r="A1126" s="140"/>
      <c r="B1126" s="140"/>
      <c r="C1126" s="14"/>
      <c r="D1126" s="282"/>
      <c r="E1126" s="282"/>
      <c r="F1126" s="282"/>
    </row>
    <row r="1127" spans="1:7" ht="13.2">
      <c r="A1127" s="140"/>
      <c r="B1127" s="140"/>
      <c r="C1127" s="14"/>
      <c r="D1127" s="1589" t="s">
        <v>1666</v>
      </c>
      <c r="E1127" s="1589"/>
      <c r="F1127" s="1589"/>
    </row>
    <row r="1128" spans="1:7" ht="13.2">
      <c r="A1128" s="1019"/>
      <c r="B1128" s="1019"/>
      <c r="C1128" s="14"/>
      <c r="D1128" s="1014"/>
      <c r="E1128" s="282"/>
      <c r="F1128" s="282"/>
    </row>
    <row r="1129" spans="1:7" ht="14.4">
      <c r="A1129" s="413"/>
      <c r="B1129" s="947" t="s">
        <v>1531</v>
      </c>
      <c r="C1129" s="14"/>
      <c r="D1129" s="1584" t="s">
        <v>1875</v>
      </c>
      <c r="E1129" s="1584"/>
      <c r="F1129" s="1584"/>
    </row>
    <row r="1130" spans="1:7" ht="13.2">
      <c r="A1130" s="140"/>
      <c r="B1130" s="140"/>
      <c r="C1130" s="14"/>
      <c r="D1130" s="282"/>
      <c r="E1130" s="282"/>
      <c r="F1130" s="282"/>
    </row>
    <row r="1131" spans="1:7" ht="14.4">
      <c r="A1131" s="413"/>
      <c r="B1131" s="947" t="s">
        <v>1531</v>
      </c>
      <c r="C1131" s="14"/>
      <c r="D1131" s="1582" t="s">
        <v>1876</v>
      </c>
      <c r="E1131" s="1582"/>
      <c r="F1131" s="1582"/>
    </row>
    <row r="1132" spans="1:7" ht="14.4">
      <c r="A1132" s="413"/>
      <c r="B1132" s="413"/>
      <c r="C1132" s="14"/>
      <c r="D1132" s="1582"/>
      <c r="E1132" s="1582"/>
      <c r="F1132" s="1582"/>
    </row>
    <row r="1133" spans="1:7" ht="14.4">
      <c r="A1133" s="413"/>
      <c r="B1133" s="413"/>
      <c r="C1133" s="14"/>
      <c r="D1133" s="1023"/>
      <c r="E1133" s="1023"/>
      <c r="F1133" s="1023"/>
      <c r="G1133" s="2"/>
    </row>
    <row r="1134" spans="1:7" ht="13.2">
      <c r="A1134" s="1025"/>
      <c r="B1134" s="1025"/>
      <c r="C1134" s="14"/>
      <c r="D1134" s="1589" t="s">
        <v>1886</v>
      </c>
      <c r="E1134" s="1589"/>
      <c r="F1134" s="1589"/>
      <c r="G1134" s="2"/>
    </row>
    <row r="1135" spans="1:7" ht="13.2">
      <c r="A1135" s="1025"/>
      <c r="B1135" s="1025"/>
      <c r="C1135" s="14"/>
      <c r="D1135" s="1024"/>
      <c r="E1135" s="282"/>
      <c r="F1135" s="282"/>
      <c r="G1135" s="2"/>
    </row>
    <row r="1136" spans="1:7" ht="14.7" customHeight="1">
      <c r="A1136" s="413"/>
      <c r="B1136" s="1026" t="s">
        <v>136</v>
      </c>
      <c r="C1136" s="14"/>
      <c r="D1136" s="1581" t="s">
        <v>1982</v>
      </c>
      <c r="E1136" s="1582"/>
      <c r="F1136" s="1582"/>
      <c r="G1136" s="2"/>
    </row>
    <row r="1137" spans="1:7" ht="14.4">
      <c r="A1137" s="413"/>
      <c r="B1137" s="413"/>
      <c r="C1137" s="14"/>
      <c r="D1137" s="1582"/>
      <c r="E1137" s="1582"/>
      <c r="F1137" s="1582"/>
      <c r="G1137" s="2"/>
    </row>
    <row r="1138" spans="1:7" ht="14.4">
      <c r="A1138" s="413"/>
      <c r="B1138" s="413"/>
      <c r="C1138" s="14"/>
      <c r="D1138" s="1582"/>
      <c r="E1138" s="1582"/>
      <c r="F1138" s="1582"/>
      <c r="G1138" s="2"/>
    </row>
    <row r="1139" spans="1:7" ht="14.4">
      <c r="A1139" s="413"/>
      <c r="B1139" s="413"/>
      <c r="C1139" s="14"/>
      <c r="D1139" s="1582"/>
      <c r="E1139" s="1582"/>
      <c r="F1139" s="1582"/>
      <c r="G1139" s="2"/>
    </row>
    <row r="1140" spans="1:7" ht="14.4">
      <c r="A1140" s="413"/>
      <c r="B1140" s="413"/>
      <c r="C1140" s="14"/>
      <c r="D1140" s="1582"/>
      <c r="E1140" s="1582"/>
      <c r="F1140" s="1582"/>
      <c r="G1140" s="2"/>
    </row>
    <row r="1141" spans="1:7" ht="14.4">
      <c r="A1141" s="413"/>
      <c r="B1141" s="413"/>
      <c r="C1141" s="14"/>
      <c r="D1141" s="1582"/>
      <c r="E1141" s="1582"/>
      <c r="F1141" s="1582"/>
      <c r="G1141" s="2"/>
    </row>
    <row r="1142" spans="1:7" ht="14.4">
      <c r="A1142" s="413"/>
      <c r="B1142" s="413"/>
      <c r="C1142" s="14"/>
      <c r="D1142" s="1582"/>
      <c r="E1142" s="1582"/>
      <c r="F1142" s="1582"/>
      <c r="G1142" s="2"/>
    </row>
    <row r="1143" spans="1:7" ht="14.4">
      <c r="A1143" s="413"/>
      <c r="B1143" s="413"/>
      <c r="C1143" s="14"/>
      <c r="D1143" s="1582"/>
      <c r="E1143" s="1582"/>
      <c r="F1143" s="1582"/>
      <c r="G1143" s="2"/>
    </row>
    <row r="1144" spans="1:7" ht="14.4">
      <c r="A1144" s="413"/>
      <c r="B1144" s="413"/>
      <c r="C1144" s="14"/>
      <c r="D1144" s="1582"/>
      <c r="E1144" s="1582"/>
      <c r="F1144" s="1582"/>
      <c r="G1144" s="2"/>
    </row>
    <row r="1145" spans="1:7" ht="14.4">
      <c r="A1145" s="413"/>
      <c r="B1145" s="413"/>
      <c r="C1145" s="14"/>
      <c r="D1145" s="1582"/>
      <c r="E1145" s="1582"/>
      <c r="F1145" s="1582"/>
      <c r="G1145" s="2"/>
    </row>
    <row r="1146" spans="1:7" ht="14.4">
      <c r="A1146" s="413"/>
      <c r="B1146" s="413"/>
      <c r="C1146" s="14"/>
      <c r="D1146" s="1582"/>
      <c r="E1146" s="1582"/>
      <c r="F1146" s="1582"/>
      <c r="G1146" s="2"/>
    </row>
    <row r="1147" spans="1:7" ht="14.4">
      <c r="A1147" s="413"/>
      <c r="B1147" s="413"/>
      <c r="C1147" s="14"/>
      <c r="D1147" s="1582"/>
      <c r="E1147" s="1582"/>
      <c r="F1147" s="1582"/>
      <c r="G1147" s="2"/>
    </row>
    <row r="1148" spans="1:7" ht="14.4">
      <c r="A1148" s="413"/>
      <c r="B1148" s="413"/>
      <c r="C1148" s="14"/>
      <c r="D1148" s="1582"/>
      <c r="E1148" s="1582"/>
      <c r="F1148" s="1582"/>
      <c r="G1148" s="2"/>
    </row>
    <row r="1149" spans="1:7" ht="14.4">
      <c r="A1149" s="413"/>
      <c r="B1149" s="413"/>
      <c r="C1149" s="14"/>
      <c r="D1149" s="1582"/>
      <c r="E1149" s="1582"/>
      <c r="F1149" s="1582"/>
    </row>
    <row r="1150" spans="1:7" ht="13.2">
      <c r="A1150" s="140"/>
      <c r="B1150" s="140"/>
      <c r="C1150" s="14"/>
      <c r="D1150" s="282"/>
      <c r="E1150" s="282"/>
      <c r="F1150" s="282"/>
    </row>
    <row r="1151" spans="1:7" ht="13.2">
      <c r="A1151" s="1598" t="s">
        <v>1560</v>
      </c>
      <c r="B1151" s="1598"/>
      <c r="C1151" s="1598"/>
      <c r="D1151" s="1598"/>
      <c r="E1151" s="1598"/>
      <c r="F1151" s="1598"/>
      <c r="G1151" s="1598"/>
    </row>
    <row r="1152" spans="1:7" ht="13.2">
      <c r="A1152" s="143"/>
      <c r="B1152" s="143"/>
      <c r="C1152" s="14"/>
      <c r="D1152" s="282"/>
      <c r="E1152" s="282"/>
      <c r="F1152" s="282"/>
    </row>
    <row r="1153" spans="1:7" ht="13.2">
      <c r="A1153" s="140"/>
      <c r="B1153" s="140"/>
      <c r="C1153" s="322"/>
      <c r="D1153" s="1589" t="s">
        <v>1877</v>
      </c>
      <c r="E1153" s="1589"/>
      <c r="F1153" s="1589"/>
    </row>
    <row r="1154" spans="1:7" ht="13.2">
      <c r="A1154" s="414"/>
      <c r="B1154" s="414"/>
      <c r="C1154" s="298"/>
      <c r="D1154" s="1686" t="s">
        <v>1670</v>
      </c>
      <c r="E1154" s="1584"/>
      <c r="F1154" s="1584"/>
    </row>
    <row r="1155" spans="1:7" ht="13.2">
      <c r="A1155" s="414"/>
      <c r="B1155" s="414"/>
      <c r="C1155" s="298"/>
      <c r="D1155" s="282"/>
      <c r="E1155" s="282"/>
      <c r="F1155" s="296"/>
      <c r="G1155" s="2"/>
    </row>
    <row r="1156" spans="1:7" ht="13.95" customHeight="1">
      <c r="A1156" s="140"/>
      <c r="B1156" s="947" t="s">
        <v>1531</v>
      </c>
      <c r="C1156" s="14"/>
      <c r="D1156" s="1652" t="s">
        <v>1983</v>
      </c>
      <c r="E1156" s="1652"/>
      <c r="F1156" s="1652"/>
      <c r="G1156" s="2"/>
    </row>
    <row r="1157" spans="1:7" ht="13.2">
      <c r="A1157" s="140"/>
      <c r="B1157" s="140"/>
      <c r="C1157" s="14"/>
      <c r="D1157" s="1652"/>
      <c r="E1157" s="1652"/>
      <c r="F1157" s="1652"/>
      <c r="G1157" s="2"/>
    </row>
    <row r="1158" spans="1:7" ht="13.2">
      <c r="A1158" s="140"/>
      <c r="B1158" s="140"/>
      <c r="C1158" s="14"/>
      <c r="D1158" s="1652"/>
      <c r="E1158" s="1652"/>
      <c r="F1158" s="1652"/>
      <c r="G1158" s="2"/>
    </row>
    <row r="1159" spans="1:7" ht="13.2">
      <c r="A1159" s="150"/>
      <c r="B1159" s="150"/>
      <c r="D1159" s="1652"/>
      <c r="E1159" s="1652"/>
      <c r="F1159" s="1652"/>
      <c r="G1159" s="2"/>
    </row>
    <row r="1160" spans="1:7" ht="13.2">
      <c r="A1160" s="150"/>
      <c r="B1160" s="150"/>
      <c r="D1160" s="1652"/>
      <c r="E1160" s="1652"/>
      <c r="F1160" s="1652"/>
      <c r="G1160" s="2"/>
    </row>
    <row r="1161" spans="1:7" ht="13.2">
      <c r="A1161" s="415"/>
      <c r="B1161" s="415"/>
      <c r="C1161" s="299"/>
      <c r="D1161" s="1652"/>
      <c r="E1161" s="1652"/>
      <c r="F1161" s="1652"/>
      <c r="G1161" s="2"/>
    </row>
    <row r="1162" spans="1:7" ht="14.7" customHeight="1">
      <c r="A1162" s="415"/>
      <c r="B1162" s="415"/>
      <c r="C1162" s="299"/>
      <c r="D1162" s="1652"/>
      <c r="E1162" s="1652"/>
      <c r="F1162" s="1652"/>
      <c r="G1162" s="2"/>
    </row>
    <row r="1163" spans="1:7" ht="13.2">
      <c r="A1163" s="415"/>
      <c r="B1163" s="415"/>
      <c r="C1163" s="299"/>
      <c r="D1163" s="1013"/>
      <c r="E1163" s="1013"/>
      <c r="F1163" s="1013"/>
      <c r="G1163" s="2"/>
    </row>
    <row r="1164" spans="1:7" ht="13.2">
      <c r="A1164" s="415"/>
      <c r="B1164" s="1030" t="s">
        <v>1531</v>
      </c>
      <c r="C1164" s="299"/>
      <c r="D1164" s="1626" t="s">
        <v>1887</v>
      </c>
      <c r="E1164" s="1626"/>
      <c r="F1164" s="1626"/>
      <c r="G1164" s="2"/>
    </row>
    <row r="1165" spans="1:7" ht="13.2">
      <c r="A1165" s="415"/>
      <c r="B1165" s="415"/>
      <c r="C1165" s="299"/>
      <c r="D1165" s="1626"/>
      <c r="E1165" s="1626"/>
      <c r="F1165" s="1626"/>
      <c r="G1165" s="2"/>
    </row>
    <row r="1166" spans="1:7" ht="13.2">
      <c r="A1166" s="415"/>
      <c r="B1166" s="415"/>
      <c r="C1166" s="299"/>
      <c r="D1166" s="1626"/>
      <c r="E1166" s="1626"/>
      <c r="F1166" s="1626"/>
      <c r="G1166" s="2"/>
    </row>
    <row r="1167" spans="1:7" ht="13.2">
      <c r="A1167" s="415"/>
      <c r="B1167" s="415"/>
      <c r="C1167" s="299"/>
      <c r="D1167" s="1626"/>
      <c r="E1167" s="1626"/>
      <c r="F1167" s="1626"/>
      <c r="G1167" s="2"/>
    </row>
    <row r="1168" spans="1:7" ht="13.2">
      <c r="A1168" s="415"/>
      <c r="B1168" s="415"/>
      <c r="C1168" s="299"/>
      <c r="D1168" s="1099"/>
      <c r="E1168" s="1099"/>
      <c r="F1168" s="1099"/>
      <c r="G1168" s="2"/>
    </row>
    <row r="1169" spans="1:7" ht="13.2">
      <c r="A1169" s="415"/>
      <c r="B1169" s="1100" t="s">
        <v>136</v>
      </c>
      <c r="C1169" s="299"/>
      <c r="D1169" s="1627" t="s">
        <v>1984</v>
      </c>
      <c r="E1169" s="1626"/>
      <c r="F1169" s="1626"/>
      <c r="G1169" s="2"/>
    </row>
    <row r="1170" spans="1:7" ht="13.2">
      <c r="A1170" s="415"/>
      <c r="B1170" s="415"/>
      <c r="C1170" s="299"/>
      <c r="D1170" s="1626"/>
      <c r="E1170" s="1626"/>
      <c r="F1170" s="1626"/>
      <c r="G1170" s="2"/>
    </row>
    <row r="1171" spans="1:7" ht="13.2">
      <c r="A1171" s="415"/>
      <c r="B1171" s="415"/>
      <c r="C1171" s="299"/>
      <c r="D1171" s="1099"/>
      <c r="E1171" s="1099"/>
      <c r="F1171" s="1099"/>
      <c r="G1171" s="2"/>
    </row>
    <row r="1172" spans="1:7" ht="14.4">
      <c r="A1172" s="413"/>
      <c r="B1172" s="947" t="s">
        <v>1531</v>
      </c>
      <c r="C1172" s="14"/>
      <c r="D1172" s="1584" t="s">
        <v>1878</v>
      </c>
      <c r="E1172" s="1584"/>
      <c r="F1172" s="1584"/>
      <c r="G1172" s="2"/>
    </row>
    <row r="1173" spans="1:7" ht="13.2">
      <c r="A1173" s="140"/>
      <c r="B1173" s="140"/>
      <c r="C1173" s="14"/>
      <c r="D1173" s="282"/>
      <c r="E1173" s="282"/>
      <c r="F1173" s="282"/>
      <c r="G1173" s="2"/>
    </row>
    <row r="1174" spans="1:7" ht="14.4">
      <c r="A1174" s="413"/>
      <c r="B1174" s="947" t="s">
        <v>1531</v>
      </c>
      <c r="C1174" s="14"/>
      <c r="D1174" s="1584" t="s">
        <v>1879</v>
      </c>
      <c r="E1174" s="1584"/>
      <c r="F1174" s="1584"/>
      <c r="G1174" s="2"/>
    </row>
    <row r="1175" spans="1:7" ht="13.2">
      <c r="A1175" s="140"/>
      <c r="B1175" s="140"/>
      <c r="C1175" s="14"/>
      <c r="D1175" s="287"/>
      <c r="E1175" s="282"/>
      <c r="F1175" s="282"/>
      <c r="G1175" s="2"/>
    </row>
    <row r="1176" spans="1:7" ht="14.4">
      <c r="A1176" s="413"/>
      <c r="B1176" s="947" t="s">
        <v>1531</v>
      </c>
      <c r="C1176" s="14"/>
      <c r="D1176" s="1584" t="s">
        <v>1880</v>
      </c>
      <c r="E1176" s="1584"/>
      <c r="F1176" s="1584"/>
      <c r="G1176" s="2"/>
    </row>
    <row r="1177" spans="1:7" ht="13.2">
      <c r="A1177" s="140"/>
      <c r="B1177" s="140"/>
      <c r="C1177" s="14"/>
      <c r="D1177" s="287"/>
      <c r="E1177" s="282"/>
      <c r="F1177" s="282"/>
      <c r="G1177" s="2"/>
    </row>
    <row r="1178" spans="1:7" ht="14.4">
      <c r="A1178" s="413"/>
      <c r="B1178" s="947" t="s">
        <v>136</v>
      </c>
      <c r="C1178" s="14"/>
      <c r="D1178" s="1582" t="s">
        <v>1881</v>
      </c>
      <c r="E1178" s="1582"/>
      <c r="F1178" s="1582"/>
      <c r="G1178" s="2"/>
    </row>
    <row r="1179" spans="1:7" ht="14.4">
      <c r="A1179" s="413"/>
      <c r="B1179" s="413"/>
      <c r="C1179" s="14"/>
      <c r="D1179" s="1582"/>
      <c r="E1179" s="1582"/>
      <c r="F1179" s="1582"/>
      <c r="G1179" s="2"/>
    </row>
    <row r="1180" spans="1:7" ht="14.4">
      <c r="A1180" s="413"/>
      <c r="B1180" s="413"/>
      <c r="C1180" s="14"/>
      <c r="D1180" s="287"/>
      <c r="E1180" s="282"/>
      <c r="F1180" s="282"/>
    </row>
    <row r="1181" spans="1:7" s="705" customFormat="1" ht="14.4">
      <c r="A1181" s="464"/>
      <c r="B1181" s="947" t="s">
        <v>136</v>
      </c>
      <c r="C1181" s="465"/>
      <c r="D1181" s="1635" t="s">
        <v>1882</v>
      </c>
      <c r="E1181" s="1635"/>
      <c r="F1181" s="1635"/>
      <c r="G1181" s="706"/>
    </row>
    <row r="1182" spans="1:7" s="705" customFormat="1" ht="13.2">
      <c r="A1182" s="465"/>
      <c r="B1182" s="465"/>
      <c r="C1182" s="465"/>
      <c r="D1182" s="1635"/>
      <c r="E1182" s="1635"/>
      <c r="F1182" s="1635"/>
      <c r="G1182" s="706"/>
    </row>
    <row r="1183" spans="1:7" s="705" customFormat="1" ht="13.2">
      <c r="A1183" s="465"/>
      <c r="B1183" s="465"/>
      <c r="C1183" s="465"/>
      <c r="D1183" s="466"/>
      <c r="E1183" s="467"/>
      <c r="F1183" s="467"/>
      <c r="G1183" s="706"/>
    </row>
    <row r="1184" spans="1:7" s="705" customFormat="1" ht="14.4">
      <c r="A1184" s="464"/>
      <c r="B1184" s="947" t="s">
        <v>136</v>
      </c>
      <c r="C1184" s="465"/>
      <c r="D1184" s="1685" t="s">
        <v>1883</v>
      </c>
      <c r="E1184" s="1685"/>
      <c r="F1184" s="1685"/>
      <c r="G1184" s="706"/>
    </row>
    <row r="1185" spans="1:7" s="705" customFormat="1" ht="13.2">
      <c r="A1185" s="465"/>
      <c r="B1185" s="465"/>
      <c r="C1185" s="465"/>
      <c r="D1185" s="466"/>
      <c r="E1185" s="467"/>
      <c r="F1185" s="467"/>
      <c r="G1185" s="706"/>
    </row>
    <row r="1186" spans="1:7" ht="14.4">
      <c r="A1186" s="413"/>
      <c r="B1186" s="947" t="s">
        <v>1531</v>
      </c>
      <c r="C1186" s="14"/>
      <c r="D1186" s="1584" t="s">
        <v>1884</v>
      </c>
      <c r="E1186" s="1584"/>
      <c r="F1186" s="1584"/>
    </row>
    <row r="1187" spans="1:7" ht="14.4">
      <c r="A1187" s="413"/>
      <c r="B1187" s="413"/>
      <c r="C1187" s="14"/>
      <c r="D1187" s="287"/>
      <c r="E1187" s="282"/>
      <c r="F1187" s="282"/>
    </row>
    <row r="1188" spans="1:7" ht="14.4">
      <c r="A1188" s="413"/>
      <c r="B1188" s="947" t="s">
        <v>136</v>
      </c>
      <c r="C1188" s="14"/>
      <c r="D1188" s="1582" t="s">
        <v>1885</v>
      </c>
      <c r="E1188" s="1582"/>
      <c r="F1188" s="1582"/>
    </row>
    <row r="1189" spans="1:7" ht="14.4">
      <c r="A1189" s="413"/>
      <c r="B1189" s="413"/>
      <c r="C1189" s="14"/>
      <c r="D1189" s="1582"/>
      <c r="E1189" s="1582"/>
      <c r="F1189" s="1582"/>
    </row>
    <row r="1190" spans="1:7" ht="13.2">
      <c r="A1190" s="140"/>
      <c r="B1190" s="140"/>
      <c r="C1190" s="14"/>
      <c r="D1190" s="282"/>
      <c r="E1190" s="282"/>
      <c r="F1190" s="282"/>
    </row>
    <row r="1191" spans="1:7" ht="13.2">
      <c r="A1191" s="1598" t="s">
        <v>2308</v>
      </c>
      <c r="B1191" s="1598"/>
      <c r="C1191" s="1598"/>
      <c r="D1191" s="1598"/>
      <c r="E1191" s="1598"/>
      <c r="F1191" s="1598"/>
      <c r="G1191" s="1598"/>
    </row>
    <row r="1192" spans="1:7" ht="13.2">
      <c r="A1192" s="140"/>
      <c r="B1192" s="140"/>
      <c r="C1192" s="14"/>
      <c r="D1192" s="282"/>
      <c r="E1192" s="282"/>
      <c r="F1192" s="282"/>
    </row>
    <row r="1193" spans="1:7" ht="13.2">
      <c r="A1193" s="1598" t="s">
        <v>1561</v>
      </c>
      <c r="B1193" s="1598"/>
      <c r="C1193" s="1598"/>
      <c r="D1193" s="1598"/>
      <c r="E1193" s="1598"/>
      <c r="F1193" s="1598"/>
      <c r="G1193" s="1598"/>
    </row>
    <row r="1194" spans="1:7" ht="13.2">
      <c r="A1194" s="140"/>
      <c r="B1194" s="140"/>
      <c r="C1194" s="14"/>
      <c r="D1194" s="282"/>
      <c r="E1194" s="282"/>
      <c r="F1194" s="282"/>
    </row>
    <row r="1195" spans="1:7" ht="13.2">
      <c r="A1195" s="150"/>
      <c r="B1195" s="150"/>
      <c r="D1195" s="1645" t="s">
        <v>1690</v>
      </c>
      <c r="E1195" s="1645"/>
      <c r="F1195" s="1645"/>
    </row>
    <row r="1196" spans="1:7" ht="13.2">
      <c r="A1196" s="150"/>
      <c r="B1196" s="150"/>
      <c r="D1196" s="1646" t="s">
        <v>2186</v>
      </c>
      <c r="E1196" s="1646"/>
      <c r="F1196" s="1646"/>
    </row>
    <row r="1197" spans="1:7" ht="13.2">
      <c r="A1197" s="430"/>
      <c r="B1197" s="430"/>
      <c r="C1197" s="406"/>
    </row>
    <row r="1198" spans="1:7" ht="14.4">
      <c r="A1198" s="413"/>
      <c r="B1198" s="413"/>
      <c r="C1198" s="299"/>
      <c r="D1198" s="1645" t="s">
        <v>1691</v>
      </c>
      <c r="E1198" s="1645"/>
      <c r="F1198" s="1645"/>
    </row>
    <row r="1199" spans="1:7" ht="13.2">
      <c r="A1199" s="140"/>
      <c r="B1199" s="947" t="s">
        <v>1531</v>
      </c>
      <c r="C1199" s="14"/>
      <c r="D1199" s="1649" t="s">
        <v>1692</v>
      </c>
      <c r="E1199" s="1649"/>
      <c r="F1199" s="1649"/>
    </row>
    <row r="1200" spans="1:7" ht="13.2">
      <c r="A1200" s="140"/>
      <c r="B1200" s="140"/>
      <c r="C1200" s="14"/>
      <c r="D1200" s="1646" t="s">
        <v>2187</v>
      </c>
      <c r="E1200" s="1646"/>
      <c r="F1200" s="1646"/>
    </row>
    <row r="1201" spans="1:7" ht="13.2">
      <c r="A1201" s="150"/>
      <c r="B1201" s="150"/>
      <c r="G1201" s="2"/>
    </row>
    <row r="1202" spans="1:7" ht="12.75" customHeight="1">
      <c r="A1202" s="150"/>
      <c r="B1202" s="1310" t="s">
        <v>136</v>
      </c>
      <c r="D1202" s="1600" t="s">
        <v>2076</v>
      </c>
      <c r="E1202" s="1600"/>
      <c r="F1202" s="1600"/>
      <c r="G1202" s="2"/>
    </row>
    <row r="1203" spans="1:7" ht="13.2">
      <c r="A1203" s="150"/>
      <c r="B1203" s="150"/>
      <c r="D1203" s="1600"/>
      <c r="E1203" s="1600"/>
      <c r="F1203" s="1600"/>
      <c r="G1203" s="2"/>
    </row>
    <row r="1204" spans="1:7" ht="13.2">
      <c r="A1204" s="150"/>
      <c r="B1204" s="150"/>
      <c r="G1204" s="2"/>
    </row>
    <row r="1205" spans="1:7" ht="12.75" customHeight="1">
      <c r="A1205" s="150"/>
      <c r="B1205" s="150"/>
    </row>
    <row r="1206" spans="1:7" ht="13.2">
      <c r="A1206" s="1632" t="s">
        <v>1563</v>
      </c>
      <c r="B1206" s="1632"/>
      <c r="C1206" s="1632"/>
      <c r="D1206" s="1632"/>
      <c r="E1206" s="1632"/>
      <c r="F1206" s="1632"/>
      <c r="G1206" s="1632"/>
    </row>
    <row r="1207" spans="1:7" ht="13.2">
      <c r="A1207" s="76"/>
      <c r="B1207" s="76"/>
      <c r="C1207" s="285"/>
      <c r="D1207" s="288"/>
      <c r="E1207" s="288"/>
      <c r="F1207" s="288"/>
      <c r="G1207" s="288"/>
    </row>
    <row r="1208" spans="1:7" ht="12.75" customHeight="1">
      <c r="A1208" s="76"/>
      <c r="B1208" s="76"/>
      <c r="C1208" s="285"/>
      <c r="D1208" s="1643" t="s">
        <v>1562</v>
      </c>
      <c r="E1208" s="1643"/>
      <c r="F1208" s="1643"/>
      <c r="G1208" s="288"/>
    </row>
    <row r="1209" spans="1:7" ht="12.75" customHeight="1">
      <c r="A1209" s="76"/>
      <c r="B1209" s="76"/>
      <c r="C1209" s="285"/>
      <c r="D1209" s="1644" t="s">
        <v>1572</v>
      </c>
      <c r="E1209" s="1644"/>
      <c r="F1209" s="1644"/>
      <c r="G1209" s="288"/>
    </row>
    <row r="1210" spans="1:7" ht="12.75" customHeight="1">
      <c r="A1210" s="76"/>
      <c r="B1210" s="76"/>
      <c r="C1210" s="285"/>
      <c r="D1210" s="288"/>
      <c r="E1210" s="288"/>
      <c r="F1210" s="288"/>
      <c r="G1210" s="288"/>
    </row>
    <row r="1211" spans="1:7" ht="14.4">
      <c r="A1211" s="413"/>
      <c r="B1211" s="947" t="s">
        <v>136</v>
      </c>
      <c r="C1211" s="14"/>
      <c r="D1211" s="1591" t="s">
        <v>1125</v>
      </c>
      <c r="E1211" s="1591"/>
      <c r="F1211" s="1591"/>
    </row>
    <row r="1212" spans="1:7" ht="13.2">
      <c r="A1212" s="140"/>
      <c r="B1212" s="140"/>
      <c r="C1212" s="14"/>
      <c r="D1212" s="1584" t="s">
        <v>1256</v>
      </c>
      <c r="E1212" s="1584"/>
      <c r="F1212" s="1584"/>
    </row>
    <row r="1213" spans="1:7" ht="13.2">
      <c r="A1213" s="140"/>
      <c r="B1213" s="140"/>
      <c r="C1213" s="14"/>
      <c r="D1213" s="282"/>
      <c r="E1213" s="1608" t="s">
        <v>1693</v>
      </c>
      <c r="F1213" s="1608"/>
    </row>
    <row r="1214" spans="1:7" ht="13.2">
      <c r="A1214" s="140"/>
      <c r="B1214" s="140"/>
      <c r="C1214" s="14"/>
      <c r="D1214" s="6"/>
      <c r="E1214" s="282"/>
      <c r="F1214" s="282"/>
    </row>
    <row r="1215" spans="1:7" ht="13.2">
      <c r="A1215" s="140"/>
      <c r="B1215" s="140"/>
      <c r="C1215" s="14"/>
      <c r="D1215" s="1642" t="s">
        <v>1407</v>
      </c>
      <c r="E1215" s="1642"/>
      <c r="F1215" s="1642"/>
    </row>
    <row r="1216" spans="1:7" ht="13.2">
      <c r="A1216" s="140"/>
      <c r="B1216" s="947" t="s">
        <v>136</v>
      </c>
      <c r="C1216" s="140"/>
      <c r="D1216" s="1582" t="s">
        <v>1694</v>
      </c>
      <c r="E1216" s="1582"/>
      <c r="F1216" s="1582"/>
      <c r="G1216" s="2"/>
    </row>
    <row r="1217" spans="1:7" ht="13.2">
      <c r="A1217" s="140"/>
      <c r="B1217" s="140"/>
      <c r="C1217" s="14"/>
      <c r="D1217" s="1582"/>
      <c r="E1217" s="1582"/>
      <c r="F1217" s="1582"/>
      <c r="G1217" s="2"/>
    </row>
    <row r="1218" spans="1:7" ht="13.2">
      <c r="A1218" s="140"/>
      <c r="B1218" s="140"/>
      <c r="C1218" s="14"/>
      <c r="D1218" s="807" t="s">
        <v>1410</v>
      </c>
      <c r="E1218" s="2"/>
      <c r="F1218" s="2"/>
      <c r="G1218" s="2"/>
    </row>
    <row r="1219" spans="1:7" ht="13.95" customHeight="1">
      <c r="A1219" s="140"/>
      <c r="B1219" s="140"/>
      <c r="C1219" s="14"/>
      <c r="D1219" s="1582" t="s">
        <v>1695</v>
      </c>
      <c r="E1219" s="1582"/>
      <c r="F1219" s="1582"/>
      <c r="G1219" s="2"/>
    </row>
    <row r="1220" spans="1:7" ht="13.2">
      <c r="A1220" s="140"/>
      <c r="B1220" s="140"/>
      <c r="C1220" s="14"/>
      <c r="D1220" s="1582"/>
      <c r="E1220" s="1582"/>
      <c r="F1220" s="1582"/>
      <c r="G1220" s="2"/>
    </row>
    <row r="1221" spans="1:7" ht="13.2">
      <c r="A1221" s="140"/>
      <c r="B1221" s="140"/>
      <c r="C1221" s="14"/>
      <c r="D1221" s="1582"/>
      <c r="E1221" s="1582"/>
      <c r="F1221" s="1582"/>
      <c r="G1221" s="2"/>
    </row>
    <row r="1222" spans="1:7" ht="13.2">
      <c r="A1222" s="140"/>
      <c r="B1222" s="140"/>
      <c r="C1222" s="14"/>
      <c r="D1222" s="1582"/>
      <c r="E1222" s="1582"/>
      <c r="F1222" s="1582"/>
      <c r="G1222" s="2"/>
    </row>
    <row r="1223" spans="1:7" ht="13.2">
      <c r="A1223" s="140"/>
      <c r="B1223" s="140"/>
      <c r="C1223" s="14"/>
      <c r="D1223" s="1608" t="s">
        <v>1128</v>
      </c>
      <c r="E1223" s="1608"/>
      <c r="F1223" s="1608"/>
      <c r="G1223" s="2"/>
    </row>
    <row r="1224" spans="1:7" ht="13.2">
      <c r="A1224" s="140"/>
      <c r="B1224" s="947" t="s">
        <v>136</v>
      </c>
      <c r="C1224" s="140"/>
      <c r="D1224" s="1591" t="s">
        <v>1408</v>
      </c>
      <c r="E1224" s="1591"/>
      <c r="F1224" s="1591"/>
      <c r="G1224" s="2"/>
    </row>
    <row r="1225" spans="1:7" ht="13.2">
      <c r="A1225" s="140"/>
      <c r="B1225" s="140"/>
      <c r="C1225" s="14"/>
      <c r="D1225" s="282"/>
      <c r="E1225" s="2"/>
      <c r="F1225" s="2"/>
      <c r="G1225" s="2"/>
    </row>
    <row r="1226" spans="1:7" ht="13.2">
      <c r="A1226" s="140"/>
      <c r="B1226" s="140"/>
      <c r="C1226" s="14"/>
      <c r="D1226" s="1614" t="s">
        <v>1409</v>
      </c>
      <c r="E1226" s="1614"/>
      <c r="F1226" s="1614"/>
      <c r="G1226" s="2"/>
    </row>
    <row r="1227" spans="1:7" ht="13.2">
      <c r="A1227" s="140"/>
      <c r="B1227" s="140"/>
      <c r="C1227" s="14"/>
      <c r="D1227" s="6" t="s">
        <v>1126</v>
      </c>
      <c r="E1227" s="2"/>
      <c r="F1227" s="2"/>
      <c r="G1227" s="2"/>
    </row>
    <row r="1228" spans="1:7" ht="14.7" customHeight="1">
      <c r="A1228" s="413"/>
      <c r="B1228" s="947" t="s">
        <v>136</v>
      </c>
      <c r="C1228" s="140"/>
      <c r="D1228" s="1582" t="s">
        <v>1696</v>
      </c>
      <c r="E1228" s="1582"/>
      <c r="F1228" s="1582"/>
      <c r="G1228" s="2"/>
    </row>
    <row r="1229" spans="1:7" ht="14.4">
      <c r="A1229" s="413"/>
      <c r="B1229" s="413"/>
      <c r="C1229" s="140"/>
      <c r="D1229" s="1582"/>
      <c r="E1229" s="1582"/>
      <c r="F1229" s="1582"/>
      <c r="G1229" s="2"/>
    </row>
    <row r="1230" spans="1:7" ht="14.4">
      <c r="A1230" s="413"/>
      <c r="B1230" s="413"/>
      <c r="C1230" s="140"/>
      <c r="D1230" s="1582"/>
      <c r="E1230" s="1582"/>
      <c r="F1230" s="1582"/>
      <c r="G1230" s="2"/>
    </row>
    <row r="1231" spans="1:7" ht="14.4">
      <c r="A1231" s="413"/>
      <c r="B1231" s="413"/>
      <c r="C1231" s="14"/>
      <c r="D1231" s="282"/>
      <c r="E1231" s="2"/>
      <c r="F1231" s="2"/>
      <c r="G1231" s="2"/>
    </row>
    <row r="1232" spans="1:7" ht="14.4">
      <c r="A1232" s="413"/>
      <c r="B1232" s="413"/>
      <c r="C1232" s="14"/>
      <c r="D1232" s="663" t="s">
        <v>1254</v>
      </c>
      <c r="E1232" s="663"/>
      <c r="F1232" s="663"/>
    </row>
    <row r="1233" spans="1:7" ht="14.4">
      <c r="A1233" s="413"/>
      <c r="B1233" s="947" t="s">
        <v>136</v>
      </c>
      <c r="C1233" s="14"/>
      <c r="D1233" s="1582" t="s">
        <v>1697</v>
      </c>
      <c r="E1233" s="1582"/>
      <c r="F1233" s="1582"/>
    </row>
    <row r="1234" spans="1:7" ht="14.4">
      <c r="A1234" s="413"/>
      <c r="B1234" s="413"/>
      <c r="C1234" s="14"/>
      <c r="D1234" s="1582"/>
      <c r="E1234" s="1582"/>
      <c r="F1234" s="1582"/>
    </row>
    <row r="1235" spans="1:7" ht="14.4">
      <c r="A1235" s="413"/>
      <c r="B1235" s="413"/>
      <c r="C1235" s="14"/>
      <c r="D1235" s="1582"/>
      <c r="E1235" s="1582"/>
      <c r="F1235" s="1582"/>
    </row>
    <row r="1236" spans="1:7" ht="14.4">
      <c r="A1236" s="413"/>
      <c r="B1236" s="413"/>
      <c r="C1236" s="14"/>
      <c r="D1236" s="1582"/>
      <c r="E1236" s="1582"/>
      <c r="F1236" s="1582"/>
    </row>
    <row r="1237" spans="1:7" ht="14.4">
      <c r="A1237" s="413"/>
      <c r="B1237" s="413"/>
      <c r="C1237" s="14"/>
      <c r="D1237" s="1582"/>
      <c r="E1237" s="1582"/>
      <c r="F1237" s="1582"/>
    </row>
    <row r="1238" spans="1:7" ht="12.75" customHeight="1">
      <c r="A1238" s="76"/>
      <c r="B1238" s="76"/>
      <c r="C1238" s="285"/>
      <c r="D1238" s="288"/>
      <c r="E1238" s="288"/>
      <c r="F1238" s="288"/>
      <c r="G1238" s="288"/>
    </row>
    <row r="1239" spans="1:7" ht="13.2">
      <c r="A1239" s="1632" t="s">
        <v>1605</v>
      </c>
      <c r="B1239" s="1632"/>
      <c r="C1239" s="1632"/>
      <c r="D1239" s="1632"/>
      <c r="E1239" s="1632"/>
      <c r="F1239" s="1632"/>
      <c r="G1239" s="1632"/>
    </row>
    <row r="1240" spans="1:7" ht="13.2">
      <c r="A1240" s="76"/>
      <c r="B1240" s="76"/>
      <c r="C1240" s="285"/>
      <c r="D1240" s="288"/>
      <c r="E1240" s="288"/>
      <c r="F1240" s="288"/>
      <c r="G1240" s="288"/>
    </row>
    <row r="1241" spans="1:7" ht="13.2">
      <c r="A1241" s="76"/>
      <c r="B1241" s="76"/>
      <c r="C1241" s="285"/>
      <c r="D1241" s="1628" t="s">
        <v>1606</v>
      </c>
      <c r="E1241" s="1628"/>
      <c r="F1241" s="1628"/>
      <c r="G1241" s="288"/>
    </row>
    <row r="1242" spans="1:7" ht="13.2">
      <c r="A1242" s="419"/>
      <c r="B1242" s="419"/>
      <c r="C1242" s="407"/>
      <c r="D1242" s="1629" t="s">
        <v>1623</v>
      </c>
      <c r="E1242" s="1629"/>
      <c r="F1242" s="1629"/>
      <c r="G1242" s="408"/>
    </row>
    <row r="1243" spans="1:7" ht="10.5" customHeight="1">
      <c r="A1243" s="150"/>
      <c r="B1243" s="150"/>
    </row>
    <row r="1244" spans="1:7" ht="14.4">
      <c r="A1244" s="413"/>
      <c r="B1244" s="947" t="s">
        <v>136</v>
      </c>
      <c r="D1244" s="1591" t="s">
        <v>1257</v>
      </c>
      <c r="E1244" s="1591"/>
      <c r="F1244" s="1591"/>
    </row>
    <row r="1245" spans="1:7" ht="13.2">
      <c r="A1245" s="150"/>
      <c r="B1245" s="150"/>
      <c r="D1245" s="282"/>
      <c r="E1245" s="1614" t="s">
        <v>1532</v>
      </c>
      <c r="F1245" s="1614"/>
    </row>
    <row r="1246" spans="1:7" ht="13.2">
      <c r="A1246" s="140"/>
      <c r="B1246" s="140"/>
      <c r="C1246" s="14"/>
      <c r="D1246" s="953"/>
      <c r="E1246" s="953"/>
      <c r="F1246" s="953"/>
    </row>
    <row r="1247" spans="1:7" ht="13.95" customHeight="1"/>
    <row r="1248" spans="1:7" ht="13.95" customHeight="1"/>
    <row r="1249" spans="1:7" ht="13.95" customHeight="1"/>
    <row r="1250" spans="1:7" ht="13.95" customHeight="1"/>
    <row r="1251" spans="1:7" ht="13.95" customHeight="1"/>
    <row r="1252" spans="1:7" ht="13.95" customHeight="1"/>
    <row r="1253" spans="1:7" ht="13.95" customHeight="1"/>
    <row r="1254" spans="1:7" ht="13.95" customHeight="1">
      <c r="A1254" s="2"/>
      <c r="B1254" s="2"/>
      <c r="C1254" s="2"/>
      <c r="D1254" s="2"/>
      <c r="E1254" s="2"/>
      <c r="F1254" s="2"/>
      <c r="G1254" s="2"/>
    </row>
    <row r="1255" spans="1:7" ht="13.95" customHeight="1">
      <c r="A1255" s="2"/>
      <c r="B1255" s="2"/>
      <c r="C1255" s="2"/>
      <c r="D1255" s="2"/>
      <c r="E1255" s="2"/>
      <c r="F1255" s="2"/>
      <c r="G1255" s="2"/>
    </row>
    <row r="1256" spans="1:7" ht="13.95" customHeight="1">
      <c r="A1256" s="2"/>
      <c r="B1256" s="2"/>
      <c r="C1256" s="2"/>
      <c r="D1256" s="2"/>
      <c r="E1256" s="2"/>
      <c r="F1256" s="2"/>
      <c r="G1256" s="2"/>
    </row>
    <row r="1257" spans="1:7" ht="13.95" customHeight="1">
      <c r="A1257" s="2"/>
      <c r="B1257" s="2"/>
      <c r="C1257" s="2"/>
      <c r="D1257" s="2"/>
      <c r="E1257" s="2"/>
      <c r="F1257" s="2"/>
      <c r="G1257" s="2"/>
    </row>
    <row r="1258" spans="1:7" ht="13.95" customHeight="1">
      <c r="A1258" s="2"/>
      <c r="B1258" s="2"/>
      <c r="C1258" s="2"/>
      <c r="D1258" s="2"/>
      <c r="E1258" s="2"/>
      <c r="F1258" s="2"/>
      <c r="G1258" s="2"/>
    </row>
    <row r="1259" spans="1:7" ht="13.95" customHeight="1">
      <c r="A1259" s="2"/>
      <c r="B1259" s="2"/>
      <c r="C1259" s="2"/>
      <c r="D1259" s="2"/>
      <c r="E1259" s="2"/>
      <c r="F1259" s="2"/>
      <c r="G1259" s="2"/>
    </row>
    <row r="1260" spans="1:7" ht="13.95" customHeight="1">
      <c r="A1260" s="2"/>
      <c r="B1260" s="2"/>
      <c r="C1260" s="2"/>
      <c r="D1260" s="2"/>
      <c r="E1260" s="2"/>
      <c r="F1260" s="2"/>
      <c r="G1260" s="2"/>
    </row>
    <row r="1261" spans="1:7" ht="13.95" customHeight="1">
      <c r="A1261" s="2"/>
      <c r="B1261" s="2"/>
      <c r="C1261" s="2"/>
      <c r="D1261" s="2"/>
      <c r="E1261" s="2"/>
      <c r="F1261" s="2"/>
      <c r="G1261" s="2"/>
    </row>
    <row r="1262" spans="1:7" ht="13.95" customHeight="1">
      <c r="A1262" s="2"/>
      <c r="B1262" s="2"/>
      <c r="C1262" s="2"/>
      <c r="D1262" s="2"/>
      <c r="E1262" s="2"/>
      <c r="F1262" s="2"/>
      <c r="G1262" s="2"/>
    </row>
    <row r="1263" spans="1:7" ht="13.95" customHeight="1">
      <c r="A1263" s="2"/>
      <c r="B1263" s="2"/>
      <c r="C1263" s="2"/>
      <c r="D1263" s="2"/>
      <c r="E1263" s="2"/>
      <c r="F1263" s="2"/>
      <c r="G1263" s="2"/>
    </row>
    <row r="1264" spans="1:7" ht="13.95" customHeight="1">
      <c r="A1264" s="2"/>
      <c r="B1264" s="2"/>
      <c r="C1264" s="2"/>
      <c r="D1264" s="2"/>
      <c r="E1264" s="2"/>
      <c r="F1264" s="2"/>
      <c r="G1264" s="2"/>
    </row>
    <row r="1265" spans="1:7" ht="13.95" customHeight="1">
      <c r="A1265" s="2"/>
      <c r="B1265" s="2"/>
      <c r="C1265" s="2"/>
      <c r="D1265" s="2"/>
      <c r="E1265" s="2"/>
      <c r="F1265" s="2"/>
      <c r="G1265" s="2"/>
    </row>
    <row r="1266" spans="1:7" ht="13.95" customHeight="1">
      <c r="A1266" s="2"/>
      <c r="B1266" s="2"/>
      <c r="C1266" s="2"/>
      <c r="D1266" s="2"/>
      <c r="E1266" s="2"/>
      <c r="F1266" s="2"/>
      <c r="G1266" s="2"/>
    </row>
    <row r="1267" spans="1:7" ht="13.95" customHeight="1">
      <c r="A1267" s="2"/>
      <c r="B1267" s="2"/>
      <c r="C1267" s="2"/>
      <c r="D1267" s="2"/>
      <c r="E1267" s="2"/>
      <c r="F1267" s="2"/>
      <c r="G1267" s="2"/>
    </row>
    <row r="1268" spans="1:7" ht="13.95" customHeight="1">
      <c r="A1268" s="2"/>
      <c r="B1268" s="2"/>
      <c r="C1268" s="2"/>
      <c r="D1268" s="2"/>
      <c r="E1268" s="2"/>
      <c r="F1268" s="2"/>
      <c r="G1268" s="2"/>
    </row>
    <row r="1269" spans="1:7" ht="13.95" customHeight="1">
      <c r="A1269" s="2"/>
      <c r="B1269" s="2"/>
      <c r="C1269" s="2"/>
      <c r="D1269" s="2"/>
      <c r="E1269" s="2"/>
      <c r="F1269" s="2"/>
      <c r="G1269" s="2"/>
    </row>
    <row r="1270" spans="1:7" ht="13.95" customHeight="1">
      <c r="A1270" s="2"/>
      <c r="B1270" s="2"/>
      <c r="C1270" s="2"/>
      <c r="D1270" s="2"/>
      <c r="E1270" s="2"/>
      <c r="F1270" s="2"/>
      <c r="G1270" s="2"/>
    </row>
    <row r="1271" spans="1:7" ht="13.95" customHeight="1">
      <c r="A1271" s="2"/>
      <c r="B1271" s="2"/>
      <c r="C1271" s="2"/>
      <c r="D1271" s="2"/>
      <c r="E1271" s="2"/>
      <c r="F1271" s="2"/>
      <c r="G1271" s="2"/>
    </row>
    <row r="1272" spans="1:7" ht="13.95" customHeight="1">
      <c r="A1272" s="2"/>
      <c r="B1272" s="2"/>
      <c r="C1272" s="2"/>
      <c r="D1272" s="2"/>
      <c r="E1272" s="2"/>
      <c r="F1272" s="2"/>
      <c r="G1272" s="2"/>
    </row>
    <row r="1273" spans="1:7" ht="13.95" customHeight="1">
      <c r="A1273" s="2"/>
      <c r="B1273" s="2"/>
      <c r="C1273" s="2"/>
      <c r="D1273" s="2"/>
      <c r="E1273" s="2"/>
      <c r="F1273" s="2"/>
      <c r="G1273" s="2"/>
    </row>
    <row r="1274" spans="1:7" ht="13.95" customHeight="1">
      <c r="A1274" s="2"/>
      <c r="B1274" s="2"/>
      <c r="C1274" s="2"/>
      <c r="D1274" s="2"/>
      <c r="E1274" s="2"/>
      <c r="F1274" s="2"/>
      <c r="G1274" s="2"/>
    </row>
    <row r="1275" spans="1:7" ht="13.95" customHeight="1">
      <c r="A1275" s="2"/>
      <c r="B1275" s="2"/>
      <c r="C1275" s="2"/>
      <c r="D1275" s="2"/>
      <c r="E1275" s="2"/>
      <c r="F1275" s="2"/>
      <c r="G1275" s="2"/>
    </row>
    <row r="1276" spans="1:7" ht="13.95" customHeight="1">
      <c r="A1276" s="2"/>
      <c r="B1276" s="2"/>
      <c r="C1276" s="2"/>
      <c r="D1276" s="2"/>
      <c r="E1276" s="2"/>
      <c r="F1276" s="2"/>
      <c r="G1276" s="2"/>
    </row>
    <row r="1277" spans="1:7" ht="13.95" customHeight="1">
      <c r="A1277" s="2"/>
      <c r="B1277" s="2"/>
      <c r="C1277" s="2"/>
      <c r="D1277" s="2"/>
      <c r="E1277" s="2"/>
      <c r="F1277" s="2"/>
      <c r="G1277" s="2"/>
    </row>
    <row r="1278" spans="1:7" ht="13.95" customHeight="1">
      <c r="A1278" s="2"/>
      <c r="B1278" s="2"/>
      <c r="C1278" s="2"/>
      <c r="D1278" s="2"/>
      <c r="E1278" s="2"/>
      <c r="F1278" s="2"/>
      <c r="G1278" s="2"/>
    </row>
    <row r="1279" spans="1:7" ht="13.95" customHeight="1">
      <c r="A1279" s="2"/>
      <c r="B1279" s="2"/>
      <c r="C1279" s="2"/>
      <c r="D1279" s="2"/>
      <c r="E1279" s="2"/>
      <c r="F1279" s="2"/>
      <c r="G1279" s="2"/>
    </row>
    <row r="1280" spans="1:7" ht="13.95" customHeight="1">
      <c r="A1280" s="2"/>
      <c r="B1280" s="2"/>
      <c r="C1280" s="2"/>
      <c r="D1280" s="2"/>
      <c r="E1280" s="2"/>
      <c r="F1280" s="2"/>
      <c r="G1280" s="2"/>
    </row>
    <row r="1281" ht="13.95" customHeight="1"/>
    <row r="1282" ht="13.95" customHeight="1"/>
    <row r="1283" ht="13.95" customHeight="1"/>
    <row r="1284" ht="13.95" customHeight="1"/>
    <row r="1285" ht="13.95" customHeight="1"/>
    <row r="1286" ht="13.95" customHeight="1"/>
    <row r="1287" ht="13.95" customHeight="1"/>
    <row r="1288" ht="13.95" customHeight="1"/>
    <row r="1289" ht="13.95" customHeight="1"/>
    <row r="1290" ht="13.95" customHeight="1"/>
    <row r="1291" ht="13.95" customHeight="1"/>
    <row r="1292" ht="13.95" customHeight="1"/>
    <row r="1293" ht="13.95" customHeight="1"/>
    <row r="1294" ht="13.95" customHeight="1"/>
    <row r="1295" ht="13.95" customHeight="1"/>
    <row r="1296" ht="13.95" customHeight="1"/>
    <row r="1297" ht="13.95" customHeight="1"/>
    <row r="1298" ht="13.95" customHeight="1"/>
    <row r="1299" ht="13.95" customHeight="1"/>
    <row r="1300" ht="13.95" customHeight="1"/>
    <row r="1301" ht="13.95" customHeight="1"/>
    <row r="1302" ht="13.95" customHeight="1"/>
    <row r="1303" ht="13.95" customHeight="1"/>
    <row r="1304" ht="13.95" customHeight="1"/>
    <row r="1305" ht="13.95" customHeight="1"/>
    <row r="1306" ht="13.95" customHeight="1"/>
    <row r="1307" ht="13.95" customHeight="1"/>
    <row r="1308" ht="13.95" customHeight="1"/>
    <row r="1309" ht="13.95" customHeight="1"/>
    <row r="1310" ht="13.95" customHeight="1"/>
    <row r="1311" ht="13.95" customHeight="1"/>
    <row r="1312"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topLeftCell="A7" zoomScaleNormal="100" zoomScaleSheetLayoutView="100" workbookViewId="0">
      <selection activeCell="A10" sqref="A10:AL10"/>
    </sheetView>
  </sheetViews>
  <sheetFormatPr defaultColWidth="0" defaultRowHeight="0" customHeight="1" zeroHeight="1"/>
  <cols>
    <col min="1" max="38" width="2.4414062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44140625" style="16" hidden="1" customWidth="1"/>
    <col min="82" max="83" width="2.6640625" style="16" hidden="1" customWidth="1"/>
    <col min="84" max="84" width="2.4414062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0" t="s">
        <v>868</v>
      </c>
      <c r="B9" s="1990"/>
      <c r="C9" s="1990"/>
      <c r="D9" s="1990"/>
      <c r="E9" s="1990"/>
      <c r="F9" s="1990"/>
      <c r="G9" s="1990"/>
      <c r="H9" s="1990"/>
      <c r="I9" s="1990"/>
      <c r="J9" s="1990"/>
      <c r="K9" s="1990"/>
      <c r="L9" s="1990"/>
      <c r="M9" s="1990"/>
      <c r="N9" s="1990"/>
      <c r="O9" s="1990"/>
      <c r="P9" s="1990"/>
      <c r="Q9" s="1990"/>
      <c r="R9" s="1990"/>
      <c r="S9" s="1990"/>
      <c r="T9" s="1990"/>
      <c r="U9" s="1990"/>
      <c r="V9" s="1990"/>
      <c r="W9" s="1990"/>
      <c r="X9" s="1990"/>
      <c r="Y9" s="1990"/>
      <c r="Z9" s="1990"/>
      <c r="AA9" s="1990"/>
      <c r="AB9" s="1990"/>
      <c r="AC9" s="1990"/>
      <c r="AD9" s="1990"/>
      <c r="AE9" s="1990"/>
      <c r="AF9" s="1990"/>
      <c r="AG9" s="1990"/>
      <c r="AH9" s="1990"/>
      <c r="AI9" s="1990"/>
      <c r="AJ9" s="1990"/>
      <c r="AK9" s="1990"/>
      <c r="AL9" s="1990"/>
    </row>
    <row r="10" spans="1:38" ht="15" customHeight="1">
      <c r="A10" s="1992" t="s">
        <v>2246</v>
      </c>
      <c r="B10" s="1992"/>
      <c r="C10" s="1992"/>
      <c r="D10" s="1992"/>
      <c r="E10" s="1992"/>
      <c r="F10" s="1992"/>
      <c r="G10" s="1992"/>
      <c r="H10" s="1992"/>
      <c r="I10" s="1992"/>
      <c r="J10" s="1992"/>
      <c r="K10" s="1992"/>
      <c r="L10" s="1992"/>
      <c r="M10" s="1992"/>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c r="AI10" s="1992"/>
      <c r="AJ10" s="1992"/>
      <c r="AK10" s="1992"/>
      <c r="AL10" s="1992"/>
    </row>
    <row r="11" spans="1:38" s="642" customFormat="1" ht="13.2">
      <c r="A11" s="1993" t="s">
        <v>2369</v>
      </c>
      <c r="B11" s="1994"/>
      <c r="C11" s="1994"/>
      <c r="D11" s="1994"/>
      <c r="E11" s="1994"/>
      <c r="F11" s="1994"/>
      <c r="G11" s="1994"/>
      <c r="H11" s="1994"/>
      <c r="I11" s="1994"/>
      <c r="J11" s="1994"/>
      <c r="K11" s="1994"/>
      <c r="L11" s="1994"/>
      <c r="M11" s="1994"/>
      <c r="N11" s="1994"/>
      <c r="O11" s="1994"/>
      <c r="P11" s="1994"/>
      <c r="Q11" s="1994"/>
      <c r="R11" s="1994"/>
      <c r="S11" s="1994"/>
      <c r="T11" s="1994"/>
      <c r="U11" s="1994"/>
      <c r="V11" s="1994"/>
      <c r="W11" s="1994"/>
      <c r="X11" s="1994"/>
      <c r="Y11" s="1994"/>
      <c r="Z11" s="1994"/>
      <c r="AA11" s="1994"/>
      <c r="AB11" s="1994"/>
      <c r="AC11" s="1994"/>
      <c r="AD11" s="1994"/>
      <c r="AE11" s="1994"/>
      <c r="AF11" s="1994"/>
      <c r="AG11" s="1994"/>
      <c r="AH11" s="1994"/>
      <c r="AI11" s="1994"/>
      <c r="AJ11" s="1994"/>
      <c r="AK11" s="1994"/>
      <c r="AL11" s="1994"/>
    </row>
    <row r="12" spans="1:38" ht="13.2">
      <c r="A12" s="1554" t="s">
        <v>2136</v>
      </c>
      <c r="B12" s="1554"/>
      <c r="C12" s="1554"/>
      <c r="D12" s="1554"/>
      <c r="E12" s="1554"/>
      <c r="F12" s="1554"/>
      <c r="G12" s="1554"/>
      <c r="H12" s="1554"/>
      <c r="I12" s="1554"/>
      <c r="J12" s="1554"/>
      <c r="K12" s="1554"/>
      <c r="L12" s="1554"/>
      <c r="M12" s="1554"/>
      <c r="N12" s="1554"/>
      <c r="O12" s="1554"/>
      <c r="P12" s="1554"/>
      <c r="Q12" s="1554"/>
      <c r="R12" s="1554"/>
      <c r="S12" s="1554"/>
      <c r="T12" s="1554"/>
      <c r="U12" s="1554"/>
      <c r="V12" s="1554"/>
      <c r="W12" s="1554"/>
      <c r="X12" s="1554"/>
      <c r="Y12" s="1554"/>
      <c r="Z12" s="1554"/>
      <c r="AA12" s="1554"/>
      <c r="AB12" s="1554"/>
      <c r="AC12" s="1554"/>
      <c r="AD12" s="1554"/>
      <c r="AE12" s="1554"/>
      <c r="AF12" s="1554"/>
      <c r="AG12" s="1554"/>
      <c r="AH12" s="1554"/>
      <c r="AI12" s="1554"/>
      <c r="AJ12" s="1554"/>
      <c r="AK12" s="1554"/>
      <c r="AL12" s="1554"/>
    </row>
    <row r="13" spans="1:38" ht="12.75" customHeight="1" thickBot="1">
      <c r="A13" s="1556"/>
      <c r="B13" s="1556"/>
      <c r="C13" s="1556"/>
      <c r="D13" s="1556"/>
      <c r="E13" s="1556"/>
      <c r="F13" s="1556"/>
      <c r="G13" s="1556"/>
      <c r="H13" s="1556"/>
      <c r="I13" s="1556"/>
      <c r="J13" s="1556"/>
      <c r="K13" s="1556"/>
      <c r="L13" s="1556"/>
      <c r="M13" s="1556"/>
      <c r="N13" s="1556"/>
      <c r="O13" s="1556"/>
      <c r="P13" s="1556"/>
      <c r="Q13" s="1556"/>
      <c r="R13" s="1556"/>
      <c r="S13" s="1556"/>
      <c r="T13" s="1556"/>
      <c r="U13" s="1556"/>
      <c r="V13" s="1556"/>
      <c r="W13" s="1556"/>
      <c r="X13" s="1556"/>
      <c r="Y13" s="1556"/>
      <c r="Z13" s="1556"/>
      <c r="AA13" s="1556"/>
      <c r="AB13" s="1556"/>
      <c r="AC13" s="1556"/>
      <c r="AD13" s="1556"/>
      <c r="AE13" s="1556"/>
      <c r="AF13" s="1556"/>
      <c r="AG13" s="1556"/>
      <c r="AH13" s="1556"/>
      <c r="AI13" s="1556"/>
      <c r="AJ13" s="1556"/>
      <c r="AK13" s="1556"/>
      <c r="AL13" s="155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5" t="s">
        <v>2370</v>
      </c>
      <c r="I15" s="1845"/>
      <c r="J15" s="1845"/>
      <c r="K15" s="1845"/>
      <c r="L15" s="1845"/>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row>
    <row r="16" spans="1:38" ht="12.75" customHeight="1"/>
    <row r="17" spans="1:40" ht="12.75" customHeight="1">
      <c r="A17" s="142" t="s">
        <v>869</v>
      </c>
      <c r="C17" s="8"/>
      <c r="D17" s="8"/>
      <c r="E17" s="8"/>
      <c r="F17" s="8"/>
      <c r="G17" s="8"/>
      <c r="H17" s="1703" t="s">
        <v>2371</v>
      </c>
      <c r="I17" s="1694"/>
      <c r="J17" s="1694"/>
      <c r="K17" s="1694"/>
      <c r="L17" s="1694"/>
      <c r="M17" s="1694"/>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row>
    <row r="18" spans="1:40" ht="12.75" customHeight="1"/>
    <row r="19" spans="1:40" ht="15" customHeight="1">
      <c r="A19" s="1575" t="s">
        <v>1218</v>
      </c>
      <c r="B19" s="1575"/>
      <c r="C19" s="1575"/>
      <c r="D19" s="1575"/>
      <c r="E19" s="1575"/>
      <c r="F19" s="1575"/>
      <c r="G19" s="1575"/>
      <c r="H19" s="1575"/>
      <c r="I19" s="1575"/>
      <c r="J19" s="1575"/>
      <c r="K19" s="1575"/>
      <c r="L19" s="1575"/>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row>
    <row r="20" spans="1:40" ht="12.75" customHeight="1">
      <c r="A20" s="1995" t="s">
        <v>1493</v>
      </c>
      <c r="B20" s="1995"/>
      <c r="C20" s="1995"/>
      <c r="D20" s="1995"/>
      <c r="E20" s="1995"/>
      <c r="F20" s="1995"/>
      <c r="G20" s="1995"/>
      <c r="H20" s="1995"/>
      <c r="I20" s="1995"/>
      <c r="J20" s="1995"/>
      <c r="K20" s="1995"/>
      <c r="L20" s="1995"/>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1">
        <f>ROUND('Basis &amp; Credits'!AB55,0)</f>
        <v>2883928</v>
      </c>
      <c r="N25" s="1971"/>
      <c r="O25" s="1971"/>
      <c r="P25" s="1971"/>
      <c r="Q25" s="1971"/>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1">
        <f>'Basis &amp; Credits'!AB76</f>
        <v>0</v>
      </c>
      <c r="N27" s="1971"/>
      <c r="O27" s="1971"/>
      <c r="P27" s="1971"/>
      <c r="Q27" s="1971"/>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96" t="s">
        <v>136</v>
      </c>
      <c r="P33" s="1696"/>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7"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7"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7"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7"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37"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38"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37"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7"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1497</v>
      </c>
    </row>
    <row r="117" spans="1:39" ht="13.2">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3"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870">
        <v>30</v>
      </c>
      <c r="H128" s="1870"/>
      <c r="I128" s="72" t="s">
        <v>461</v>
      </c>
      <c r="J128" s="72"/>
      <c r="L128" s="1852" t="s">
        <v>2372</v>
      </c>
      <c r="M128" s="1853"/>
      <c r="N128" s="1853"/>
      <c r="O128" s="72" t="s">
        <v>2247</v>
      </c>
      <c r="P128" s="72"/>
      <c r="Q128" s="72"/>
      <c r="R128" s="72"/>
      <c r="S128" s="72"/>
      <c r="T128" s="72"/>
      <c r="U128" s="72"/>
      <c r="V128" s="72"/>
      <c r="W128" s="72"/>
      <c r="X128" s="72" t="s">
        <v>463</v>
      </c>
      <c r="Y128" s="1354"/>
      <c r="Z128" s="1354"/>
      <c r="AA128" s="1354"/>
      <c r="AB128" s="1354"/>
      <c r="AC128" s="1354"/>
      <c r="AD128" s="1354"/>
      <c r="AE128" s="1354"/>
      <c r="AF128" s="1354"/>
      <c r="AG128" s="1354"/>
      <c r="AH128" s="1354"/>
      <c r="AI128" s="1354"/>
      <c r="AJ128" s="1354"/>
      <c r="AK128" s="1354"/>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1852" t="s">
        <v>2373</v>
      </c>
      <c r="D130" s="1853"/>
      <c r="E130" s="1853"/>
      <c r="F130" s="1853"/>
      <c r="G130" s="1853"/>
      <c r="H130" s="1853"/>
      <c r="I130" s="1853"/>
      <c r="J130" s="1853"/>
      <c r="K130" s="1853"/>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703" t="s">
        <v>2374</v>
      </c>
      <c r="Z131" s="1694"/>
      <c r="AA131" s="1694"/>
      <c r="AB131" s="1694"/>
      <c r="AC131" s="1694"/>
      <c r="AD131" s="1694"/>
      <c r="AE131" s="1694"/>
      <c r="AF131" s="1694"/>
      <c r="AG131" s="1694"/>
      <c r="AH131" s="1694"/>
      <c r="AI131" s="1694"/>
      <c r="AJ131" s="1694"/>
      <c r="AK131" s="1694"/>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48"/>
      <c r="B134" s="1348"/>
      <c r="C134" s="72"/>
      <c r="D134" s="72"/>
      <c r="E134" s="72"/>
      <c r="F134" s="72"/>
      <c r="G134" s="72"/>
      <c r="H134" s="72"/>
      <c r="I134" s="72"/>
      <c r="J134" s="72"/>
      <c r="K134" s="72"/>
      <c r="L134" s="72"/>
      <c r="M134" s="72"/>
      <c r="N134" s="72"/>
      <c r="O134" s="72"/>
      <c r="P134" s="72"/>
      <c r="Q134" s="72"/>
      <c r="R134" s="72"/>
      <c r="S134" s="72"/>
      <c r="T134" s="72"/>
      <c r="U134" s="72"/>
      <c r="V134" s="72"/>
      <c r="W134" s="72"/>
      <c r="X134" s="72"/>
      <c r="Y134" s="1703" t="s">
        <v>2375</v>
      </c>
      <c r="Z134" s="1694"/>
      <c r="AA134" s="1694"/>
      <c r="AB134" s="1694"/>
      <c r="AC134" s="1694"/>
      <c r="AD134" s="1694"/>
      <c r="AE134" s="1694"/>
      <c r="AF134" s="1694"/>
      <c r="AG134" s="1694"/>
      <c r="AH134" s="1694"/>
      <c r="AI134" s="1694"/>
      <c r="AJ134" s="1694"/>
      <c r="AK134" s="1694"/>
      <c r="AL134" s="1339"/>
      <c r="AM134" s="1339"/>
      <c r="AN134" s="1339"/>
      <c r="AO134" s="1339"/>
      <c r="AP134" s="1339"/>
      <c r="AQ134" s="1339"/>
      <c r="AR134" s="1339"/>
      <c r="AS134" s="1339"/>
      <c r="AT134" s="1339"/>
      <c r="AU134" s="1339"/>
      <c r="AV134" s="1339"/>
      <c r="AW134" s="1339"/>
      <c r="AX134" s="1339"/>
      <c r="AY134" s="1339"/>
      <c r="AZ134" s="1339"/>
      <c r="BA134" s="1339"/>
      <c r="BB134" s="1339"/>
      <c r="BC134" s="1339"/>
      <c r="BD134" s="1339"/>
    </row>
    <row r="135" spans="1:56" s="8" customFormat="1" ht="13.2">
      <c r="A135" s="77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4"/>
    </row>
    <row r="136" spans="1:56" ht="13.2">
      <c r="A136" s="773"/>
      <c r="B136" s="8"/>
      <c r="AL136" s="774"/>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703" t="s">
        <v>2376</v>
      </c>
      <c r="P156" s="1694"/>
      <c r="Q156" s="1694"/>
      <c r="R156" s="1694"/>
      <c r="S156" s="1694"/>
      <c r="T156" s="1694"/>
      <c r="U156" s="1694"/>
      <c r="V156" s="1694"/>
      <c r="W156" s="1694"/>
      <c r="X156" s="1694"/>
      <c r="Y156" s="1694"/>
      <c r="Z156" s="1694"/>
      <c r="AA156" s="1694"/>
      <c r="AB156" s="1694"/>
      <c r="AC156" s="1694"/>
      <c r="AD156" s="1694"/>
      <c r="AE156" s="1694"/>
      <c r="AF156" s="1694"/>
      <c r="AG156" s="1694"/>
      <c r="AH156" s="1694"/>
      <c r="BT156" s="16" t="s">
        <v>86</v>
      </c>
    </row>
    <row r="157" spans="1:72" ht="12.75" customHeight="1">
      <c r="D157" s="732" t="s">
        <v>602</v>
      </c>
      <c r="F157" s="42"/>
      <c r="G157" s="42"/>
      <c r="H157" s="42"/>
      <c r="I157" s="42"/>
      <c r="J157" s="42"/>
      <c r="K157" s="42"/>
      <c r="L157" s="42"/>
      <c r="M157" s="42"/>
      <c r="N157" s="42"/>
      <c r="O157" s="1701" t="s">
        <v>2377</v>
      </c>
      <c r="P157" s="1702"/>
      <c r="Q157" s="1702"/>
      <c r="R157" s="1702"/>
      <c r="S157" s="1702"/>
      <c r="T157" s="1702"/>
      <c r="U157" s="1702"/>
      <c r="V157" s="1702"/>
      <c r="W157" s="1702"/>
      <c r="X157" s="1702"/>
      <c r="Y157" s="1702"/>
      <c r="Z157" s="1702"/>
      <c r="AA157" s="1702"/>
      <c r="AB157" s="1702"/>
      <c r="AC157" s="1702"/>
      <c r="AD157" s="1702"/>
      <c r="AE157" s="1702"/>
      <c r="AF157" s="1702"/>
      <c r="AG157" s="1702"/>
      <c r="AH157" s="1702"/>
      <c r="AI157" s="16" t="s">
        <v>775</v>
      </c>
      <c r="BN157" s="47" t="s">
        <v>471</v>
      </c>
      <c r="BT157" s="16" t="s">
        <v>32</v>
      </c>
    </row>
    <row r="158" spans="1:72" ht="12.75" customHeight="1">
      <c r="D158" s="17" t="s">
        <v>603</v>
      </c>
      <c r="F158" s="17"/>
      <c r="G158" s="17"/>
      <c r="H158" s="17"/>
      <c r="I158" s="17"/>
      <c r="J158" s="17"/>
      <c r="K158" s="17"/>
      <c r="L158" s="17"/>
      <c r="M158" s="17"/>
      <c r="N158" s="17"/>
      <c r="O158" s="1850" t="s">
        <v>604</v>
      </c>
      <c r="P158" s="1850"/>
      <c r="Q158" s="1850"/>
      <c r="R158" s="1850"/>
      <c r="S158" s="1850"/>
      <c r="T158" s="1850"/>
      <c r="U158" s="1850"/>
      <c r="V158" s="1850"/>
      <c r="W158" s="1850"/>
      <c r="X158" s="1850"/>
      <c r="Y158" s="1850"/>
      <c r="Z158" s="1850"/>
      <c r="AA158" s="1850"/>
      <c r="AB158" s="1850"/>
      <c r="AC158" s="1850"/>
      <c r="AD158" s="1850"/>
      <c r="AE158" s="1850"/>
      <c r="AF158" s="1850"/>
      <c r="AG158" s="1850"/>
      <c r="AH158" s="1850"/>
      <c r="BN158" s="47" t="s">
        <v>472</v>
      </c>
      <c r="BT158" s="16" t="s">
        <v>33</v>
      </c>
    </row>
    <row r="159" spans="1:72" ht="12.75" customHeight="1">
      <c r="D159" s="42" t="s">
        <v>713</v>
      </c>
      <c r="F159" s="42"/>
      <c r="G159" s="42"/>
      <c r="H159" s="42"/>
      <c r="I159" s="42"/>
      <c r="J159" s="42"/>
      <c r="K159" s="42"/>
      <c r="L159" s="42"/>
      <c r="M159" s="42"/>
      <c r="N159" s="42"/>
      <c r="O159" s="1698" t="s">
        <v>2378</v>
      </c>
      <c r="P159" s="1698"/>
      <c r="Q159" s="1698"/>
      <c r="R159" s="1698"/>
      <c r="S159" s="1698"/>
      <c r="T159" s="1698"/>
      <c r="U159" s="1698"/>
      <c r="V159" s="1698"/>
      <c r="W159" s="1698"/>
      <c r="X159" s="1698"/>
      <c r="Y159" s="1698"/>
      <c r="Z159" s="1698"/>
      <c r="AA159" s="1698"/>
      <c r="AB159" s="1698"/>
      <c r="AC159" s="1698"/>
      <c r="AD159" s="1698"/>
      <c r="AE159" s="1698"/>
      <c r="AF159" s="1698"/>
      <c r="AG159" s="1698"/>
      <c r="AH159" s="1698"/>
      <c r="BN159" s="47" t="s">
        <v>80</v>
      </c>
      <c r="BT159" s="16" t="s">
        <v>432</v>
      </c>
    </row>
    <row r="160" spans="1:72" ht="12.75" customHeight="1">
      <c r="D160" s="42" t="s">
        <v>714</v>
      </c>
      <c r="F160" s="42"/>
      <c r="G160" s="42"/>
      <c r="H160" s="42"/>
      <c r="I160" s="42"/>
      <c r="J160" s="42"/>
      <c r="K160" s="42"/>
      <c r="L160" s="42"/>
      <c r="M160" s="42"/>
      <c r="N160" s="42"/>
      <c r="O160" s="1703" t="s">
        <v>457</v>
      </c>
      <c r="P160" s="1694"/>
      <c r="Q160" s="1694"/>
      <c r="R160" s="1694"/>
      <c r="S160" s="1694"/>
      <c r="T160" s="1694"/>
      <c r="U160" s="1694"/>
      <c r="V160" s="1694"/>
      <c r="W160" s="1694"/>
      <c r="X160" s="169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38">
        <v>94559</v>
      </c>
      <c r="P161" s="1838"/>
      <c r="Q161" s="1838"/>
      <c r="R161" s="183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40" t="s">
        <v>2379</v>
      </c>
      <c r="P162" s="1840"/>
      <c r="Q162" s="1840"/>
      <c r="R162" s="1840"/>
      <c r="S162" s="1840"/>
      <c r="T162" s="1840"/>
      <c r="V162" s="271" t="s">
        <v>12</v>
      </c>
      <c r="W162" s="1839"/>
      <c r="X162" s="1839"/>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40" t="s">
        <v>2381</v>
      </c>
      <c r="P163" s="1840"/>
      <c r="Q163" s="1840"/>
      <c r="R163" s="1840"/>
      <c r="S163" s="1840"/>
      <c r="T163" s="1840"/>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95" t="s">
        <v>2380</v>
      </c>
      <c r="P164" s="1695"/>
      <c r="Q164" s="1695"/>
      <c r="R164" s="1695"/>
      <c r="S164" s="1695"/>
      <c r="T164" s="1695"/>
      <c r="U164" s="1695"/>
      <c r="V164" s="1695"/>
      <c r="W164" s="1695"/>
      <c r="X164" s="1695"/>
      <c r="Y164" s="1695"/>
      <c r="Z164" s="1695"/>
      <c r="AA164" s="1695"/>
      <c r="AB164" s="1695"/>
      <c r="AC164" s="1695"/>
      <c r="AD164" s="1695"/>
      <c r="AE164" s="1695"/>
      <c r="AF164" s="1695"/>
      <c r="AG164" s="1695"/>
      <c r="AH164" s="169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5" t="s">
        <v>2195</v>
      </c>
      <c r="E167" s="1855"/>
      <c r="F167" s="1855"/>
      <c r="G167" s="1855"/>
      <c r="H167" s="1855"/>
      <c r="I167" s="1855"/>
      <c r="J167" s="1855"/>
      <c r="K167" s="1855"/>
      <c r="L167" s="1855"/>
      <c r="M167" s="1855"/>
      <c r="N167" s="1855"/>
      <c r="O167" s="1855"/>
      <c r="P167" s="1855"/>
      <c r="Q167" s="1855"/>
      <c r="R167" s="1855"/>
      <c r="S167" s="1855"/>
      <c r="T167" s="1855"/>
      <c r="U167" s="1855"/>
      <c r="V167" s="1855"/>
      <c r="W167" s="1855"/>
      <c r="X167" s="1855"/>
      <c r="Y167" s="1855"/>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689" t="s">
        <v>423</v>
      </c>
      <c r="B169" s="1689"/>
      <c r="C169" s="1689"/>
      <c r="D169" s="1689"/>
      <c r="E169" s="1689"/>
      <c r="F169" s="1689"/>
      <c r="G169" s="1689"/>
      <c r="H169" s="1689"/>
      <c r="I169" s="1689"/>
      <c r="J169" s="1689"/>
      <c r="K169" s="1689"/>
      <c r="L169" s="1689"/>
      <c r="M169" s="1689"/>
      <c r="N169" s="1689"/>
      <c r="O169" s="1689"/>
      <c r="P169" s="1689"/>
      <c r="Q169" s="1689"/>
      <c r="R169" s="1689"/>
      <c r="S169" s="1689"/>
      <c r="T169" s="1689"/>
      <c r="U169" s="1689"/>
      <c r="V169" s="1689"/>
      <c r="W169" s="1689"/>
      <c r="X169" s="1689"/>
      <c r="Y169" s="1689"/>
      <c r="Z169" s="1689"/>
      <c r="AA169" s="1689"/>
      <c r="AB169" s="1689"/>
      <c r="AC169" s="1689"/>
      <c r="AD169" s="1689"/>
      <c r="AE169" s="1689"/>
      <c r="AF169" s="1689"/>
      <c r="AG169" s="1689"/>
      <c r="AH169" s="1689"/>
      <c r="AI169" s="1689"/>
      <c r="AJ169" s="1689"/>
      <c r="AK169" s="1689"/>
      <c r="AL169" s="1689"/>
      <c r="BN169" s="47" t="s">
        <v>535</v>
      </c>
      <c r="BT169" s="16" t="s">
        <v>442</v>
      </c>
    </row>
    <row r="170" spans="1:72" ht="12.75" customHeight="1" thickBot="1">
      <c r="A170" s="1690"/>
      <c r="B170" s="1690"/>
      <c r="C170" s="1690"/>
      <c r="D170" s="1690"/>
      <c r="E170" s="1690"/>
      <c r="F170" s="1690"/>
      <c r="G170" s="1690"/>
      <c r="H170" s="1690"/>
      <c r="I170" s="1690"/>
      <c r="J170" s="1690"/>
      <c r="K170" s="1690"/>
      <c r="L170" s="1690"/>
      <c r="M170" s="1690"/>
      <c r="N170" s="1690"/>
      <c r="O170" s="1690"/>
      <c r="P170" s="1690"/>
      <c r="Q170" s="1690"/>
      <c r="R170" s="1690"/>
      <c r="S170" s="1690"/>
      <c r="T170" s="1690"/>
      <c r="U170" s="1690"/>
      <c r="V170" s="1690"/>
      <c r="W170" s="1690"/>
      <c r="X170" s="1690"/>
      <c r="Y170" s="1690"/>
      <c r="Z170" s="1690"/>
      <c r="AA170" s="1690"/>
      <c r="AB170" s="1690"/>
      <c r="AC170" s="1690"/>
      <c r="AD170" s="1690"/>
      <c r="AE170" s="1690"/>
      <c r="AF170" s="1690"/>
      <c r="AG170" s="1690"/>
      <c r="AH170" s="1690"/>
      <c r="AI170" s="1690"/>
      <c r="AJ170" s="1690"/>
      <c r="AK170" s="1690"/>
      <c r="AL170" s="1690"/>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1851" t="s">
        <v>563</v>
      </c>
      <c r="K173" s="1851"/>
      <c r="L173" s="1851"/>
      <c r="M173" s="1851"/>
      <c r="N173" s="1851"/>
      <c r="O173" s="1851"/>
      <c r="P173" s="1851"/>
      <c r="Q173" s="1851"/>
      <c r="R173" s="1851"/>
      <c r="S173" s="1851"/>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96" t="s">
        <v>119</v>
      </c>
      <c r="V174" s="1696"/>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49">
        <v>20</v>
      </c>
      <c r="V175" s="1849"/>
      <c r="W175" s="4" t="s">
        <v>259</v>
      </c>
      <c r="X175" s="1854">
        <v>171</v>
      </c>
      <c r="Y175" s="1854"/>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696" t="s">
        <v>531</v>
      </c>
      <c r="V176" s="1696"/>
      <c r="W176" s="3"/>
      <c r="X176" s="3"/>
      <c r="Y176" s="3"/>
      <c r="AD176" s="35"/>
      <c r="AF176" s="35"/>
      <c r="AH176" s="35"/>
      <c r="AJ176" s="3"/>
      <c r="AK176" s="3"/>
      <c r="AL176" s="3"/>
      <c r="BN176" s="47" t="s">
        <v>663</v>
      </c>
      <c r="BT176" s="16" t="s">
        <v>449</v>
      </c>
    </row>
    <row r="177" spans="1:72" ht="13.2">
      <c r="A177" s="35"/>
      <c r="C177" s="54"/>
      <c r="D177" s="596" t="s">
        <v>1363</v>
      </c>
      <c r="AD177" s="35"/>
      <c r="AF177" s="35"/>
      <c r="AH177" s="35"/>
      <c r="AJ177" s="3"/>
      <c r="AK177" s="3"/>
      <c r="AL177" s="3"/>
      <c r="BN177" s="47" t="s">
        <v>664</v>
      </c>
      <c r="BT177" s="16" t="s">
        <v>450</v>
      </c>
    </row>
    <row r="178" spans="1:72" ht="13.2">
      <c r="A178" s="35"/>
      <c r="C178" s="54"/>
      <c r="E178" s="779" t="s">
        <v>257</v>
      </c>
      <c r="F178" s="597"/>
      <c r="G178" s="779"/>
      <c r="H178" s="779" t="s">
        <v>258</v>
      </c>
      <c r="I178" s="597"/>
      <c r="J178" s="1985"/>
      <c r="K178" s="1985"/>
      <c r="L178" s="778" t="s">
        <v>259</v>
      </c>
      <c r="M178" s="1856"/>
      <c r="N178" s="1856"/>
      <c r="O178" s="597"/>
      <c r="P178" s="597"/>
      <c r="Q178" s="597"/>
      <c r="R178" s="597"/>
      <c r="U178" s="741" t="s">
        <v>1364</v>
      </c>
      <c r="V178" s="597"/>
      <c r="W178" s="779"/>
      <c r="X178" s="779"/>
      <c r="Y178" s="779"/>
      <c r="Z178" s="779"/>
      <c r="AA178" s="779"/>
      <c r="AB178" s="779"/>
      <c r="AD178" s="1986"/>
      <c r="AE178" s="1986"/>
      <c r="AF178" s="1986"/>
      <c r="AG178" s="1986"/>
      <c r="AH178" s="1986"/>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79"/>
      <c r="Q180" s="597"/>
      <c r="R180" s="597"/>
      <c r="Y180" s="1696" t="s">
        <v>531</v>
      </c>
      <c r="Z180" s="1841"/>
      <c r="AE180" s="35"/>
      <c r="AJ180" s="3"/>
      <c r="AK180" s="3"/>
      <c r="AL180" s="3"/>
      <c r="BN180" s="47" t="s">
        <v>668</v>
      </c>
      <c r="BT180" s="16" t="s">
        <v>453</v>
      </c>
    </row>
    <row r="181" spans="1:72" ht="13.2">
      <c r="A181" s="35"/>
      <c r="C181" s="55"/>
      <c r="D181" s="57"/>
      <c r="E181" s="596" t="s">
        <v>1362</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44" t="str">
        <f>H17</f>
        <v>Heritage House &amp; Valle Verde</v>
      </c>
      <c r="J184" s="1844"/>
      <c r="K184" s="1844"/>
      <c r="L184" s="1844"/>
      <c r="M184" s="1844"/>
      <c r="N184" s="1844"/>
      <c r="O184" s="1844"/>
      <c r="P184" s="1844"/>
      <c r="Q184" s="1844"/>
      <c r="R184" s="1844"/>
      <c r="S184" s="1844"/>
      <c r="T184" s="1844"/>
      <c r="U184" s="1844"/>
      <c r="V184" s="1844"/>
      <c r="W184" s="1844"/>
      <c r="X184" s="1844"/>
      <c r="Y184" s="1844"/>
      <c r="Z184" s="1844"/>
      <c r="AA184" s="1844"/>
      <c r="AB184" s="1844"/>
      <c r="AC184" s="1844"/>
      <c r="AD184" s="1844"/>
      <c r="AE184" s="1844"/>
      <c r="AF184" s="35"/>
      <c r="AH184" s="35"/>
      <c r="AJ184" s="3"/>
      <c r="AK184" s="3"/>
      <c r="AL184" s="3"/>
      <c r="BC184" s="35" t="s">
        <v>132</v>
      </c>
      <c r="BN184" s="47" t="s">
        <v>634</v>
      </c>
      <c r="BT184" s="16" t="s">
        <v>457</v>
      </c>
    </row>
    <row r="185" spans="1:72" ht="13.2">
      <c r="A185" s="35"/>
      <c r="C185" s="58"/>
      <c r="D185" s="35" t="s">
        <v>478</v>
      </c>
      <c r="E185" s="35"/>
      <c r="F185" s="35"/>
      <c r="G185" s="35"/>
      <c r="H185" s="35"/>
      <c r="I185" s="1688" t="s">
        <v>2382</v>
      </c>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87"/>
      <c r="F187" s="1987"/>
      <c r="G187" s="1987"/>
      <c r="H187" s="1987"/>
      <c r="I187" s="1987"/>
      <c r="J187" s="1987"/>
      <c r="K187" s="1987"/>
      <c r="L187" s="1987"/>
      <c r="M187" s="1987"/>
      <c r="N187" s="1987"/>
      <c r="O187" s="1987"/>
      <c r="P187" s="1987"/>
      <c r="Q187" s="1987"/>
      <c r="R187" s="1987"/>
      <c r="S187" s="1987"/>
      <c r="T187" s="1987"/>
      <c r="U187" s="1987"/>
      <c r="V187" s="1987"/>
      <c r="W187" s="1987"/>
      <c r="X187" s="1987"/>
      <c r="Y187" s="1987"/>
      <c r="Z187" s="1987"/>
      <c r="AA187" s="1987"/>
      <c r="AB187" s="1987"/>
      <c r="AC187" s="1987"/>
      <c r="AD187" s="1987"/>
      <c r="AE187" s="1987"/>
      <c r="AF187" s="35"/>
      <c r="AH187" s="35"/>
      <c r="AJ187" s="3"/>
      <c r="AK187" s="3"/>
      <c r="AL187" s="3"/>
      <c r="BN187" s="47" t="s">
        <v>637</v>
      </c>
      <c r="BT187" s="16" t="s">
        <v>923</v>
      </c>
    </row>
    <row r="188" spans="1:72" ht="13.2">
      <c r="A188" s="35"/>
      <c r="C188" s="58"/>
      <c r="D188" s="35"/>
      <c r="E188" s="1988"/>
      <c r="F188" s="1988"/>
      <c r="G188" s="1988"/>
      <c r="H188" s="1988"/>
      <c r="I188" s="1988"/>
      <c r="J188" s="1988"/>
      <c r="K188" s="1988"/>
      <c r="L188" s="1988"/>
      <c r="M188" s="1988"/>
      <c r="N188" s="1988"/>
      <c r="O188" s="1988"/>
      <c r="P188" s="1988"/>
      <c r="Q188" s="1988"/>
      <c r="R188" s="1988"/>
      <c r="S188" s="1988"/>
      <c r="T188" s="1988"/>
      <c r="U188" s="1988"/>
      <c r="V188" s="1988"/>
      <c r="W188" s="1988"/>
      <c r="X188" s="1988"/>
      <c r="Y188" s="1988"/>
      <c r="Z188" s="1988"/>
      <c r="AA188" s="1988"/>
      <c r="AB188" s="1988"/>
      <c r="AC188" s="1988"/>
      <c r="AD188" s="1988"/>
      <c r="AE188" s="1988"/>
      <c r="AF188" s="35"/>
      <c r="AH188" s="35"/>
      <c r="AJ188" s="3"/>
      <c r="AK188" s="3"/>
      <c r="AL188" s="3"/>
      <c r="BN188" s="47" t="s">
        <v>639</v>
      </c>
      <c r="BT188" s="16" t="s">
        <v>924</v>
      </c>
    </row>
    <row r="189" spans="1:72" ht="13.2">
      <c r="A189" s="35"/>
      <c r="C189" s="58"/>
      <c r="D189" s="35" t="s">
        <v>479</v>
      </c>
      <c r="E189" s="35"/>
      <c r="I189" s="1698" t="s">
        <v>457</v>
      </c>
      <c r="J189" s="1698"/>
      <c r="K189" s="1698"/>
      <c r="L189" s="1698"/>
      <c r="M189" s="1698"/>
      <c r="N189" s="1698"/>
      <c r="O189" s="1698"/>
      <c r="P189" s="1698"/>
      <c r="Q189" s="35" t="s">
        <v>481</v>
      </c>
      <c r="T189" s="1698" t="s">
        <v>457</v>
      </c>
      <c r="U189" s="1698"/>
      <c r="V189" s="1698"/>
      <c r="W189" s="1698"/>
      <c r="X189" s="1698"/>
      <c r="Y189" s="1698"/>
      <c r="Z189" s="1698"/>
      <c r="AA189" s="1698"/>
      <c r="AB189" s="1698"/>
      <c r="AC189" s="1698"/>
      <c r="AD189" s="1698"/>
      <c r="AE189" s="1698"/>
      <c r="AH189" s="35"/>
      <c r="AJ189" s="3"/>
      <c r="AK189" s="3"/>
      <c r="AL189" s="3"/>
      <c r="BC189" s="16" t="s">
        <v>86</v>
      </c>
      <c r="BH189" s="72" t="s">
        <v>136</v>
      </c>
      <c r="BN189" s="47" t="s">
        <v>640</v>
      </c>
      <c r="BT189" s="16" t="s">
        <v>120</v>
      </c>
    </row>
    <row r="190" spans="1:72" ht="13.2">
      <c r="A190" s="35"/>
      <c r="C190" s="59"/>
      <c r="D190" s="35" t="s">
        <v>482</v>
      </c>
      <c r="E190" s="35"/>
      <c r="F190" s="35"/>
      <c r="G190" s="35"/>
      <c r="I190" s="1688">
        <v>94558</v>
      </c>
      <c r="J190" s="1688"/>
      <c r="K190" s="1688"/>
      <c r="L190" s="1688"/>
      <c r="M190" s="1688"/>
      <c r="N190" s="1688"/>
      <c r="O190" s="35" t="s">
        <v>484</v>
      </c>
      <c r="P190" s="35"/>
      <c r="Q190" s="35"/>
      <c r="R190" s="35"/>
      <c r="S190" s="35"/>
      <c r="T190" s="1812">
        <v>2006.2</v>
      </c>
      <c r="U190" s="1812"/>
      <c r="V190" s="1812"/>
      <c r="W190" s="1812"/>
      <c r="X190" s="1812"/>
      <c r="Y190" s="1812"/>
      <c r="Z190" s="1812"/>
      <c r="AA190" s="1812"/>
      <c r="AB190" s="1812"/>
      <c r="AC190" s="1812"/>
      <c r="AD190" s="1812"/>
      <c r="AE190" s="1812"/>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1987" t="s">
        <v>2383</v>
      </c>
      <c r="O191" s="1987"/>
      <c r="P191" s="1987"/>
      <c r="Q191" s="1987"/>
      <c r="R191" s="1987"/>
      <c r="S191" s="1987"/>
      <c r="T191" s="1987"/>
      <c r="U191" s="1987"/>
      <c r="V191" s="1987"/>
      <c r="W191" s="1987"/>
      <c r="X191" s="1987"/>
      <c r="Y191" s="1987"/>
      <c r="Z191" s="1987"/>
      <c r="AA191" s="1987"/>
      <c r="AB191" s="1987"/>
      <c r="AC191" s="1987"/>
      <c r="AD191" s="1987"/>
      <c r="AE191" s="1987"/>
      <c r="AF191" s="35"/>
      <c r="AH191" s="35"/>
      <c r="AJ191" s="3"/>
      <c r="AK191" s="3"/>
      <c r="AL191" s="3"/>
      <c r="BC191" s="16" t="s">
        <v>1583</v>
      </c>
      <c r="BH191" s="16" t="s">
        <v>1583</v>
      </c>
      <c r="BN191" s="47" t="s">
        <v>642</v>
      </c>
      <c r="BT191" s="16" t="s">
        <v>122</v>
      </c>
    </row>
    <row r="192" spans="1:72" ht="13.2">
      <c r="A192" s="35"/>
      <c r="C192" s="59"/>
      <c r="D192" s="35"/>
      <c r="E192" s="35"/>
      <c r="F192" s="35"/>
      <c r="G192" s="35"/>
      <c r="H192" s="35"/>
      <c r="I192" s="35"/>
      <c r="J192" s="35"/>
      <c r="K192" s="35"/>
      <c r="L192" s="35"/>
      <c r="M192" s="316"/>
      <c r="N192" s="1988"/>
      <c r="O192" s="1988"/>
      <c r="P192" s="1988"/>
      <c r="Q192" s="1988"/>
      <c r="R192" s="1988"/>
      <c r="S192" s="1988"/>
      <c r="T192" s="1988"/>
      <c r="U192" s="1988"/>
      <c r="V192" s="1988"/>
      <c r="W192" s="1988"/>
      <c r="X192" s="1988"/>
      <c r="Y192" s="1988"/>
      <c r="Z192" s="1988"/>
      <c r="AA192" s="1988"/>
      <c r="AB192" s="1988"/>
      <c r="AC192" s="1988"/>
      <c r="AD192" s="1988"/>
      <c r="AE192" s="1988"/>
      <c r="AF192" s="35"/>
      <c r="AH192" s="35"/>
      <c r="AJ192" s="3"/>
      <c r="AK192" s="3"/>
      <c r="AL192" s="3"/>
      <c r="BC192" s="16" t="s">
        <v>730</v>
      </c>
      <c r="BH192" s="8" t="s">
        <v>1590</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696" t="s">
        <v>119</v>
      </c>
      <c r="U193" s="1696"/>
      <c r="W193" s="72" t="s">
        <v>2154</v>
      </c>
      <c r="AA193" s="1848">
        <v>2021</v>
      </c>
      <c r="AB193" s="1848"/>
      <c r="AC193" s="1848"/>
      <c r="AJ193" s="3"/>
      <c r="AK193" s="3"/>
      <c r="AL193" s="3"/>
      <c r="BC193" s="16" t="s">
        <v>624</v>
      </c>
      <c r="BH193" s="8" t="s">
        <v>1591</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731" t="s">
        <v>531</v>
      </c>
      <c r="U194" s="1731"/>
      <c r="W194" s="35" t="s">
        <v>68</v>
      </c>
      <c r="X194" s="35"/>
      <c r="Y194" s="35"/>
      <c r="Z194" s="35"/>
      <c r="AA194" s="35"/>
      <c r="AB194" s="35"/>
      <c r="AC194" s="35"/>
      <c r="AD194" s="35"/>
      <c r="AE194" s="35"/>
      <c r="AF194" s="35"/>
      <c r="AG194" s="35"/>
      <c r="AH194" s="35"/>
      <c r="AI194" s="1696" t="s">
        <v>531</v>
      </c>
      <c r="AJ194" s="1696"/>
      <c r="AK194" s="3"/>
      <c r="AL194" s="3"/>
      <c r="AX194" s="8" t="s">
        <v>136</v>
      </c>
      <c r="BC194" s="16" t="s">
        <v>681</v>
      </c>
      <c r="BN194" s="47" t="s">
        <v>825</v>
      </c>
      <c r="BT194" s="16" t="s">
        <v>125</v>
      </c>
    </row>
    <row r="195" spans="1:73" ht="13.2">
      <c r="A195" s="35"/>
      <c r="C195" s="59"/>
      <c r="D195" s="1102" t="s">
        <v>1957</v>
      </c>
      <c r="E195" s="3"/>
      <c r="F195" s="3"/>
      <c r="G195" s="3"/>
      <c r="H195" s="3"/>
      <c r="I195" s="3"/>
      <c r="J195" s="3"/>
      <c r="K195" s="3"/>
      <c r="L195" s="3"/>
      <c r="M195" s="3"/>
      <c r="N195" s="35"/>
      <c r="O195" s="35"/>
      <c r="P195" s="35"/>
      <c r="Q195" s="35"/>
      <c r="R195" s="35"/>
      <c r="T195" s="1731" t="s">
        <v>531</v>
      </c>
      <c r="U195" s="1731"/>
      <c r="X195" s="1357" t="s">
        <v>2176</v>
      </c>
      <c r="AJ195" s="3"/>
      <c r="AK195" s="3"/>
      <c r="AL195" s="3"/>
      <c r="AX195" s="8" t="s">
        <v>1275</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731" t="s">
        <v>531</v>
      </c>
      <c r="U196" s="1731"/>
      <c r="W196" s="3"/>
      <c r="X196" s="3"/>
      <c r="Y196" s="3"/>
      <c r="Z196" s="3"/>
      <c r="AA196" s="3"/>
      <c r="AB196" s="3"/>
      <c r="AC196" s="3"/>
      <c r="AD196" s="3"/>
      <c r="AE196" s="3"/>
      <c r="AF196" s="3"/>
      <c r="AG196" s="3"/>
      <c r="AH196" s="3"/>
      <c r="AI196" s="3"/>
      <c r="AJ196" s="3"/>
      <c r="AK196" s="1847"/>
      <c r="AL196" s="1847"/>
      <c r="AX196" s="8" t="s">
        <v>1276</v>
      </c>
      <c r="BN196" s="47" t="s">
        <v>827</v>
      </c>
      <c r="BT196" s="16" t="s">
        <v>127</v>
      </c>
    </row>
    <row r="197" spans="1:73" ht="13.2">
      <c r="A197" s="35"/>
      <c r="C197" s="59"/>
      <c r="D197" s="72" t="s">
        <v>2155</v>
      </c>
      <c r="T197" s="1696" t="s">
        <v>531</v>
      </c>
      <c r="U197" s="1696"/>
      <c r="AJ197" s="3"/>
      <c r="AK197" s="3"/>
      <c r="AL197" s="3"/>
      <c r="AX197" s="8" t="s">
        <v>1277</v>
      </c>
      <c r="BC197" s="16" t="s">
        <v>86</v>
      </c>
      <c r="BN197" s="47" t="s">
        <v>828</v>
      </c>
      <c r="BT197" s="16" t="s">
        <v>128</v>
      </c>
    </row>
    <row r="198" spans="1:73" ht="13.2">
      <c r="A198" s="35"/>
      <c r="C198" s="59"/>
      <c r="D198" s="1102" t="s">
        <v>2185</v>
      </c>
      <c r="W198" s="1842" t="s">
        <v>531</v>
      </c>
      <c r="X198" s="1696"/>
      <c r="AG198" s="35"/>
      <c r="AH198" s="3"/>
      <c r="AI198" s="3"/>
      <c r="AJ198" s="3"/>
      <c r="AK198" s="3"/>
      <c r="AL198" s="3"/>
      <c r="AX198" s="8" t="s">
        <v>1278</v>
      </c>
      <c r="BC198" s="643" t="s">
        <v>1222</v>
      </c>
      <c r="BN198" s="47" t="s">
        <v>829</v>
      </c>
      <c r="BT198" s="16" t="s">
        <v>885</v>
      </c>
    </row>
    <row r="199" spans="1:73" ht="13.2">
      <c r="A199" s="35"/>
      <c r="C199" s="59"/>
      <c r="D199" s="1102" t="s">
        <v>2330</v>
      </c>
      <c r="L199" s="1506"/>
      <c r="M199" s="1506"/>
      <c r="N199" s="1506"/>
      <c r="O199" s="1506"/>
      <c r="P199" s="1506"/>
      <c r="Q199" s="1506"/>
      <c r="R199" s="1846" t="s">
        <v>2325</v>
      </c>
      <c r="S199" s="1846"/>
      <c r="T199" s="1846"/>
      <c r="U199" s="1846"/>
      <c r="V199" s="1846"/>
      <c r="W199" s="1846"/>
      <c r="X199" s="1846"/>
      <c r="Y199" s="1846"/>
      <c r="Z199" s="1846"/>
      <c r="AA199" s="1846"/>
      <c r="AB199" s="1846"/>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 t="s">
        <v>620</v>
      </c>
      <c r="AB200" s="35"/>
      <c r="AC200" s="35"/>
      <c r="AE200" s="35"/>
      <c r="AF200" s="35"/>
      <c r="AG200" s="35"/>
      <c r="AH200" s="390"/>
      <c r="AI200" s="390"/>
      <c r="AJ200" s="3"/>
      <c r="AK200" s="3"/>
      <c r="AL200" s="3"/>
      <c r="AX200" s="72" t="s">
        <v>2367</v>
      </c>
      <c r="BC200" s="1079" t="s">
        <v>2368</v>
      </c>
      <c r="BN200" s="1540" t="s">
        <v>724</v>
      </c>
      <c r="BO200" s="65"/>
      <c r="BP200" s="68"/>
      <c r="BQ200" s="68"/>
      <c r="BR200" s="68"/>
      <c r="BS200" s="68"/>
      <c r="BT200" s="68" t="s">
        <v>887</v>
      </c>
    </row>
    <row r="201" spans="1:73" ht="12.75" customHeight="1">
      <c r="A201" s="35"/>
      <c r="C201" s="59"/>
      <c r="G201" s="1505" t="s">
        <v>2328</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1603</v>
      </c>
      <c r="BN202" s="47" t="s">
        <v>726</v>
      </c>
      <c r="BT202" s="69" t="s">
        <v>889</v>
      </c>
      <c r="BU202" s="65"/>
    </row>
    <row r="203" spans="1:73" ht="13.2">
      <c r="A203" s="35"/>
      <c r="C203" s="35"/>
      <c r="D203" s="1844" t="str">
        <f>IF(AND(M25&gt;0,M27&gt;0),"Federal and State","Federal Only")</f>
        <v>Federal Only</v>
      </c>
      <c r="E203" s="1844"/>
      <c r="F203" s="1844"/>
      <c r="G203" s="1844"/>
      <c r="H203" s="1844"/>
      <c r="I203" s="1844"/>
      <c r="J203" s="1844"/>
      <c r="K203" s="1844"/>
      <c r="L203" s="1844"/>
      <c r="M203" s="1844"/>
      <c r="P203" s="1991">
        <f>M25</f>
        <v>2883928</v>
      </c>
      <c r="Q203" s="1991"/>
      <c r="R203" s="1991"/>
      <c r="S203" s="1991"/>
      <c r="T203" s="1991"/>
      <c r="U203" s="1991"/>
      <c r="V203" s="35"/>
      <c r="W203" s="1991">
        <f>M27</f>
        <v>0</v>
      </c>
      <c r="X203" s="1991"/>
      <c r="Y203" s="1991"/>
      <c r="Z203" s="1991"/>
      <c r="AA203" s="1991"/>
      <c r="AB203" s="1991"/>
      <c r="AD203" s="35"/>
      <c r="AE203" s="35"/>
      <c r="AF203" s="35"/>
      <c r="AG203" s="35"/>
      <c r="AH203" s="35"/>
      <c r="AI203" s="35"/>
      <c r="AJ203" s="3"/>
      <c r="AK203" s="3"/>
      <c r="AL203" s="3"/>
      <c r="AV203" s="16" t="s">
        <v>136</v>
      </c>
      <c r="AX203" s="8" t="s">
        <v>730</v>
      </c>
      <c r="BC203" s="3" t="s">
        <v>1601</v>
      </c>
      <c r="BN203" s="47" t="s">
        <v>727</v>
      </c>
      <c r="BT203" s="69" t="s">
        <v>890</v>
      </c>
      <c r="BU203" s="65"/>
    </row>
    <row r="204" spans="1:73" ht="13.2">
      <c r="A204" s="35"/>
      <c r="C204" s="58"/>
      <c r="E204" s="35"/>
      <c r="F204" s="35"/>
      <c r="G204" s="35"/>
      <c r="P204" s="1973" t="s">
        <v>192</v>
      </c>
      <c r="Q204" s="1973"/>
      <c r="R204" s="1973"/>
      <c r="S204" s="1973"/>
      <c r="T204" s="1973"/>
      <c r="U204" s="1973"/>
      <c r="V204" s="60"/>
      <c r="W204" s="1973" t="s">
        <v>193</v>
      </c>
      <c r="X204" s="1973"/>
      <c r="Y204" s="1973"/>
      <c r="Z204" s="1973"/>
      <c r="AA204" s="1973"/>
      <c r="AB204" s="1973"/>
      <c r="AD204" s="35"/>
      <c r="AE204" s="35"/>
      <c r="AF204" s="35"/>
      <c r="AG204" s="35"/>
      <c r="AH204" s="35"/>
      <c r="AI204" s="35"/>
      <c r="AJ204" s="3"/>
      <c r="AK204" s="3"/>
      <c r="AL204" s="3"/>
      <c r="AV204" s="16" t="s">
        <v>119</v>
      </c>
      <c r="AX204" s="8" t="s">
        <v>1529</v>
      </c>
      <c r="BC204" s="272" t="s">
        <v>944</v>
      </c>
      <c r="BN204" s="47" t="s">
        <v>728</v>
      </c>
      <c r="BT204" s="69" t="s">
        <v>891</v>
      </c>
      <c r="BU204" s="70"/>
    </row>
    <row r="205" spans="1:73" ht="13.8" thickBot="1">
      <c r="A205" s="35"/>
      <c r="C205" s="35"/>
      <c r="D205" s="733"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6"/>
      <c r="Y206" s="1367"/>
      <c r="Z206" s="1367"/>
      <c r="AA206" s="1367"/>
      <c r="AB206" s="1367"/>
      <c r="AC206" s="1367"/>
      <c r="AD206" s="1367"/>
      <c r="AE206" s="1367"/>
      <c r="AF206" s="1367"/>
      <c r="AG206" s="1367"/>
      <c r="AH206" s="1367"/>
      <c r="AI206" s="1367"/>
      <c r="AJ206" s="1367"/>
      <c r="AK206" s="1368"/>
      <c r="AL206" s="3"/>
      <c r="AX206" s="16" t="s">
        <v>86</v>
      </c>
      <c r="BC206" s="273" t="s">
        <v>1604</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9"/>
      <c r="Y207" s="1533" t="s">
        <v>2357</v>
      </c>
      <c r="Z207" s="1370"/>
      <c r="AA207" s="1370"/>
      <c r="AB207" s="1370"/>
      <c r="AC207" s="1370"/>
      <c r="AD207" s="1370"/>
      <c r="AE207" s="1370"/>
      <c r="AF207" s="1370"/>
      <c r="AG207" s="1370"/>
      <c r="AH207" s="1370"/>
      <c r="AI207" s="1370"/>
      <c r="AJ207" s="1370"/>
      <c r="AK207" s="1371"/>
      <c r="AL207" s="3"/>
      <c r="AX207" s="16" t="s">
        <v>2322</v>
      </c>
      <c r="BC207" s="272" t="s">
        <v>1985</v>
      </c>
      <c r="BN207" s="47" t="s">
        <v>1</v>
      </c>
      <c r="BT207" s="69" t="s">
        <v>893</v>
      </c>
    </row>
    <row r="208" spans="1:73" ht="13.2">
      <c r="A208" s="35"/>
      <c r="C208" s="58"/>
      <c r="D208" s="1694" t="s">
        <v>2506</v>
      </c>
      <c r="E208" s="1694"/>
      <c r="F208" s="1694"/>
      <c r="G208" s="1694"/>
      <c r="H208" s="1694"/>
      <c r="I208" s="1694"/>
      <c r="J208" s="1694"/>
      <c r="K208" s="1694"/>
      <c r="L208" s="1694"/>
      <c r="M208" s="1694"/>
      <c r="N208" s="35"/>
      <c r="O208" s="35"/>
      <c r="P208" s="35"/>
      <c r="Q208" s="35"/>
      <c r="R208" s="35"/>
      <c r="S208" s="35"/>
      <c r="T208" s="35"/>
      <c r="U208" s="35"/>
      <c r="V208" s="35"/>
      <c r="W208" s="35"/>
      <c r="X208" s="1369"/>
      <c r="Y208" s="1534" t="s">
        <v>2359</v>
      </c>
      <c r="Z208" s="1370"/>
      <c r="AA208" s="1370"/>
      <c r="AB208" s="1370"/>
      <c r="AC208" s="1370"/>
      <c r="AD208" s="1370"/>
      <c r="AE208" s="1370"/>
      <c r="AF208" s="1370"/>
      <c r="AG208" s="1370"/>
      <c r="AH208" s="1370"/>
      <c r="AI208" s="1370"/>
      <c r="AJ208" s="1370"/>
      <c r="AK208" s="1371"/>
      <c r="AL208" s="3"/>
      <c r="AX208" s="16" t="s">
        <v>2323</v>
      </c>
      <c r="BC208" s="3" t="s">
        <v>1602</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69"/>
      <c r="Y209" s="1535" t="s">
        <v>2360</v>
      </c>
      <c r="Z209" s="1370"/>
      <c r="AA209" s="1370"/>
      <c r="AB209" s="1370"/>
      <c r="AC209" s="1370"/>
      <c r="AD209" s="1370"/>
      <c r="AE209" s="1370"/>
      <c r="AF209" s="1370"/>
      <c r="AG209" s="1370"/>
      <c r="AH209" s="1370"/>
      <c r="AI209" s="1370"/>
      <c r="AJ209" s="1370"/>
      <c r="AK209" s="1371"/>
      <c r="AL209" s="3"/>
      <c r="AX209" s="16" t="s">
        <v>2324</v>
      </c>
      <c r="BC209" s="272" t="s">
        <v>81</v>
      </c>
      <c r="BN209" s="47" t="s">
        <v>3</v>
      </c>
      <c r="BT209" s="69" t="s">
        <v>895</v>
      </c>
    </row>
    <row r="210" spans="1:72" ht="13.2">
      <c r="A210" s="63" t="s">
        <v>135</v>
      </c>
      <c r="C210" s="63" t="s">
        <v>1273</v>
      </c>
      <c r="X210" s="1369"/>
      <c r="Y210" s="1536" t="s">
        <v>2358</v>
      </c>
      <c r="Z210" s="1370"/>
      <c r="AA210" s="1370"/>
      <c r="AB210" s="1370"/>
      <c r="AC210" s="1370"/>
      <c r="AD210" s="1370"/>
      <c r="AE210" s="1370"/>
      <c r="AF210" s="1370"/>
      <c r="AG210" s="1370"/>
      <c r="AH210" s="1370"/>
      <c r="AI210" s="1370"/>
      <c r="AJ210" s="1370"/>
      <c r="AK210" s="1371"/>
      <c r="AL210" s="3"/>
      <c r="AX210" s="16" t="s">
        <v>2325</v>
      </c>
      <c r="BN210" s="47" t="s">
        <v>4</v>
      </c>
      <c r="BT210" s="69" t="s">
        <v>896</v>
      </c>
    </row>
    <row r="211" spans="1:72" ht="13.2">
      <c r="C211" s="58"/>
      <c r="D211" s="1694" t="s">
        <v>136</v>
      </c>
      <c r="E211" s="1694"/>
      <c r="F211" s="1694"/>
      <c r="G211" s="1694"/>
      <c r="H211" s="1694"/>
      <c r="I211" s="1694"/>
      <c r="J211" s="1694"/>
      <c r="K211" s="1694"/>
      <c r="L211" s="1694"/>
      <c r="M211" s="1694"/>
      <c r="N211" s="1694"/>
      <c r="O211" s="1694"/>
      <c r="P211" s="1694"/>
      <c r="X211" s="1369"/>
      <c r="Y211" s="1696" t="s">
        <v>119</v>
      </c>
      <c r="Z211" s="1696"/>
      <c r="AA211" s="1370"/>
      <c r="AB211" s="1370"/>
      <c r="AC211" s="1370"/>
      <c r="AD211" s="1370"/>
      <c r="AE211" s="1370"/>
      <c r="AF211" s="1370"/>
      <c r="AG211" s="1370"/>
      <c r="AH211" s="1370"/>
      <c r="AI211" s="1370"/>
      <c r="AJ211" s="1370"/>
      <c r="AK211" s="1371"/>
      <c r="AL211" s="3"/>
      <c r="AX211" s="16" t="s">
        <v>2326</v>
      </c>
      <c r="BN211" s="47" t="s">
        <v>21</v>
      </c>
      <c r="BT211" s="69" t="s">
        <v>22</v>
      </c>
    </row>
    <row r="212" spans="1:72" ht="13.8" thickBot="1">
      <c r="X212" s="1374"/>
      <c r="Y212" s="1372"/>
      <c r="Z212" s="1372"/>
      <c r="AA212" s="1372"/>
      <c r="AB212" s="1372"/>
      <c r="AC212" s="1372"/>
      <c r="AD212" s="1372"/>
      <c r="AE212" s="1372"/>
      <c r="AF212" s="1372"/>
      <c r="AG212" s="1372"/>
      <c r="AH212" s="1372"/>
      <c r="AI212" s="1372"/>
      <c r="AJ212" s="1372"/>
      <c r="AK212" s="1373"/>
      <c r="AL212" s="3"/>
      <c r="AX212" s="16" t="s">
        <v>2327</v>
      </c>
      <c r="BC212" s="748" t="s">
        <v>86</v>
      </c>
      <c r="BN212" s="47" t="s">
        <v>5</v>
      </c>
      <c r="BT212" s="69" t="s">
        <v>897</v>
      </c>
    </row>
    <row r="213" spans="1:72" ht="13.2">
      <c r="A213" s="63" t="s">
        <v>137</v>
      </c>
      <c r="C213" s="63" t="s">
        <v>1584</v>
      </c>
      <c r="AG213" s="3"/>
      <c r="AJ213" s="3"/>
      <c r="AK213" s="3"/>
      <c r="AL213" s="3"/>
      <c r="AX213" s="72" t="s">
        <v>2329</v>
      </c>
      <c r="BC213" s="16" t="s">
        <v>692</v>
      </c>
      <c r="BN213" s="47" t="s">
        <v>6</v>
      </c>
      <c r="BT213" s="69" t="s">
        <v>898</v>
      </c>
    </row>
    <row r="214" spans="1:72" ht="13.2">
      <c r="C214" s="58"/>
      <c r="D214" s="1694" t="s">
        <v>730</v>
      </c>
      <c r="E214" s="1694"/>
      <c r="F214" s="1694"/>
      <c r="G214" s="1694"/>
      <c r="H214" s="1694"/>
      <c r="I214" s="1694"/>
      <c r="J214" s="1694"/>
      <c r="K214" s="1694"/>
      <c r="L214" s="1694"/>
      <c r="M214" s="1694"/>
      <c r="N214" s="1694"/>
      <c r="O214" s="1694"/>
      <c r="P214" s="1694"/>
      <c r="Q214" s="1694"/>
      <c r="R214" s="1694"/>
      <c r="S214" s="1694"/>
      <c r="T214" s="1694"/>
      <c r="U214" s="1694"/>
      <c r="V214" s="1694"/>
      <c r="W214" s="1694"/>
      <c r="X214" s="1694"/>
      <c r="Y214" s="1694"/>
      <c r="Z214" s="1694"/>
      <c r="AG214" s="3"/>
      <c r="AJ214" s="3"/>
      <c r="AK214" s="3"/>
      <c r="AL214" s="3"/>
      <c r="BC214" s="16" t="s">
        <v>696</v>
      </c>
      <c r="BN214" s="47" t="s">
        <v>492</v>
      </c>
      <c r="BT214" s="69" t="s">
        <v>899</v>
      </c>
    </row>
    <row r="215" spans="1:72" ht="13.2">
      <c r="D215" s="64"/>
      <c r="E215" s="8" t="s">
        <v>1600</v>
      </c>
      <c r="AE215" s="1989">
        <v>0.5</v>
      </c>
      <c r="AF215" s="1989"/>
      <c r="AG215" s="3"/>
      <c r="AJ215" s="3"/>
      <c r="AK215" s="3"/>
      <c r="AL215" s="3"/>
      <c r="BC215" s="16" t="s">
        <v>693</v>
      </c>
    </row>
    <row r="216" spans="1:72" ht="12.75" customHeight="1">
      <c r="D216" s="64"/>
      <c r="E216" s="8" t="s">
        <v>1597</v>
      </c>
      <c r="AG216" s="3"/>
      <c r="AJ216" s="3"/>
      <c r="AK216" s="3"/>
      <c r="AL216" s="3"/>
      <c r="BC216" s="16" t="s">
        <v>812</v>
      </c>
    </row>
    <row r="217" spans="1:72" ht="13.2">
      <c r="E217" s="1996" t="s">
        <v>1590</v>
      </c>
      <c r="F217" s="1988"/>
      <c r="G217" s="1988"/>
      <c r="H217" s="1988"/>
      <c r="I217" s="1988"/>
      <c r="J217" s="1988"/>
      <c r="K217" s="1988"/>
      <c r="L217" s="1988"/>
      <c r="M217" s="1988"/>
      <c r="N217" s="1988"/>
      <c r="O217" s="1988"/>
      <c r="P217" s="1988"/>
      <c r="Q217" s="1988"/>
      <c r="R217" s="1988"/>
      <c r="S217" s="1988"/>
      <c r="T217" s="1988"/>
      <c r="U217" s="1988"/>
      <c r="V217" s="1988"/>
      <c r="W217" s="1988"/>
      <c r="X217" s="1988"/>
      <c r="Y217" s="1988"/>
      <c r="Z217" s="1988"/>
      <c r="AA217" s="83"/>
      <c r="AB217" s="83"/>
      <c r="AC217" s="83"/>
      <c r="AD217" s="83"/>
      <c r="AE217" s="83"/>
      <c r="AF217" s="83"/>
      <c r="AG217" s="3"/>
      <c r="AJ217" s="3"/>
      <c r="AK217" s="3"/>
      <c r="AL217" s="3"/>
      <c r="BC217" s="16" t="s">
        <v>694</v>
      </c>
    </row>
    <row r="218" spans="1:72" ht="13.2">
      <c r="E218" s="72" t="s">
        <v>2248</v>
      </c>
      <c r="AA218" s="83"/>
      <c r="AC218" s="1843"/>
      <c r="AD218" s="1843"/>
      <c r="AE218" s="1843"/>
      <c r="AF218" s="1843"/>
      <c r="AG218" s="1843"/>
      <c r="AH218" s="1843"/>
      <c r="AI218" s="1843"/>
      <c r="AJ218" s="1843"/>
      <c r="AK218" s="1843"/>
      <c r="AL218" s="1843"/>
      <c r="AM218" s="1843"/>
      <c r="BC218" s="16" t="s">
        <v>695</v>
      </c>
      <c r="BI218" s="67"/>
    </row>
    <row r="219" spans="1:72" ht="12.75" customHeight="1">
      <c r="E219" s="72" t="s">
        <v>2249</v>
      </c>
      <c r="AA219" s="83"/>
      <c r="AC219" s="1843"/>
      <c r="AD219" s="1843"/>
      <c r="AE219" s="1843"/>
      <c r="AF219" s="1843"/>
      <c r="AG219" s="1843"/>
      <c r="AH219" s="1843"/>
      <c r="AI219" s="1843"/>
      <c r="AJ219" s="1843"/>
      <c r="AK219" s="1843"/>
      <c r="AL219" s="1843"/>
      <c r="AM219" s="184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703" t="s">
        <v>1602</v>
      </c>
      <c r="E223" s="1703"/>
      <c r="F223" s="1703"/>
      <c r="G223" s="1703"/>
      <c r="H223" s="1703"/>
      <c r="I223" s="1703"/>
      <c r="J223" s="1703"/>
      <c r="K223" s="1703"/>
      <c r="L223" s="1703"/>
      <c r="M223" s="1703"/>
      <c r="N223" s="1703"/>
      <c r="O223" s="1703"/>
      <c r="P223" s="1703"/>
      <c r="Q223" s="1703"/>
      <c r="R223" s="1703"/>
      <c r="S223" s="1703"/>
      <c r="T223" s="1703"/>
      <c r="U223" s="1703"/>
      <c r="V223" s="1703"/>
      <c r="W223" s="1703"/>
      <c r="X223" s="1703"/>
      <c r="Y223" s="1703"/>
      <c r="Z223" s="1703"/>
      <c r="AA223" s="1703"/>
      <c r="AB223" s="1703"/>
      <c r="AC223" s="1703"/>
      <c r="AD223" s="1703"/>
      <c r="AE223" s="1703"/>
      <c r="AF223" s="1703"/>
      <c r="AG223" s="1703"/>
      <c r="AH223" s="1703"/>
      <c r="AI223" s="1703"/>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96">
        <v>5</v>
      </c>
      <c r="P225" s="1696"/>
    </row>
    <row r="226" spans="1:59" ht="12.75" customHeight="1">
      <c r="D226" s="35" t="s">
        <v>618</v>
      </c>
      <c r="E226" s="35"/>
      <c r="F226" s="35"/>
      <c r="G226" s="35"/>
      <c r="H226" s="35"/>
      <c r="I226" s="35"/>
      <c r="J226" s="35"/>
      <c r="K226" s="35"/>
      <c r="L226" s="35"/>
      <c r="M226" s="35"/>
      <c r="N226" s="35"/>
      <c r="O226" s="1696">
        <v>4</v>
      </c>
      <c r="P226" s="1696"/>
      <c r="BB226" s="8" t="s">
        <v>704</v>
      </c>
      <c r="BG226" s="644">
        <f>IF(AND(AND($M$251="for profit",$M$259="for profit",$M$267="nonprofit")),2,0)</f>
        <v>0</v>
      </c>
    </row>
    <row r="227" spans="1:59" ht="12" customHeight="1">
      <c r="D227" s="35" t="s">
        <v>619</v>
      </c>
      <c r="E227" s="35"/>
      <c r="F227" s="35"/>
      <c r="G227" s="35"/>
      <c r="H227" s="35"/>
      <c r="I227" s="35"/>
      <c r="J227" s="35"/>
      <c r="K227" s="35"/>
      <c r="L227" s="35"/>
      <c r="M227" s="35"/>
      <c r="N227" s="35"/>
      <c r="O227" s="1696">
        <v>3</v>
      </c>
      <c r="P227" s="1696"/>
      <c r="BB227" s="8" t="s">
        <v>704</v>
      </c>
      <c r="BG227" s="644">
        <f>IF(AND(AND($M$251="for profit",$M$259="nonprofit",$M$267="for profit")),2,0)</f>
        <v>0</v>
      </c>
    </row>
    <row r="228" spans="1:59" ht="13.2">
      <c r="D228" s="3" t="s">
        <v>620</v>
      </c>
      <c r="BB228" s="16" t="s">
        <v>704</v>
      </c>
      <c r="BG228" s="644">
        <f>IF(AND(AND($M$251="nonprofit",$M$259="for profit",$M$267="for profit")),2,0)</f>
        <v>0</v>
      </c>
    </row>
    <row r="229" spans="1:59" ht="13.2">
      <c r="D229" s="580" t="s">
        <v>1308</v>
      </c>
      <c r="U229" s="580" t="s">
        <v>1309</v>
      </c>
      <c r="BB229" s="16" t="s">
        <v>704</v>
      </c>
      <c r="BG229" s="644">
        <f>IF(AND(AND($M$251="for profit",$M$259="nonprofit",$M$267="(select one)")),2,0)</f>
        <v>0</v>
      </c>
    </row>
    <row r="230" spans="1:59" ht="13.2">
      <c r="BB230" s="16" t="s">
        <v>704</v>
      </c>
      <c r="BG230" s="645">
        <f>IF(AND(AND($M$251="nonprofit",$M$259="for profit",$M$267="(select one)")),2,0)</f>
        <v>0</v>
      </c>
    </row>
    <row r="231" spans="1:59" ht="13.2">
      <c r="A231" s="1689" t="s">
        <v>544</v>
      </c>
      <c r="B231" s="1689"/>
      <c r="C231" s="1689"/>
      <c r="D231" s="1689"/>
      <c r="E231" s="1689"/>
      <c r="F231" s="1689"/>
      <c r="G231" s="1689"/>
      <c r="H231" s="1689"/>
      <c r="I231" s="1689"/>
      <c r="J231" s="1689"/>
      <c r="K231" s="1689"/>
      <c r="L231" s="1689"/>
      <c r="M231" s="1689"/>
      <c r="N231" s="1689"/>
      <c r="O231" s="1689"/>
      <c r="P231" s="1689"/>
      <c r="Q231" s="1689"/>
      <c r="R231" s="1689"/>
      <c r="S231" s="1689"/>
      <c r="T231" s="1689"/>
      <c r="U231" s="1689"/>
      <c r="V231" s="1689"/>
      <c r="W231" s="1689"/>
      <c r="X231" s="1689"/>
      <c r="Y231" s="1689"/>
      <c r="Z231" s="1689"/>
      <c r="AA231" s="1689"/>
      <c r="AB231" s="1689"/>
      <c r="AC231" s="1689"/>
      <c r="AD231" s="1689"/>
      <c r="AE231" s="1689"/>
      <c r="AF231" s="1689"/>
      <c r="AG231" s="1689"/>
      <c r="AH231" s="1689"/>
      <c r="AI231" s="1689"/>
      <c r="AJ231" s="1689"/>
      <c r="AK231" s="1689"/>
      <c r="AL231" s="1689"/>
    </row>
    <row r="232" spans="1:59" ht="13.8" thickBot="1">
      <c r="A232" s="1690"/>
      <c r="B232" s="1690"/>
      <c r="C232" s="1690"/>
      <c r="D232" s="1690"/>
      <c r="E232" s="1690"/>
      <c r="F232" s="1690"/>
      <c r="G232" s="1690"/>
      <c r="H232" s="1690"/>
      <c r="I232" s="1690"/>
      <c r="J232" s="1690"/>
      <c r="K232" s="1690"/>
      <c r="L232" s="1690"/>
      <c r="M232" s="1690"/>
      <c r="N232" s="1690"/>
      <c r="O232" s="1690"/>
      <c r="P232" s="1690"/>
      <c r="Q232" s="1690"/>
      <c r="R232" s="1690"/>
      <c r="S232" s="1690"/>
      <c r="T232" s="1690"/>
      <c r="U232" s="1690"/>
      <c r="V232" s="1690"/>
      <c r="W232" s="1690"/>
      <c r="X232" s="1690"/>
      <c r="Y232" s="1690"/>
      <c r="Z232" s="1690"/>
      <c r="AA232" s="1690"/>
      <c r="AB232" s="1690"/>
      <c r="AC232" s="1690"/>
      <c r="AD232" s="1690"/>
      <c r="AE232" s="1690"/>
      <c r="AF232" s="1690"/>
      <c r="AG232" s="1690"/>
      <c r="AH232" s="1690"/>
      <c r="AI232" s="1690"/>
      <c r="AJ232" s="1690"/>
      <c r="AK232" s="1690"/>
      <c r="AL232" s="1690"/>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1972" t="str">
        <f>H15</f>
        <v>Burbank Housing Development Corporation</v>
      </c>
      <c r="N235" s="1972"/>
      <c r="O235" s="1972"/>
      <c r="P235" s="1972"/>
      <c r="Q235" s="1972"/>
      <c r="R235" s="1972"/>
      <c r="S235" s="1972"/>
      <c r="T235" s="1972"/>
      <c r="U235" s="1972"/>
      <c r="V235" s="1972"/>
      <c r="W235" s="1972"/>
      <c r="X235" s="1972"/>
      <c r="Y235" s="1972"/>
      <c r="Z235" s="1972"/>
      <c r="AA235" s="1972"/>
      <c r="AB235" s="1972"/>
      <c r="AC235" s="1972"/>
      <c r="AD235" s="1972"/>
      <c r="AE235" s="1972"/>
      <c r="AF235" s="1972"/>
      <c r="AG235" s="1972"/>
      <c r="AH235" s="1972"/>
      <c r="AI235" s="1972"/>
      <c r="AJ235" s="1972"/>
      <c r="AK235" s="1972"/>
      <c r="BB235" s="62"/>
      <c r="BC235" s="35"/>
      <c r="BD235" s="35"/>
      <c r="BE235" s="35"/>
      <c r="BF235" s="35"/>
      <c r="BG235" s="71"/>
    </row>
    <row r="236" spans="1:59" ht="12.75" customHeight="1">
      <c r="D236" s="71" t="s">
        <v>416</v>
      </c>
      <c r="E236" s="71"/>
      <c r="F236" s="71"/>
      <c r="G236" s="71"/>
      <c r="H236" s="71"/>
      <c r="I236" s="71"/>
      <c r="J236" s="71"/>
      <c r="K236" s="8"/>
      <c r="M236" s="1703" t="s">
        <v>2384</v>
      </c>
      <c r="N236" s="1694"/>
      <c r="O236" s="1694"/>
      <c r="P236" s="1694"/>
      <c r="Q236" s="1694"/>
      <c r="R236" s="1694"/>
      <c r="S236" s="1694"/>
      <c r="T236" s="1694"/>
      <c r="U236" s="1694"/>
      <c r="V236" s="1694"/>
      <c r="W236" s="1694"/>
      <c r="X236" s="1694"/>
      <c r="Y236" s="1694"/>
      <c r="Z236" s="1694"/>
      <c r="AA236" s="1694"/>
      <c r="AB236" s="1694"/>
      <c r="AC236" s="1694"/>
      <c r="AD236" s="1694"/>
      <c r="AE236" s="1694"/>
      <c r="AM236" s="72"/>
      <c r="AN236" s="72"/>
      <c r="BB236" s="16" t="s">
        <v>703</v>
      </c>
      <c r="BG236" s="644">
        <f>IF(AND(AND($M$251="nonprofit",$M$259="nonprofit",$M$267="nonprofit")),1,0)</f>
        <v>0</v>
      </c>
    </row>
    <row r="237" spans="1:59" ht="13.2">
      <c r="D237" s="71" t="s">
        <v>479</v>
      </c>
      <c r="E237" s="71"/>
      <c r="M237" s="1703" t="s">
        <v>2373</v>
      </c>
      <c r="N237" s="1694"/>
      <c r="O237" s="1694"/>
      <c r="P237" s="1694"/>
      <c r="Q237" s="1694"/>
      <c r="R237" s="1694"/>
      <c r="S237" s="1694"/>
      <c r="T237" s="1694"/>
      <c r="V237" s="73" t="s">
        <v>417</v>
      </c>
      <c r="W237" s="1701" t="s">
        <v>2385</v>
      </c>
      <c r="X237" s="1702"/>
      <c r="Y237" s="71" t="s">
        <v>482</v>
      </c>
      <c r="AC237" s="1694">
        <v>95407</v>
      </c>
      <c r="AD237" s="1694"/>
      <c r="AE237" s="1694"/>
      <c r="AN237" s="72"/>
      <c r="BB237" s="16" t="s">
        <v>703</v>
      </c>
      <c r="BG237" s="644">
        <f>IF(AND(AND($M$251="nonprofit",$M$259="nonprofit",$M$267="(select one)")),1,0)</f>
        <v>1</v>
      </c>
    </row>
    <row r="238" spans="1:59" ht="13.2">
      <c r="D238" s="74" t="s">
        <v>418</v>
      </c>
      <c r="E238" s="8"/>
      <c r="F238" s="8"/>
      <c r="G238" s="8"/>
      <c r="H238" s="8"/>
      <c r="I238" s="8"/>
      <c r="J238" s="8"/>
      <c r="K238" s="39"/>
      <c r="M238" s="1703" t="s">
        <v>2386</v>
      </c>
      <c r="N238" s="1694"/>
      <c r="O238" s="1694"/>
      <c r="P238" s="1694"/>
      <c r="Q238" s="1694"/>
      <c r="R238" s="1694"/>
      <c r="S238" s="1694"/>
      <c r="T238" s="1694"/>
      <c r="U238" s="1694"/>
      <c r="V238" s="1694"/>
      <c r="W238" s="1694"/>
      <c r="X238" s="1694"/>
      <c r="Y238" s="1694"/>
      <c r="Z238" s="1694"/>
      <c r="AA238" s="1694"/>
      <c r="AB238" s="1694"/>
      <c r="AC238" s="1694"/>
      <c r="AD238" s="1694"/>
      <c r="AE238" s="1694"/>
      <c r="AI238" s="8"/>
      <c r="AJ238" s="8"/>
      <c r="AK238" s="8"/>
      <c r="AL238" s="8"/>
      <c r="AN238" s="72"/>
      <c r="BB238" s="16" t="s">
        <v>703</v>
      </c>
      <c r="BG238" s="644">
        <f>IF(AND(AND($M$251="nonprofit",$M$259="(select one)",$M$267="(select one)")),1,0)</f>
        <v>0</v>
      </c>
    </row>
    <row r="239" spans="1:59" ht="13.2">
      <c r="D239" s="74" t="s">
        <v>419</v>
      </c>
      <c r="E239" s="8"/>
      <c r="F239" s="8"/>
      <c r="M239" s="1691" t="s">
        <v>2387</v>
      </c>
      <c r="N239" s="1687"/>
      <c r="O239" s="1687"/>
      <c r="P239" s="1687"/>
      <c r="Q239" s="1687"/>
      <c r="R239" s="1687"/>
      <c r="S239" s="8" t="s">
        <v>900</v>
      </c>
      <c r="T239" s="8"/>
      <c r="U239" s="1702"/>
      <c r="V239" s="1702"/>
      <c r="W239" s="1702"/>
      <c r="X239" s="8" t="s">
        <v>420</v>
      </c>
      <c r="Z239" s="1687"/>
      <c r="AA239" s="1687"/>
      <c r="AB239" s="1687"/>
      <c r="AC239" s="1687"/>
      <c r="AD239" s="1687"/>
      <c r="AE239" s="1687"/>
      <c r="AM239" s="72"/>
      <c r="AN239" s="72"/>
      <c r="BB239" s="16" t="s">
        <v>1114</v>
      </c>
      <c r="BG239" s="644">
        <f>IF(AND(AND($M$251="for profit",$M$259="for profit",$M$267="for profit")),3,0)</f>
        <v>0</v>
      </c>
    </row>
    <row r="240" spans="1:59" ht="13.2">
      <c r="D240" s="74" t="s">
        <v>421</v>
      </c>
      <c r="E240" s="8"/>
      <c r="F240" s="8"/>
      <c r="M240" s="1695" t="s">
        <v>2388</v>
      </c>
      <c r="N240" s="1695"/>
      <c r="O240" s="1695"/>
      <c r="P240" s="1695"/>
      <c r="Q240" s="1695"/>
      <c r="R240" s="1695"/>
      <c r="S240" s="1695"/>
      <c r="T240" s="1695"/>
      <c r="U240" s="1695"/>
      <c r="V240" s="1695"/>
      <c r="W240" s="1695"/>
      <c r="X240" s="1695"/>
      <c r="Y240" s="1695"/>
      <c r="Z240" s="1695"/>
      <c r="AA240" s="1695"/>
      <c r="AB240" s="1695"/>
      <c r="AC240" s="1695"/>
      <c r="AD240" s="1695"/>
      <c r="AE240" s="1695"/>
      <c r="AF240" s="8"/>
      <c r="AG240" s="8"/>
      <c r="AH240" s="8"/>
      <c r="AI240" s="8"/>
      <c r="AJ240" s="8"/>
      <c r="AK240" s="8"/>
      <c r="AL240" s="8"/>
      <c r="AN240" s="72"/>
      <c r="AO240" s="72"/>
      <c r="BB240" s="16" t="s">
        <v>1114</v>
      </c>
      <c r="BG240" s="645">
        <f>IF(AND(AND($M$251="for profit",$M$259="for profit",$M$267="(select one)")),3,0)</f>
        <v>0</v>
      </c>
    </row>
    <row r="241" spans="1:67" ht="13.2">
      <c r="A241" s="63" t="s">
        <v>8</v>
      </c>
      <c r="C241" s="48" t="s">
        <v>691</v>
      </c>
      <c r="M241" s="1688" t="s">
        <v>543</v>
      </c>
      <c r="N241" s="1688"/>
      <c r="O241" s="1688"/>
      <c r="P241" s="1688"/>
      <c r="Q241" s="1688"/>
      <c r="R241" s="1688"/>
      <c r="S241" s="1688"/>
      <c r="T241" s="1688"/>
      <c r="U241" s="8" t="s">
        <v>1267</v>
      </c>
      <c r="AA241" s="1700"/>
      <c r="AB241" s="1700"/>
      <c r="AC241" s="1700"/>
      <c r="AD241" s="1700"/>
      <c r="AE241" s="1700"/>
      <c r="AF241" s="1700"/>
      <c r="AG241" s="1700"/>
      <c r="AH241" s="1700"/>
      <c r="AI241" s="1700"/>
      <c r="AJ241" s="1700"/>
      <c r="AK241" s="1700"/>
      <c r="AL241" s="72"/>
      <c r="AM241" s="8"/>
      <c r="AN241" s="72"/>
      <c r="AO241" s="72"/>
      <c r="BB241" s="16" t="s">
        <v>1114</v>
      </c>
      <c r="BC241" s="35"/>
      <c r="BD241" s="35"/>
      <c r="BE241" s="35"/>
      <c r="BF241" s="35"/>
      <c r="BG241" s="645">
        <f>IF(AND(AND($M$251="for profit",$M$259="(select one)",$M$267="(select one)")),3,0)</f>
        <v>0</v>
      </c>
    </row>
    <row r="242" spans="1:67" ht="13.2">
      <c r="D242" s="16" t="s">
        <v>697</v>
      </c>
      <c r="M242" s="1698"/>
      <c r="N242" s="1698"/>
      <c r="O242" s="1698"/>
      <c r="P242" s="1698"/>
      <c r="Q242" s="1698"/>
      <c r="R242" s="1698"/>
      <c r="S242" s="1698"/>
      <c r="T242" s="1698"/>
      <c r="U242" s="1698"/>
      <c r="V242" s="1698"/>
      <c r="W242" s="1698"/>
      <c r="X242" s="1698"/>
      <c r="Y242" s="1698"/>
      <c r="Z242" s="1698"/>
      <c r="AA242" s="1698"/>
      <c r="AB242" s="1698"/>
      <c r="AC242" s="1698"/>
      <c r="AD242" s="1698"/>
      <c r="AE242" s="1698"/>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1641</v>
      </c>
      <c r="D245" s="71" t="s">
        <v>698</v>
      </c>
      <c r="E245" s="71"/>
      <c r="F245" s="71"/>
      <c r="G245" s="71"/>
      <c r="H245" s="71"/>
      <c r="I245" s="71"/>
      <c r="J245" s="71"/>
      <c r="K245" s="71"/>
      <c r="L245" s="8"/>
      <c r="M245" s="1845" t="s">
        <v>2370</v>
      </c>
      <c r="N245" s="1845"/>
      <c r="O245" s="1845"/>
      <c r="P245" s="1845"/>
      <c r="Q245" s="1845"/>
      <c r="R245" s="1845"/>
      <c r="S245" s="1845"/>
      <c r="T245" s="1845"/>
      <c r="U245" s="1845"/>
      <c r="V245" s="1845"/>
      <c r="W245" s="1845"/>
      <c r="X245" s="1845"/>
      <c r="Y245" s="1845"/>
      <c r="Z245" s="1845"/>
      <c r="AA245" s="1845"/>
      <c r="AB245" s="1845"/>
      <c r="AC245" s="1845"/>
      <c r="AD245" s="1845"/>
      <c r="AE245" s="1845"/>
      <c r="AF245" s="1692" t="s">
        <v>2390</v>
      </c>
      <c r="AG245" s="1692"/>
      <c r="AH245" s="1692"/>
      <c r="AI245" s="1692"/>
      <c r="AJ245" s="1692"/>
      <c r="AK245" s="1692"/>
      <c r="AM245" s="8"/>
      <c r="AN245" s="72"/>
      <c r="BB245" s="8" t="s">
        <v>994</v>
      </c>
      <c r="BH245" s="16">
        <v>2</v>
      </c>
      <c r="BI245" s="16" t="s">
        <v>812</v>
      </c>
      <c r="BO245" s="646" t="str">
        <f>VLOOKUP(AT260,BH244:BI246,2,FALSE)</f>
        <v>Nonprofit</v>
      </c>
    </row>
    <row r="246" spans="1:67" ht="13.2">
      <c r="A246" s="39"/>
      <c r="B246" s="8"/>
      <c r="C246" s="8"/>
      <c r="D246" s="71" t="s">
        <v>416</v>
      </c>
      <c r="E246" s="71"/>
      <c r="F246" s="71"/>
      <c r="G246" s="71"/>
      <c r="H246" s="71"/>
      <c r="I246" s="71"/>
      <c r="J246" s="71"/>
      <c r="K246" s="71"/>
      <c r="L246" s="8"/>
      <c r="M246" s="1703" t="s">
        <v>2384</v>
      </c>
      <c r="N246" s="1694"/>
      <c r="O246" s="1694"/>
      <c r="P246" s="1694"/>
      <c r="Q246" s="1694"/>
      <c r="R246" s="1694"/>
      <c r="S246" s="1694"/>
      <c r="T246" s="1694"/>
      <c r="U246" s="1694"/>
      <c r="V246" s="1694"/>
      <c r="W246" s="1694"/>
      <c r="X246" s="1694"/>
      <c r="Y246" s="1694"/>
      <c r="Z246" s="1694"/>
      <c r="AA246" s="1694"/>
      <c r="AB246" s="1694"/>
      <c r="AC246" s="1694"/>
      <c r="AD246" s="1694"/>
      <c r="AE246" s="1694"/>
      <c r="AL246" s="8"/>
      <c r="AN246" s="72"/>
      <c r="BB246" s="8" t="s">
        <v>503</v>
      </c>
      <c r="BH246" s="16">
        <v>3</v>
      </c>
      <c r="BI246" s="16" t="s">
        <v>702</v>
      </c>
    </row>
    <row r="247" spans="1:67" ht="13.2">
      <c r="A247" s="39"/>
      <c r="B247" s="8"/>
      <c r="C247" s="8"/>
      <c r="D247" s="71" t="s">
        <v>479</v>
      </c>
      <c r="E247" s="71"/>
      <c r="M247" s="1703" t="s">
        <v>2373</v>
      </c>
      <c r="N247" s="1694"/>
      <c r="O247" s="1694"/>
      <c r="P247" s="1694"/>
      <c r="Q247" s="1694"/>
      <c r="R247" s="1694"/>
      <c r="S247" s="1694"/>
      <c r="T247" s="1694"/>
      <c r="V247" s="73" t="s">
        <v>417</v>
      </c>
      <c r="W247" s="1701" t="s">
        <v>2385</v>
      </c>
      <c r="X247" s="1702"/>
      <c r="Y247" s="71" t="s">
        <v>482</v>
      </c>
      <c r="AC247" s="1694">
        <v>95407</v>
      </c>
      <c r="AD247" s="1694"/>
      <c r="AE247" s="1694"/>
      <c r="AN247" s="72"/>
    </row>
    <row r="248" spans="1:67" ht="13.2">
      <c r="A248" s="39"/>
      <c r="B248" s="8"/>
      <c r="C248" s="8"/>
      <c r="D248" s="74" t="s">
        <v>418</v>
      </c>
      <c r="E248" s="8"/>
      <c r="F248" s="8"/>
      <c r="G248" s="8"/>
      <c r="H248" s="8"/>
      <c r="I248" s="8"/>
      <c r="J248" s="8"/>
      <c r="K248" s="8"/>
      <c r="L248" s="39"/>
      <c r="M248" s="1703" t="s">
        <v>2386</v>
      </c>
      <c r="N248" s="1694"/>
      <c r="O248" s="1694"/>
      <c r="P248" s="1694"/>
      <c r="Q248" s="1694"/>
      <c r="R248" s="1694"/>
      <c r="S248" s="1694"/>
      <c r="T248" s="1694"/>
      <c r="U248" s="1694"/>
      <c r="V248" s="1694"/>
      <c r="W248" s="1694"/>
      <c r="X248" s="1694"/>
      <c r="Y248" s="1694"/>
      <c r="Z248" s="1694"/>
      <c r="AA248" s="1694"/>
      <c r="AB248" s="1694"/>
      <c r="AC248" s="1694"/>
      <c r="AD248" s="1694"/>
      <c r="AE248" s="1694"/>
      <c r="AJ248" s="8"/>
      <c r="AK248" s="8"/>
      <c r="AL248" s="8"/>
      <c r="AN248" s="72"/>
    </row>
    <row r="249" spans="1:67" ht="13.2">
      <c r="A249" s="39"/>
      <c r="B249" s="8"/>
      <c r="C249" s="8"/>
      <c r="D249" s="74" t="s">
        <v>419</v>
      </c>
      <c r="E249" s="8"/>
      <c r="F249" s="8"/>
      <c r="M249" s="1691" t="s">
        <v>2387</v>
      </c>
      <c r="N249" s="1687"/>
      <c r="O249" s="1687"/>
      <c r="P249" s="1687"/>
      <c r="Q249" s="1687"/>
      <c r="R249" s="1687"/>
      <c r="S249" s="8" t="s">
        <v>900</v>
      </c>
      <c r="T249" s="8"/>
      <c r="U249" s="1702"/>
      <c r="V249" s="1702"/>
      <c r="W249" s="1702"/>
      <c r="X249" s="8" t="s">
        <v>420</v>
      </c>
      <c r="Z249" s="1687"/>
      <c r="AA249" s="1687"/>
      <c r="AB249" s="1687"/>
      <c r="AC249" s="1687"/>
      <c r="AD249" s="1687"/>
      <c r="AE249" s="1687"/>
      <c r="AM249" s="8"/>
      <c r="AN249" s="72"/>
    </row>
    <row r="250" spans="1:67" ht="13.2">
      <c r="A250" s="39"/>
      <c r="B250" s="8"/>
      <c r="C250" s="8"/>
      <c r="D250" s="74" t="s">
        <v>421</v>
      </c>
      <c r="E250" s="8"/>
      <c r="F250" s="8"/>
      <c r="M250" s="1695" t="s">
        <v>2388</v>
      </c>
      <c r="N250" s="1695"/>
      <c r="O250" s="1695"/>
      <c r="P250" s="1695"/>
      <c r="Q250" s="1695"/>
      <c r="R250" s="1695"/>
      <c r="S250" s="1695"/>
      <c r="T250" s="1695"/>
      <c r="U250" s="1695"/>
      <c r="V250" s="1695"/>
      <c r="W250" s="1695"/>
      <c r="X250" s="1695"/>
      <c r="Y250" s="1695"/>
      <c r="Z250" s="1695"/>
      <c r="AA250" s="1695"/>
      <c r="AB250" s="1695"/>
      <c r="AC250" s="1695"/>
      <c r="AD250" s="1695"/>
      <c r="AE250" s="1695"/>
      <c r="AG250" s="8"/>
      <c r="AH250" s="8"/>
      <c r="AI250" s="8"/>
      <c r="AJ250" s="8"/>
      <c r="AK250" s="8"/>
      <c r="AL250" s="8"/>
    </row>
    <row r="251" spans="1:67" ht="13.2">
      <c r="A251" s="33"/>
      <c r="B251" s="8"/>
      <c r="C251" s="147"/>
      <c r="D251" s="74" t="s">
        <v>701</v>
      </c>
      <c r="E251" s="8"/>
      <c r="F251" s="8"/>
      <c r="G251" s="8"/>
      <c r="H251" s="8"/>
      <c r="I251" s="8"/>
      <c r="J251" s="8"/>
      <c r="K251" s="8"/>
      <c r="L251" s="8"/>
      <c r="M251" s="1688" t="s">
        <v>700</v>
      </c>
      <c r="N251" s="1688"/>
      <c r="O251" s="1688"/>
      <c r="P251" s="1688"/>
      <c r="Q251" s="1688"/>
      <c r="R251" s="1688"/>
      <c r="S251" s="1688"/>
      <c r="T251" s="1688"/>
      <c r="U251" s="8" t="s">
        <v>1267</v>
      </c>
      <c r="AA251" s="1700"/>
      <c r="AB251" s="1700"/>
      <c r="AC251" s="1700"/>
      <c r="AD251" s="1700"/>
      <c r="AE251" s="1700"/>
      <c r="AF251" s="1700"/>
      <c r="AG251" s="1700"/>
      <c r="AH251" s="1700"/>
      <c r="AI251" s="1700"/>
      <c r="AJ251" s="1700"/>
      <c r="AK251" s="1700"/>
      <c r="AM251" s="8"/>
    </row>
    <row r="252" spans="1:67" ht="13.2" customHeight="1">
      <c r="A252" s="39"/>
      <c r="B252" s="8"/>
      <c r="C252" s="8"/>
      <c r="D252" s="8"/>
      <c r="E252" s="8"/>
      <c r="F252" s="8"/>
      <c r="G252" s="8"/>
      <c r="H252" s="8"/>
      <c r="I252" s="8"/>
      <c r="J252" s="8"/>
      <c r="K252" s="8"/>
      <c r="L252" s="8"/>
      <c r="AG252" s="8"/>
      <c r="AH252" s="8"/>
      <c r="AI252" s="8"/>
      <c r="AJ252" s="71"/>
    </row>
    <row r="253" spans="1:67" ht="13.2">
      <c r="A253" s="116"/>
      <c r="B253" s="8"/>
      <c r="C253" s="147" t="s">
        <v>1642</v>
      </c>
      <c r="D253" s="71" t="s">
        <v>1343</v>
      </c>
      <c r="E253" s="71"/>
      <c r="F253" s="71"/>
      <c r="G253" s="71"/>
      <c r="H253" s="71"/>
      <c r="I253" s="71"/>
      <c r="J253" s="71"/>
      <c r="K253" s="71"/>
      <c r="L253" s="8"/>
      <c r="M253" s="1845" t="s">
        <v>2389</v>
      </c>
      <c r="N253" s="1845"/>
      <c r="O253" s="1845"/>
      <c r="P253" s="1845"/>
      <c r="Q253" s="1845"/>
      <c r="R253" s="1845"/>
      <c r="S253" s="1845"/>
      <c r="T253" s="1845"/>
      <c r="U253" s="1845"/>
      <c r="V253" s="1845"/>
      <c r="W253" s="1845"/>
      <c r="X253" s="1845"/>
      <c r="Y253" s="1845"/>
      <c r="Z253" s="1845"/>
      <c r="AA253" s="1845"/>
      <c r="AB253" s="1845"/>
      <c r="AC253" s="1845"/>
      <c r="AD253" s="1845"/>
      <c r="AE253" s="1845"/>
      <c r="AF253" s="1692" t="s">
        <v>2391</v>
      </c>
      <c r="AG253" s="1692"/>
      <c r="AH253" s="1692"/>
      <c r="AI253" s="1692"/>
      <c r="AJ253" s="1692"/>
      <c r="AK253" s="1692"/>
      <c r="AM253" s="8"/>
    </row>
    <row r="254" spans="1:67" ht="13.2">
      <c r="A254" s="39"/>
      <c r="B254" s="8"/>
      <c r="C254" s="8"/>
      <c r="D254" s="71" t="s">
        <v>416</v>
      </c>
      <c r="E254" s="71"/>
      <c r="F254" s="71"/>
      <c r="G254" s="71"/>
      <c r="H254" s="71"/>
      <c r="I254" s="71"/>
      <c r="J254" s="71"/>
      <c r="K254" s="71"/>
      <c r="L254" s="8"/>
      <c r="M254" s="1703" t="s">
        <v>2392</v>
      </c>
      <c r="N254" s="1694"/>
      <c r="O254" s="1694"/>
      <c r="P254" s="1694"/>
      <c r="Q254" s="1694"/>
      <c r="R254" s="1694"/>
      <c r="S254" s="1694"/>
      <c r="T254" s="1694"/>
      <c r="U254" s="1694"/>
      <c r="V254" s="1694"/>
      <c r="W254" s="1694"/>
      <c r="X254" s="1694"/>
      <c r="Y254" s="1694"/>
      <c r="Z254" s="1694"/>
      <c r="AA254" s="1694"/>
      <c r="AB254" s="1694"/>
      <c r="AC254" s="1694"/>
      <c r="AD254" s="1694"/>
      <c r="AE254" s="1694"/>
      <c r="AL254" s="8"/>
    </row>
    <row r="255" spans="1:67" ht="13.2">
      <c r="A255" s="39"/>
      <c r="B255" s="8"/>
      <c r="C255" s="8"/>
      <c r="D255" s="71" t="s">
        <v>479</v>
      </c>
      <c r="E255" s="71"/>
      <c r="M255" s="1703" t="s">
        <v>2393</v>
      </c>
      <c r="N255" s="1694"/>
      <c r="O255" s="1694"/>
      <c r="P255" s="1694"/>
      <c r="Q255" s="1694"/>
      <c r="R255" s="1694"/>
      <c r="S255" s="1694"/>
      <c r="T255" s="1694"/>
      <c r="V255" s="73" t="s">
        <v>417</v>
      </c>
      <c r="W255" s="1701" t="s">
        <v>2385</v>
      </c>
      <c r="X255" s="1702"/>
      <c r="Y255" s="71" t="s">
        <v>482</v>
      </c>
      <c r="AC255" s="1694">
        <v>94538</v>
      </c>
      <c r="AD255" s="1694"/>
      <c r="AE255" s="1694"/>
    </row>
    <row r="256" spans="1:67" ht="13.2">
      <c r="A256" s="39"/>
      <c r="B256" s="8"/>
      <c r="C256" s="8"/>
      <c r="D256" s="74" t="s">
        <v>418</v>
      </c>
      <c r="E256" s="8"/>
      <c r="F256" s="8"/>
      <c r="G256" s="8"/>
      <c r="H256" s="8"/>
      <c r="I256" s="8"/>
      <c r="J256" s="8"/>
      <c r="K256" s="8"/>
      <c r="L256" s="39"/>
      <c r="M256" s="1703" t="s">
        <v>2394</v>
      </c>
      <c r="N256" s="1694"/>
      <c r="O256" s="1694"/>
      <c r="P256" s="1694"/>
      <c r="Q256" s="1694"/>
      <c r="R256" s="1694"/>
      <c r="S256" s="1694"/>
      <c r="T256" s="1694"/>
      <c r="U256" s="1694"/>
      <c r="V256" s="1694"/>
      <c r="W256" s="1694"/>
      <c r="X256" s="1694"/>
      <c r="Y256" s="1694"/>
      <c r="Z256" s="1694"/>
      <c r="AA256" s="1694"/>
      <c r="AB256" s="1694"/>
      <c r="AC256" s="1694"/>
      <c r="AD256" s="1694"/>
      <c r="AE256" s="1694"/>
      <c r="AJ256" s="8"/>
      <c r="AK256" s="8"/>
      <c r="AL256" s="8"/>
    </row>
    <row r="257" spans="1:53" ht="13.2">
      <c r="A257" s="39"/>
      <c r="B257" s="8"/>
      <c r="C257" s="8"/>
      <c r="D257" s="74" t="s">
        <v>419</v>
      </c>
      <c r="E257" s="8"/>
      <c r="F257" s="8"/>
      <c r="M257" s="1691" t="s">
        <v>2395</v>
      </c>
      <c r="N257" s="1687"/>
      <c r="O257" s="1687"/>
      <c r="P257" s="1687"/>
      <c r="Q257" s="1687"/>
      <c r="R257" s="1687"/>
      <c r="S257" s="8" t="s">
        <v>900</v>
      </c>
      <c r="T257" s="8"/>
      <c r="U257" s="1702"/>
      <c r="V257" s="1702"/>
      <c r="W257" s="1702"/>
      <c r="X257" s="8" t="s">
        <v>420</v>
      </c>
      <c r="Z257" s="1687"/>
      <c r="AA257" s="1687"/>
      <c r="AB257" s="1687"/>
      <c r="AC257" s="1687"/>
      <c r="AD257" s="1687"/>
      <c r="AE257" s="1687"/>
      <c r="BA257" s="75"/>
    </row>
    <row r="258" spans="1:53" ht="13.2">
      <c r="A258" s="39"/>
      <c r="B258" s="8"/>
      <c r="C258" s="8"/>
      <c r="D258" s="74" t="s">
        <v>421</v>
      </c>
      <c r="E258" s="8"/>
      <c r="F258" s="8"/>
      <c r="M258" s="1695" t="s">
        <v>2396</v>
      </c>
      <c r="N258" s="1695"/>
      <c r="O258" s="1695"/>
      <c r="P258" s="1695"/>
      <c r="Q258" s="1695"/>
      <c r="R258" s="1695"/>
      <c r="S258" s="1695"/>
      <c r="T258" s="1695"/>
      <c r="U258" s="1695"/>
      <c r="V258" s="1695"/>
      <c r="W258" s="1695"/>
      <c r="X258" s="1695"/>
      <c r="Y258" s="1695"/>
      <c r="Z258" s="1695"/>
      <c r="AA258" s="1695"/>
      <c r="AB258" s="1695"/>
      <c r="AC258" s="1695"/>
      <c r="AD258" s="1695"/>
      <c r="AE258" s="1695"/>
      <c r="AG258" s="8"/>
      <c r="AH258" s="8"/>
      <c r="AI258" s="8"/>
      <c r="AJ258" s="8"/>
      <c r="AK258" s="8"/>
      <c r="AL258" s="8"/>
      <c r="BA258" s="35"/>
    </row>
    <row r="259" spans="1:53" ht="13.2">
      <c r="A259" s="33"/>
      <c r="B259" s="8"/>
      <c r="C259" s="147"/>
      <c r="D259" s="74" t="s">
        <v>701</v>
      </c>
      <c r="E259" s="8"/>
      <c r="F259" s="8"/>
      <c r="G259" s="8"/>
      <c r="H259" s="8"/>
      <c r="I259" s="8"/>
      <c r="J259" s="8"/>
      <c r="K259" s="8"/>
      <c r="L259" s="8"/>
      <c r="M259" s="1688" t="s">
        <v>700</v>
      </c>
      <c r="N259" s="1688"/>
      <c r="O259" s="1688"/>
      <c r="P259" s="1688"/>
      <c r="Q259" s="1688"/>
      <c r="R259" s="1688"/>
      <c r="S259" s="1688"/>
      <c r="T259" s="1688"/>
      <c r="U259" s="8" t="s">
        <v>1267</v>
      </c>
      <c r="AA259" s="1700"/>
      <c r="AB259" s="1700"/>
      <c r="AC259" s="1700"/>
      <c r="AD259" s="1700"/>
      <c r="AE259" s="1700"/>
      <c r="AF259" s="1700"/>
      <c r="AG259" s="1700"/>
      <c r="AH259" s="1700"/>
      <c r="AI259" s="1700"/>
      <c r="AJ259" s="1700"/>
      <c r="AK259" s="1700"/>
      <c r="AL259" s="72"/>
      <c r="BA259" s="3"/>
    </row>
    <row r="260" spans="1:53" ht="13.2"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3.2">
      <c r="A261" s="33"/>
      <c r="B261" s="8"/>
      <c r="C261" s="147" t="s">
        <v>2153</v>
      </c>
      <c r="D261" s="71" t="s">
        <v>698</v>
      </c>
      <c r="E261" s="71"/>
      <c r="F261" s="71"/>
      <c r="G261" s="71"/>
      <c r="H261" s="71"/>
      <c r="I261" s="71"/>
      <c r="J261" s="71"/>
      <c r="K261" s="71"/>
      <c r="L261" s="8"/>
      <c r="M261" s="1692"/>
      <c r="N261" s="1692"/>
      <c r="O261" s="1692"/>
      <c r="P261" s="1692"/>
      <c r="Q261" s="1692"/>
      <c r="R261" s="1692"/>
      <c r="S261" s="1692"/>
      <c r="T261" s="1692"/>
      <c r="U261" s="1692"/>
      <c r="V261" s="1692"/>
      <c r="W261" s="1692"/>
      <c r="X261" s="1692"/>
      <c r="Y261" s="1692"/>
      <c r="Z261" s="1692"/>
      <c r="AA261" s="1692"/>
      <c r="AB261" s="1692"/>
      <c r="AC261" s="1692"/>
      <c r="AD261" s="1692"/>
      <c r="AE261" s="1692"/>
      <c r="AF261" s="1692" t="s">
        <v>86</v>
      </c>
      <c r="AG261" s="1692"/>
      <c r="AH261" s="1692"/>
      <c r="AI261" s="1692"/>
      <c r="AJ261" s="1692"/>
      <c r="AK261" s="1692"/>
      <c r="AL261" s="72"/>
      <c r="BA261" s="3"/>
    </row>
    <row r="262" spans="1:53" ht="13.2">
      <c r="A262" s="33"/>
      <c r="B262" s="8"/>
      <c r="C262" s="8"/>
      <c r="D262" s="71" t="s">
        <v>416</v>
      </c>
      <c r="E262" s="71"/>
      <c r="F262" s="71"/>
      <c r="G262" s="71"/>
      <c r="H262" s="71"/>
      <c r="I262" s="71"/>
      <c r="J262" s="71"/>
      <c r="K262" s="71"/>
      <c r="L262" s="8"/>
      <c r="M262" s="1694"/>
      <c r="N262" s="1694"/>
      <c r="O262" s="1694"/>
      <c r="P262" s="1694"/>
      <c r="Q262" s="1694"/>
      <c r="R262" s="1694"/>
      <c r="S262" s="1694"/>
      <c r="T262" s="1694"/>
      <c r="U262" s="1694"/>
      <c r="V262" s="1694"/>
      <c r="W262" s="1694"/>
      <c r="X262" s="1694"/>
      <c r="Y262" s="1694"/>
      <c r="Z262" s="1694"/>
      <c r="AA262" s="1694"/>
      <c r="AB262" s="1694"/>
      <c r="AC262" s="1694"/>
      <c r="AD262" s="1694"/>
      <c r="AE262" s="1694"/>
      <c r="AL262" s="72"/>
      <c r="BA262" s="649"/>
    </row>
    <row r="263" spans="1:53" ht="13.2">
      <c r="A263" s="33"/>
      <c r="B263" s="8"/>
      <c r="C263" s="8"/>
      <c r="D263" s="71" t="s">
        <v>479</v>
      </c>
      <c r="E263" s="71"/>
      <c r="M263" s="1694"/>
      <c r="N263" s="1694"/>
      <c r="O263" s="1694"/>
      <c r="P263" s="1694"/>
      <c r="Q263" s="1694"/>
      <c r="R263" s="1694"/>
      <c r="S263" s="1694"/>
      <c r="T263" s="1694"/>
      <c r="V263" s="73" t="s">
        <v>417</v>
      </c>
      <c r="W263" s="1702"/>
      <c r="X263" s="1702"/>
      <c r="Y263" s="71" t="s">
        <v>482</v>
      </c>
      <c r="AC263" s="1694"/>
      <c r="AD263" s="1694"/>
      <c r="AE263" s="1694"/>
      <c r="AL263" s="72"/>
      <c r="BA263" s="75"/>
    </row>
    <row r="264" spans="1:53" ht="13.2">
      <c r="A264" s="33"/>
      <c r="B264" s="8"/>
      <c r="C264" s="8"/>
      <c r="D264" s="74" t="s">
        <v>418</v>
      </c>
      <c r="E264" s="8"/>
      <c r="F264" s="8"/>
      <c r="G264" s="8"/>
      <c r="H264" s="8"/>
      <c r="I264" s="8"/>
      <c r="J264" s="8"/>
      <c r="K264" s="8"/>
      <c r="L264" s="39"/>
      <c r="M264" s="1694"/>
      <c r="N264" s="1694"/>
      <c r="O264" s="1694"/>
      <c r="P264" s="1694"/>
      <c r="Q264" s="1694"/>
      <c r="R264" s="1694"/>
      <c r="S264" s="1694"/>
      <c r="T264" s="1694"/>
      <c r="U264" s="1694"/>
      <c r="V264" s="1694"/>
      <c r="W264" s="1694"/>
      <c r="X264" s="1694"/>
      <c r="Y264" s="1694"/>
      <c r="Z264" s="1694"/>
      <c r="AA264" s="1694"/>
      <c r="AB264" s="1694"/>
      <c r="AC264" s="1694"/>
      <c r="AD264" s="1694"/>
      <c r="AE264" s="1694"/>
      <c r="AJ264" s="8"/>
      <c r="AK264" s="8"/>
      <c r="AL264" s="72"/>
      <c r="BA264" s="75"/>
    </row>
    <row r="265" spans="1:53" ht="13.2">
      <c r="A265" s="33"/>
      <c r="B265" s="8"/>
      <c r="C265" s="8"/>
      <c r="D265" s="74" t="s">
        <v>419</v>
      </c>
      <c r="E265" s="8"/>
      <c r="F265" s="8"/>
      <c r="M265" s="1687"/>
      <c r="N265" s="1687"/>
      <c r="O265" s="1687"/>
      <c r="P265" s="1687"/>
      <c r="Q265" s="1687"/>
      <c r="R265" s="1687"/>
      <c r="S265" s="8" t="s">
        <v>900</v>
      </c>
      <c r="T265" s="8"/>
      <c r="U265" s="1702"/>
      <c r="V265" s="1702"/>
      <c r="W265" s="1702"/>
      <c r="X265" s="8" t="s">
        <v>420</v>
      </c>
      <c r="Z265" s="1687"/>
      <c r="AA265" s="1687"/>
      <c r="AB265" s="1687"/>
      <c r="AC265" s="1687"/>
      <c r="AD265" s="1687"/>
      <c r="AE265" s="1687"/>
      <c r="AL265" s="72"/>
      <c r="BA265" s="75"/>
    </row>
    <row r="266" spans="1:53" ht="13.2">
      <c r="A266" s="33"/>
      <c r="B266" s="8"/>
      <c r="C266" s="8"/>
      <c r="D266" s="74" t="s">
        <v>421</v>
      </c>
      <c r="E266" s="8"/>
      <c r="F266" s="8"/>
      <c r="M266" s="1695"/>
      <c r="N266" s="1695"/>
      <c r="O266" s="1695"/>
      <c r="P266" s="1695"/>
      <c r="Q266" s="1695"/>
      <c r="R266" s="1695"/>
      <c r="S266" s="1695"/>
      <c r="T266" s="1695"/>
      <c r="U266" s="1695"/>
      <c r="V266" s="1695"/>
      <c r="W266" s="1695"/>
      <c r="X266" s="1695"/>
      <c r="Y266" s="1695"/>
      <c r="Z266" s="1695"/>
      <c r="AA266" s="1695"/>
      <c r="AB266" s="1695"/>
      <c r="AC266" s="1695"/>
      <c r="AD266" s="1695"/>
      <c r="AE266" s="1695"/>
      <c r="AG266" s="8"/>
      <c r="AH266" s="8"/>
      <c r="AI266" s="8"/>
      <c r="AJ266" s="8"/>
      <c r="AK266" s="8"/>
      <c r="AL266" s="72"/>
      <c r="BA266" s="75"/>
    </row>
    <row r="267" spans="1:53" ht="13.2">
      <c r="A267" s="33"/>
      <c r="B267" s="8"/>
      <c r="C267" s="147"/>
      <c r="D267" s="74" t="s">
        <v>701</v>
      </c>
      <c r="E267" s="8"/>
      <c r="F267" s="8"/>
      <c r="G267" s="8"/>
      <c r="H267" s="8"/>
      <c r="I267" s="8"/>
      <c r="J267" s="8"/>
      <c r="K267" s="8"/>
      <c r="L267" s="8"/>
      <c r="M267" s="1688" t="s">
        <v>86</v>
      </c>
      <c r="N267" s="1688"/>
      <c r="O267" s="1688"/>
      <c r="P267" s="1688"/>
      <c r="Q267" s="1688"/>
      <c r="R267" s="1688"/>
      <c r="S267" s="1688"/>
      <c r="T267" s="1688"/>
      <c r="U267" s="8" t="s">
        <v>1267</v>
      </c>
      <c r="AA267" s="1700"/>
      <c r="AB267" s="1700"/>
      <c r="AC267" s="1700"/>
      <c r="AD267" s="1700"/>
      <c r="AE267" s="1700"/>
      <c r="AF267" s="1700"/>
      <c r="AG267" s="1700"/>
      <c r="AH267" s="1700"/>
      <c r="AI267" s="1700"/>
      <c r="AJ267" s="1700"/>
      <c r="AK267" s="1700"/>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2" customHeight="1">
      <c r="A269" s="142" t="s">
        <v>134</v>
      </c>
      <c r="B269" s="8"/>
      <c r="C269" s="63" t="s">
        <v>295</v>
      </c>
      <c r="D269" s="8"/>
      <c r="E269" s="8"/>
      <c r="F269" s="8"/>
      <c r="G269" s="8"/>
      <c r="H269" s="8"/>
      <c r="I269" s="8"/>
      <c r="J269" s="8"/>
      <c r="K269" s="8"/>
      <c r="L269" s="8"/>
      <c r="M269" s="274"/>
      <c r="N269" s="274"/>
      <c r="O269" s="274"/>
      <c r="P269" s="274"/>
      <c r="Q269" s="274"/>
      <c r="T269" s="1693" t="str">
        <f>BO245</f>
        <v>Nonprofit</v>
      </c>
      <c r="U269" s="1693"/>
      <c r="V269" s="1693"/>
      <c r="W269" s="1693"/>
      <c r="X269" s="1693"/>
      <c r="Z269" s="755" t="s">
        <v>1344</v>
      </c>
      <c r="AA269" s="86"/>
      <c r="AB269" s="86"/>
      <c r="AC269" s="86"/>
      <c r="AD269" s="86"/>
      <c r="AE269" s="86"/>
      <c r="AF269" s="307"/>
      <c r="AG269" s="307"/>
      <c r="AH269" s="307"/>
      <c r="AI269" s="307"/>
      <c r="AJ269" s="307"/>
      <c r="AK269" s="86"/>
      <c r="AL269" s="108"/>
      <c r="BA269" s="75"/>
    </row>
    <row r="270" spans="1:53" ht="13.2" customHeight="1">
      <c r="A270" s="63"/>
      <c r="B270" s="8"/>
      <c r="C270" s="63"/>
      <c r="I270" s="8"/>
      <c r="J270" s="8"/>
      <c r="K270" s="8"/>
      <c r="L270" s="8"/>
      <c r="M270" s="274"/>
      <c r="N270" s="274"/>
      <c r="O270" s="274"/>
      <c r="P270" s="274"/>
      <c r="Q270" s="274"/>
      <c r="T270" s="8"/>
      <c r="U270" s="8"/>
      <c r="V270" s="8"/>
      <c r="W270" s="76"/>
      <c r="Z270" s="756"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7" t="s">
        <v>1342</v>
      </c>
      <c r="AA271" s="94"/>
      <c r="AB271" s="94"/>
      <c r="AC271" s="94"/>
      <c r="AD271" s="305"/>
      <c r="AE271" s="305"/>
      <c r="AF271" s="305"/>
      <c r="AG271" s="305"/>
      <c r="AH271" s="305"/>
      <c r="AI271" s="305"/>
      <c r="AJ271" s="305"/>
      <c r="AK271" s="644"/>
      <c r="AL271" s="758"/>
    </row>
    <row r="272" spans="1:53" ht="13.2">
      <c r="A272" s="71"/>
      <c r="B272" s="77">
        <v>0</v>
      </c>
      <c r="D272" s="1694" t="s">
        <v>994</v>
      </c>
      <c r="E272" s="1694"/>
      <c r="F272" s="1694"/>
      <c r="G272" s="1694"/>
      <c r="H272" s="1694"/>
      <c r="J272" s="16" t="s">
        <v>993</v>
      </c>
      <c r="X272" s="1704"/>
      <c r="Y272" s="1704"/>
      <c r="Z272" s="1704"/>
      <c r="AA272" s="1704"/>
      <c r="AB272" s="1704"/>
      <c r="AC272" s="1704"/>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1845" t="s">
        <v>2370</v>
      </c>
      <c r="M276" s="1692"/>
      <c r="N276" s="1692"/>
      <c r="O276" s="1692"/>
      <c r="P276" s="1692"/>
      <c r="Q276" s="1692"/>
      <c r="R276" s="1692"/>
      <c r="S276" s="1692"/>
      <c r="T276" s="1692"/>
      <c r="U276" s="1692"/>
      <c r="V276" s="1692"/>
      <c r="W276" s="1692"/>
      <c r="X276" s="1692"/>
      <c r="Y276" s="1692"/>
      <c r="Z276" s="1692"/>
      <c r="AA276" s="1692"/>
      <c r="AB276" s="1692"/>
      <c r="AC276" s="1692"/>
      <c r="AD276" s="1692"/>
      <c r="AE276" s="1692"/>
      <c r="AF276" s="1692"/>
      <c r="AG276" s="1692"/>
      <c r="AH276" s="1692"/>
      <c r="AI276" s="1692"/>
      <c r="AJ276" s="1692"/>
      <c r="AK276" s="72"/>
      <c r="AL276" s="72"/>
      <c r="BA276" s="75"/>
    </row>
    <row r="277" spans="1:53" ht="12.75" customHeight="1">
      <c r="D277" s="71" t="s">
        <v>416</v>
      </c>
      <c r="E277" s="71"/>
      <c r="F277" s="71"/>
      <c r="G277" s="71"/>
      <c r="H277" s="71"/>
      <c r="I277" s="71"/>
      <c r="J277" s="71"/>
      <c r="K277" s="8"/>
      <c r="L277" s="1703" t="s">
        <v>2384</v>
      </c>
      <c r="M277" s="1694"/>
      <c r="N277" s="1694"/>
      <c r="O277" s="1694"/>
      <c r="P277" s="1694"/>
      <c r="Q277" s="1694"/>
      <c r="R277" s="1694"/>
      <c r="S277" s="1694"/>
      <c r="T277" s="1694"/>
      <c r="U277" s="1694"/>
      <c r="V277" s="1694"/>
      <c r="W277" s="1694"/>
      <c r="X277" s="1694"/>
      <c r="Y277" s="1694"/>
      <c r="Z277" s="1694"/>
      <c r="AA277" s="1694"/>
      <c r="AB277" s="1694"/>
      <c r="AC277" s="1694"/>
      <c r="AD277" s="1694"/>
      <c r="AK277" s="72"/>
      <c r="AL277" s="72"/>
      <c r="BA277" s="75"/>
    </row>
    <row r="278" spans="1:53" ht="13.2">
      <c r="D278" s="71" t="s">
        <v>479</v>
      </c>
      <c r="E278" s="71"/>
      <c r="L278" s="1703" t="s">
        <v>2373</v>
      </c>
      <c r="M278" s="1694"/>
      <c r="N278" s="1694"/>
      <c r="O278" s="1694"/>
      <c r="P278" s="1694"/>
      <c r="Q278" s="1694"/>
      <c r="R278" s="1694"/>
      <c r="S278" s="1694"/>
      <c r="U278" s="73" t="s">
        <v>417</v>
      </c>
      <c r="V278" s="1701" t="s">
        <v>2385</v>
      </c>
      <c r="W278" s="1702"/>
      <c r="X278" s="71" t="s">
        <v>482</v>
      </c>
      <c r="AB278" s="1694">
        <v>95407</v>
      </c>
      <c r="AC278" s="1694"/>
      <c r="AD278" s="1694"/>
      <c r="AK278" s="72"/>
      <c r="AL278" s="72"/>
      <c r="BA278" s="75"/>
    </row>
    <row r="279" spans="1:53" ht="13.2">
      <c r="D279" s="74" t="s">
        <v>418</v>
      </c>
      <c r="E279" s="8"/>
      <c r="F279" s="8"/>
      <c r="G279" s="8"/>
      <c r="H279" s="8"/>
      <c r="I279" s="8"/>
      <c r="J279" s="8"/>
      <c r="K279" s="39"/>
      <c r="L279" s="1703" t="s">
        <v>2386</v>
      </c>
      <c r="M279" s="1694"/>
      <c r="N279" s="1694"/>
      <c r="O279" s="1694"/>
      <c r="P279" s="1694"/>
      <c r="Q279" s="1694"/>
      <c r="R279" s="1694"/>
      <c r="S279" s="1694"/>
      <c r="T279" s="1694"/>
      <c r="U279" s="1694"/>
      <c r="V279" s="1694"/>
      <c r="W279" s="1694"/>
      <c r="X279" s="1694"/>
      <c r="Y279" s="1694"/>
      <c r="Z279" s="1694"/>
      <c r="AA279" s="1694"/>
      <c r="AB279" s="1694"/>
      <c r="AC279" s="1694"/>
      <c r="AD279" s="1694"/>
      <c r="AI279" s="8"/>
      <c r="AJ279" s="8"/>
      <c r="AK279" s="72"/>
      <c r="AL279" s="72"/>
      <c r="BA279" s="75"/>
    </row>
    <row r="280" spans="1:53" ht="13.2">
      <c r="D280" s="74" t="s">
        <v>419</v>
      </c>
      <c r="E280" s="8"/>
      <c r="F280" s="8"/>
      <c r="L280" s="1691" t="s">
        <v>2387</v>
      </c>
      <c r="M280" s="1687"/>
      <c r="N280" s="1687"/>
      <c r="O280" s="1687"/>
      <c r="P280" s="1687"/>
      <c r="Q280" s="1687"/>
      <c r="R280" s="8" t="s">
        <v>900</v>
      </c>
      <c r="S280" s="8"/>
      <c r="T280" s="1702"/>
      <c r="U280" s="1702"/>
      <c r="V280" s="1702"/>
      <c r="W280" s="8" t="s">
        <v>420</v>
      </c>
      <c r="Y280" s="1691" t="s">
        <v>2405</v>
      </c>
      <c r="Z280" s="1687"/>
      <c r="AA280" s="1687"/>
      <c r="AB280" s="1687"/>
      <c r="AC280" s="1687"/>
      <c r="AD280" s="1687"/>
      <c r="BA280" s="75"/>
    </row>
    <row r="281" spans="1:53" ht="13.2">
      <c r="D281" s="74" t="s">
        <v>421</v>
      </c>
      <c r="E281" s="8"/>
      <c r="F281" s="8"/>
      <c r="L281" s="1695" t="s">
        <v>2388</v>
      </c>
      <c r="M281" s="1695"/>
      <c r="N281" s="1695"/>
      <c r="O281" s="1695"/>
      <c r="P281" s="1695"/>
      <c r="Q281" s="1695"/>
      <c r="R281" s="1695"/>
      <c r="S281" s="1695"/>
      <c r="T281" s="1695"/>
      <c r="U281" s="1695"/>
      <c r="V281" s="1695"/>
      <c r="W281" s="1695"/>
      <c r="X281" s="1695"/>
      <c r="Y281" s="1695"/>
      <c r="Z281" s="1695"/>
      <c r="AA281" s="1695"/>
      <c r="AB281" s="1695"/>
      <c r="AC281" s="1695"/>
      <c r="AD281" s="1695"/>
      <c r="AF281" s="8"/>
      <c r="AG281" s="8"/>
      <c r="AH281" s="8"/>
      <c r="AI281" s="8"/>
      <c r="AJ281" s="8"/>
      <c r="BA281" s="75"/>
    </row>
    <row r="282" spans="1:53" ht="13.2">
      <c r="D282" s="72" t="s">
        <v>203</v>
      </c>
      <c r="E282" s="72"/>
      <c r="F282" s="72"/>
      <c r="G282" s="72"/>
      <c r="H282" s="72"/>
      <c r="I282" s="72"/>
      <c r="L282" s="1701" t="s">
        <v>2397</v>
      </c>
      <c r="M282" s="1701"/>
      <c r="N282" s="1701"/>
      <c r="O282" s="1701"/>
      <c r="P282" s="1701"/>
      <c r="Q282" s="1701"/>
      <c r="R282" s="1701"/>
      <c r="S282" s="1701"/>
      <c r="T282" s="1701"/>
      <c r="U282" s="1701"/>
      <c r="V282" s="1701"/>
      <c r="W282" s="1701"/>
      <c r="X282" s="1701"/>
      <c r="Y282" s="1701"/>
      <c r="Z282" s="1701"/>
      <c r="AA282" s="1701"/>
      <c r="AB282" s="1701"/>
      <c r="AC282" s="1701"/>
      <c r="AD282" s="1701"/>
      <c r="AK282" s="72"/>
      <c r="AL282" s="72"/>
      <c r="BA282" s="75"/>
    </row>
    <row r="283" spans="1:53" ht="13.2">
      <c r="L283" s="46" t="s">
        <v>204</v>
      </c>
      <c r="BA283" s="75"/>
    </row>
    <row r="284" spans="1:53" ht="13.2">
      <c r="A284" s="1689" t="s">
        <v>545</v>
      </c>
      <c r="B284" s="1689"/>
      <c r="C284" s="1689"/>
      <c r="D284" s="1689"/>
      <c r="E284" s="1689"/>
      <c r="F284" s="1689"/>
      <c r="G284" s="1689"/>
      <c r="H284" s="1689"/>
      <c r="I284" s="1689"/>
      <c r="J284" s="1689"/>
      <c r="K284" s="1689"/>
      <c r="L284" s="1689"/>
      <c r="M284" s="1689"/>
      <c r="N284" s="1689"/>
      <c r="O284" s="1689"/>
      <c r="P284" s="1689"/>
      <c r="Q284" s="1689"/>
      <c r="R284" s="1689"/>
      <c r="S284" s="1689"/>
      <c r="T284" s="1689"/>
      <c r="U284" s="1689"/>
      <c r="V284" s="1689"/>
      <c r="W284" s="1689"/>
      <c r="X284" s="1689"/>
      <c r="Y284" s="1689"/>
      <c r="Z284" s="1689"/>
      <c r="AA284" s="1689"/>
      <c r="AB284" s="1689"/>
      <c r="AC284" s="1689"/>
      <c r="AD284" s="1689"/>
      <c r="AE284" s="1689"/>
      <c r="AF284" s="1689"/>
      <c r="AG284" s="1689"/>
      <c r="AH284" s="1689"/>
      <c r="AI284" s="1689"/>
      <c r="AJ284" s="1689"/>
      <c r="AK284" s="1689"/>
      <c r="AL284" s="1689"/>
      <c r="BA284" s="75"/>
    </row>
    <row r="285" spans="1:53" ht="13.8" thickBot="1">
      <c r="A285" s="1690"/>
      <c r="B285" s="1690"/>
      <c r="C285" s="1690"/>
      <c r="D285" s="1690"/>
      <c r="E285" s="1690"/>
      <c r="F285" s="1690"/>
      <c r="G285" s="1690"/>
      <c r="H285" s="1690"/>
      <c r="I285" s="1690"/>
      <c r="J285" s="1690"/>
      <c r="K285" s="1690"/>
      <c r="L285" s="1690"/>
      <c r="M285" s="1690"/>
      <c r="N285" s="1690"/>
      <c r="O285" s="1690"/>
      <c r="P285" s="1690"/>
      <c r="Q285" s="1690"/>
      <c r="R285" s="1690"/>
      <c r="S285" s="1690"/>
      <c r="T285" s="1690"/>
      <c r="U285" s="1690"/>
      <c r="V285" s="1690"/>
      <c r="W285" s="1690"/>
      <c r="X285" s="1690"/>
      <c r="Y285" s="1690"/>
      <c r="Z285" s="1690"/>
      <c r="AA285" s="1690"/>
      <c r="AB285" s="1690"/>
      <c r="AC285" s="1690"/>
      <c r="AD285" s="1690"/>
      <c r="AE285" s="1690"/>
      <c r="AF285" s="1690"/>
      <c r="AG285" s="1690"/>
      <c r="AH285" s="1690"/>
      <c r="AI285" s="1690"/>
      <c r="AJ285" s="1690"/>
      <c r="AK285" s="1690"/>
      <c r="AL285" s="1690"/>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8" t="s">
        <v>2370</v>
      </c>
      <c r="I289" s="1698"/>
      <c r="J289" s="1698"/>
      <c r="K289" s="1698"/>
      <c r="L289" s="1698"/>
      <c r="M289" s="1698"/>
      <c r="N289" s="1698"/>
      <c r="O289" s="1698"/>
      <c r="P289" s="1698"/>
      <c r="Q289" s="1698"/>
      <c r="R289" s="1698"/>
      <c r="T289" s="72" t="s">
        <v>813</v>
      </c>
      <c r="V289" s="72"/>
      <c r="W289" s="72"/>
      <c r="X289" s="72"/>
      <c r="Y289" s="72"/>
      <c r="AA289" s="1698" t="s">
        <v>2426</v>
      </c>
      <c r="AB289" s="1698"/>
      <c r="AC289" s="1698"/>
      <c r="AD289" s="1698"/>
      <c r="AE289" s="1698"/>
      <c r="AF289" s="1698"/>
      <c r="AG289" s="1698"/>
      <c r="AH289" s="1698"/>
      <c r="AI289" s="1698"/>
      <c r="AJ289" s="1698"/>
      <c r="AK289" s="1698"/>
      <c r="BA289" s="75"/>
    </row>
    <row r="290" spans="2:53" ht="13.2">
      <c r="B290" s="72" t="s">
        <v>765</v>
      </c>
      <c r="C290" s="72"/>
      <c r="D290" s="72"/>
      <c r="E290" s="72"/>
      <c r="F290" s="72"/>
      <c r="H290" s="1688" t="s">
        <v>2384</v>
      </c>
      <c r="I290" s="1688"/>
      <c r="J290" s="1688"/>
      <c r="K290" s="1688"/>
      <c r="L290" s="1688"/>
      <c r="M290" s="1688"/>
      <c r="N290" s="1688"/>
      <c r="O290" s="1688"/>
      <c r="P290" s="1688"/>
      <c r="Q290" s="1688"/>
      <c r="R290" s="1688"/>
      <c r="T290" s="72" t="s">
        <v>765</v>
      </c>
      <c r="V290" s="72"/>
      <c r="W290" s="72"/>
      <c r="X290" s="72"/>
      <c r="Y290" s="72"/>
      <c r="AA290" s="1688" t="s">
        <v>2427</v>
      </c>
      <c r="AB290" s="1688"/>
      <c r="AC290" s="1688"/>
      <c r="AD290" s="1688"/>
      <c r="AE290" s="1688"/>
      <c r="AF290" s="1688"/>
      <c r="AG290" s="1688"/>
      <c r="AH290" s="1688"/>
      <c r="AI290" s="1688"/>
      <c r="AJ290" s="1688"/>
      <c r="AK290" s="1688"/>
      <c r="BA290" s="75"/>
    </row>
    <row r="291" spans="2:53" ht="13.2">
      <c r="B291" s="72" t="s">
        <v>767</v>
      </c>
      <c r="C291" s="72"/>
      <c r="D291" s="72"/>
      <c r="E291" s="72"/>
      <c r="F291" s="72"/>
      <c r="H291" s="1688" t="s">
        <v>2398</v>
      </c>
      <c r="I291" s="1688"/>
      <c r="J291" s="1688"/>
      <c r="K291" s="1688"/>
      <c r="L291" s="1688"/>
      <c r="M291" s="1688"/>
      <c r="N291" s="1688"/>
      <c r="O291" s="1688"/>
      <c r="P291" s="1688"/>
      <c r="Q291" s="1688"/>
      <c r="R291" s="1688"/>
      <c r="T291" s="72" t="s">
        <v>766</v>
      </c>
      <c r="V291" s="72"/>
      <c r="W291" s="72"/>
      <c r="X291" s="72"/>
      <c r="Y291" s="72"/>
      <c r="AA291" s="1688" t="s">
        <v>2428</v>
      </c>
      <c r="AB291" s="1688"/>
      <c r="AC291" s="1688"/>
      <c r="AD291" s="1688"/>
      <c r="AE291" s="1688"/>
      <c r="AF291" s="1688"/>
      <c r="AG291" s="1688"/>
      <c r="AH291" s="1688"/>
      <c r="AI291" s="1688"/>
      <c r="AJ291" s="1688"/>
      <c r="AK291" s="1688"/>
      <c r="BA291" s="75"/>
    </row>
    <row r="292" spans="2:53" ht="13.2">
      <c r="B292" s="72" t="s">
        <v>418</v>
      </c>
      <c r="C292" s="72"/>
      <c r="D292" s="72"/>
      <c r="E292" s="72"/>
      <c r="F292" s="72"/>
      <c r="H292" s="1688" t="s">
        <v>2386</v>
      </c>
      <c r="I292" s="1688"/>
      <c r="J292" s="1688"/>
      <c r="K292" s="1688"/>
      <c r="L292" s="1688"/>
      <c r="M292" s="1688"/>
      <c r="N292" s="1688"/>
      <c r="O292" s="1688"/>
      <c r="P292" s="1688"/>
      <c r="Q292" s="1688"/>
      <c r="R292" s="1688"/>
      <c r="T292" s="72" t="s">
        <v>418</v>
      </c>
      <c r="V292" s="72"/>
      <c r="W292" s="72"/>
      <c r="X292" s="72"/>
      <c r="Y292" s="72"/>
      <c r="AA292" s="1688" t="s">
        <v>2429</v>
      </c>
      <c r="AB292" s="1688"/>
      <c r="AC292" s="1688"/>
      <c r="AD292" s="1688"/>
      <c r="AE292" s="1688"/>
      <c r="AF292" s="1688"/>
      <c r="AG292" s="1688"/>
      <c r="AH292" s="1688"/>
      <c r="AI292" s="1688"/>
      <c r="AJ292" s="1688"/>
      <c r="AK292" s="1688"/>
      <c r="BA292" s="75"/>
    </row>
    <row r="293" spans="2:53" ht="12.75" customHeight="1">
      <c r="B293" s="72" t="s">
        <v>419</v>
      </c>
      <c r="C293" s="72"/>
      <c r="D293" s="72"/>
      <c r="E293" s="72"/>
      <c r="F293" s="72"/>
      <c r="G293" s="72"/>
      <c r="H293" s="1699" t="s">
        <v>2387</v>
      </c>
      <c r="I293" s="1700"/>
      <c r="J293" s="1700"/>
      <c r="K293" s="1700"/>
      <c r="L293" s="1700"/>
      <c r="M293" s="1700"/>
      <c r="N293" s="8" t="s">
        <v>900</v>
      </c>
      <c r="O293" s="8"/>
      <c r="P293" s="1694"/>
      <c r="Q293" s="1694"/>
      <c r="R293" s="1694"/>
      <c r="S293" s="72"/>
      <c r="T293" s="72" t="s">
        <v>419</v>
      </c>
      <c r="V293" s="72"/>
      <c r="W293" s="72"/>
      <c r="X293" s="72"/>
      <c r="Y293" s="72"/>
      <c r="AA293" s="1699" t="s">
        <v>2430</v>
      </c>
      <c r="AB293" s="1700"/>
      <c r="AC293" s="1700"/>
      <c r="AD293" s="1700"/>
      <c r="AE293" s="1700"/>
      <c r="AF293" s="1700"/>
      <c r="AG293" s="8" t="s">
        <v>900</v>
      </c>
      <c r="AH293" s="8"/>
      <c r="AI293" s="1694"/>
      <c r="AJ293" s="1694"/>
      <c r="AK293" s="1694"/>
      <c r="BA293" s="75"/>
    </row>
    <row r="294" spans="2:53" ht="13.2">
      <c r="B294" s="72" t="s">
        <v>420</v>
      </c>
      <c r="C294" s="72"/>
      <c r="D294" s="72"/>
      <c r="E294" s="72"/>
      <c r="F294" s="72"/>
      <c r="G294" s="72"/>
      <c r="H294" s="1691" t="s">
        <v>2405</v>
      </c>
      <c r="I294" s="1687"/>
      <c r="J294" s="1687"/>
      <c r="K294" s="1687"/>
      <c r="L294" s="1687"/>
      <c r="M294" s="1687"/>
      <c r="N294" s="74"/>
      <c r="O294" s="74"/>
      <c r="P294" s="76"/>
      <c r="Q294" s="76"/>
      <c r="R294" s="76"/>
      <c r="S294" s="72"/>
      <c r="T294" s="72" t="s">
        <v>420</v>
      </c>
      <c r="V294" s="72"/>
      <c r="W294" s="72"/>
      <c r="X294" s="72"/>
      <c r="Y294" s="72"/>
      <c r="AA294" s="1687"/>
      <c r="AB294" s="1687"/>
      <c r="AC294" s="1687"/>
      <c r="AD294" s="1687"/>
      <c r="AE294" s="1687"/>
      <c r="AF294" s="1687"/>
      <c r="AG294" s="74"/>
      <c r="AH294" s="74"/>
      <c r="AI294" s="76"/>
      <c r="AJ294" s="76"/>
      <c r="AK294" s="76"/>
      <c r="BA294" s="75"/>
    </row>
    <row r="295" spans="2:53" ht="13.2">
      <c r="B295" s="72" t="s">
        <v>768</v>
      </c>
      <c r="C295" s="72"/>
      <c r="D295" s="72"/>
      <c r="E295" s="72"/>
      <c r="F295" s="72"/>
      <c r="G295" s="72"/>
      <c r="H295" s="1688" t="s">
        <v>2388</v>
      </c>
      <c r="I295" s="1688"/>
      <c r="J295" s="1688"/>
      <c r="K295" s="1688"/>
      <c r="L295" s="1688"/>
      <c r="M295" s="1688"/>
      <c r="N295" s="1698"/>
      <c r="O295" s="1698"/>
      <c r="P295" s="1698"/>
      <c r="Q295" s="1698"/>
      <c r="R295" s="1698"/>
      <c r="S295" s="72"/>
      <c r="T295" s="72" t="s">
        <v>768</v>
      </c>
      <c r="V295" s="72"/>
      <c r="W295" s="72"/>
      <c r="X295" s="72"/>
      <c r="Y295" s="72"/>
      <c r="AA295" s="1688" t="s">
        <v>2431</v>
      </c>
      <c r="AB295" s="1688"/>
      <c r="AC295" s="1688"/>
      <c r="AD295" s="1688"/>
      <c r="AE295" s="1688"/>
      <c r="AF295" s="1688"/>
      <c r="AG295" s="1698"/>
      <c r="AH295" s="1698"/>
      <c r="AI295" s="1698"/>
      <c r="AJ295" s="1698"/>
      <c r="AK295" s="1698"/>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98" t="s">
        <v>2399</v>
      </c>
      <c r="I297" s="1698"/>
      <c r="J297" s="1698"/>
      <c r="K297" s="1698"/>
      <c r="L297" s="1698"/>
      <c r="M297" s="1698"/>
      <c r="N297" s="1698"/>
      <c r="O297" s="1698"/>
      <c r="P297" s="1698"/>
      <c r="Q297" s="1698"/>
      <c r="R297" s="1698"/>
      <c r="T297" s="72" t="s">
        <v>40</v>
      </c>
      <c r="V297" s="72"/>
      <c r="W297" s="72"/>
      <c r="X297" s="72"/>
      <c r="Y297" s="72"/>
      <c r="AA297" s="1698" t="s">
        <v>2432</v>
      </c>
      <c r="AB297" s="1698"/>
      <c r="AC297" s="1698"/>
      <c r="AD297" s="1698"/>
      <c r="AE297" s="1698"/>
      <c r="AF297" s="1698"/>
      <c r="AG297" s="1698"/>
      <c r="AH297" s="1698"/>
      <c r="AI297" s="1698"/>
      <c r="AJ297" s="1698"/>
      <c r="AK297" s="1698"/>
      <c r="BA297" s="75"/>
    </row>
    <row r="298" spans="2:53" ht="13.2">
      <c r="B298" s="72" t="s">
        <v>765</v>
      </c>
      <c r="C298" s="72"/>
      <c r="D298" s="72"/>
      <c r="E298" s="72"/>
      <c r="F298" s="72"/>
      <c r="H298" s="1688" t="s">
        <v>2400</v>
      </c>
      <c r="I298" s="1688"/>
      <c r="J298" s="1688"/>
      <c r="K298" s="1688"/>
      <c r="L298" s="1688"/>
      <c r="M298" s="1688"/>
      <c r="N298" s="1688"/>
      <c r="O298" s="1688"/>
      <c r="P298" s="1688"/>
      <c r="Q298" s="1688"/>
      <c r="R298" s="1688"/>
      <c r="T298" s="72" t="s">
        <v>765</v>
      </c>
      <c r="V298" s="72"/>
      <c r="W298" s="72"/>
      <c r="X298" s="72"/>
      <c r="Y298" s="72"/>
      <c r="AA298" s="1688" t="s">
        <v>2433</v>
      </c>
      <c r="AB298" s="1688"/>
      <c r="AC298" s="1688"/>
      <c r="AD298" s="1688"/>
      <c r="AE298" s="1688"/>
      <c r="AF298" s="1688"/>
      <c r="AG298" s="1688"/>
      <c r="AH298" s="1688"/>
      <c r="AI298" s="1688"/>
      <c r="AJ298" s="1688"/>
      <c r="AK298" s="1688"/>
      <c r="BA298" s="75"/>
    </row>
    <row r="299" spans="2:53" ht="13.2">
      <c r="B299" s="72" t="s">
        <v>767</v>
      </c>
      <c r="C299" s="72"/>
      <c r="D299" s="72"/>
      <c r="E299" s="72"/>
      <c r="F299" s="72"/>
      <c r="H299" s="1688" t="s">
        <v>2401</v>
      </c>
      <c r="I299" s="1688"/>
      <c r="J299" s="1688"/>
      <c r="K299" s="1688"/>
      <c r="L299" s="1688"/>
      <c r="M299" s="1688"/>
      <c r="N299" s="1688"/>
      <c r="O299" s="1688"/>
      <c r="P299" s="1688"/>
      <c r="Q299" s="1688"/>
      <c r="R299" s="1688"/>
      <c r="T299" s="72" t="s">
        <v>766</v>
      </c>
      <c r="V299" s="72"/>
      <c r="W299" s="72"/>
      <c r="X299" s="72"/>
      <c r="Y299" s="72"/>
      <c r="AA299" s="1688" t="s">
        <v>2434</v>
      </c>
      <c r="AB299" s="1688"/>
      <c r="AC299" s="1688"/>
      <c r="AD299" s="1688"/>
      <c r="AE299" s="1688"/>
      <c r="AF299" s="1688"/>
      <c r="AG299" s="1688"/>
      <c r="AH299" s="1688"/>
      <c r="AI299" s="1688"/>
      <c r="AJ299" s="1688"/>
      <c r="AK299" s="1688"/>
      <c r="BA299" s="75"/>
    </row>
    <row r="300" spans="2:53" ht="13.2">
      <c r="B300" s="72" t="s">
        <v>418</v>
      </c>
      <c r="C300" s="72"/>
      <c r="D300" s="72"/>
      <c r="E300" s="72"/>
      <c r="F300" s="72"/>
      <c r="H300" s="1688" t="s">
        <v>2402</v>
      </c>
      <c r="I300" s="1688"/>
      <c r="J300" s="1688"/>
      <c r="K300" s="1688"/>
      <c r="L300" s="1688"/>
      <c r="M300" s="1688"/>
      <c r="N300" s="1688"/>
      <c r="O300" s="1688"/>
      <c r="P300" s="1688"/>
      <c r="Q300" s="1688"/>
      <c r="R300" s="1688"/>
      <c r="T300" s="72" t="s">
        <v>418</v>
      </c>
      <c r="V300" s="72"/>
      <c r="W300" s="72"/>
      <c r="X300" s="72"/>
      <c r="Y300" s="72"/>
      <c r="AA300" s="1688" t="s">
        <v>2435</v>
      </c>
      <c r="AB300" s="1688"/>
      <c r="AC300" s="1688"/>
      <c r="AD300" s="1688"/>
      <c r="AE300" s="1688"/>
      <c r="AF300" s="1688"/>
      <c r="AG300" s="1688"/>
      <c r="AH300" s="1688"/>
      <c r="AI300" s="1688"/>
      <c r="AJ300" s="1688"/>
      <c r="AK300" s="1688"/>
      <c r="BA300" s="75"/>
    </row>
    <row r="301" spans="2:53" ht="12.75" customHeight="1">
      <c r="B301" s="72" t="s">
        <v>419</v>
      </c>
      <c r="C301" s="72"/>
      <c r="D301" s="72"/>
      <c r="E301" s="72"/>
      <c r="F301" s="72"/>
      <c r="G301" s="72"/>
      <c r="H301" s="1699" t="s">
        <v>2403</v>
      </c>
      <c r="I301" s="1700"/>
      <c r="J301" s="1700"/>
      <c r="K301" s="1700"/>
      <c r="L301" s="1700"/>
      <c r="M301" s="1700"/>
      <c r="N301" s="8" t="s">
        <v>900</v>
      </c>
      <c r="O301" s="8"/>
      <c r="P301" s="1694"/>
      <c r="Q301" s="1694"/>
      <c r="R301" s="1694"/>
      <c r="S301" s="72"/>
      <c r="T301" s="72" t="s">
        <v>419</v>
      </c>
      <c r="V301" s="72"/>
      <c r="W301" s="72"/>
      <c r="X301" s="72"/>
      <c r="Y301" s="72"/>
      <c r="AA301" s="1699" t="s">
        <v>2436</v>
      </c>
      <c r="AB301" s="1700"/>
      <c r="AC301" s="1700"/>
      <c r="AD301" s="1700"/>
      <c r="AE301" s="1700"/>
      <c r="AF301" s="1700"/>
      <c r="AG301" s="8" t="s">
        <v>900</v>
      </c>
      <c r="AH301" s="8"/>
      <c r="AI301" s="1694"/>
      <c r="AJ301" s="1694"/>
      <c r="AK301" s="1694"/>
      <c r="BA301" s="75"/>
    </row>
    <row r="302" spans="2:53" ht="13.2">
      <c r="B302" s="72" t="s">
        <v>420</v>
      </c>
      <c r="C302" s="72"/>
      <c r="D302" s="72"/>
      <c r="E302" s="72"/>
      <c r="F302" s="72"/>
      <c r="G302" s="72"/>
      <c r="H302" s="1691" t="s">
        <v>2404</v>
      </c>
      <c r="I302" s="1687"/>
      <c r="J302" s="1687"/>
      <c r="K302" s="1687"/>
      <c r="L302" s="1687"/>
      <c r="M302" s="1687"/>
      <c r="N302" s="74"/>
      <c r="O302" s="74"/>
      <c r="P302" s="76"/>
      <c r="Q302" s="76"/>
      <c r="R302" s="76"/>
      <c r="S302" s="72"/>
      <c r="T302" s="72" t="s">
        <v>420</v>
      </c>
      <c r="V302" s="72"/>
      <c r="W302" s="72"/>
      <c r="X302" s="72"/>
      <c r="Y302" s="72"/>
      <c r="AA302" s="1691" t="s">
        <v>2437</v>
      </c>
      <c r="AB302" s="1687"/>
      <c r="AC302" s="1687"/>
      <c r="AD302" s="1687"/>
      <c r="AE302" s="1687"/>
      <c r="AF302" s="1687"/>
      <c r="AG302" s="74"/>
      <c r="AH302" s="74"/>
      <c r="AI302" s="76"/>
      <c r="AJ302" s="76"/>
      <c r="AK302" s="76"/>
      <c r="BA302" s="75"/>
    </row>
    <row r="303" spans="2:53" ht="13.2">
      <c r="B303" s="72" t="s">
        <v>768</v>
      </c>
      <c r="C303" s="72"/>
      <c r="D303" s="72"/>
      <c r="E303" s="72"/>
      <c r="F303" s="72"/>
      <c r="G303" s="72"/>
      <c r="H303" s="1688" t="s">
        <v>2406</v>
      </c>
      <c r="I303" s="1688"/>
      <c r="J303" s="1688"/>
      <c r="K303" s="1688"/>
      <c r="L303" s="1688"/>
      <c r="M303" s="1688"/>
      <c r="N303" s="1698"/>
      <c r="O303" s="1698"/>
      <c r="P303" s="1698"/>
      <c r="Q303" s="1698"/>
      <c r="R303" s="1698"/>
      <c r="S303" s="72"/>
      <c r="T303" s="72" t="s">
        <v>768</v>
      </c>
      <c r="V303" s="72"/>
      <c r="W303" s="72"/>
      <c r="X303" s="72"/>
      <c r="Y303" s="72"/>
      <c r="AA303" s="1688"/>
      <c r="AB303" s="1688"/>
      <c r="AC303" s="1688"/>
      <c r="AD303" s="1688"/>
      <c r="AE303" s="1688"/>
      <c r="AF303" s="1688"/>
      <c r="AG303" s="1698"/>
      <c r="AH303" s="1698"/>
      <c r="AI303" s="1698"/>
      <c r="AJ303" s="1698"/>
      <c r="AK303" s="1698"/>
      <c r="BA303" s="75"/>
    </row>
    <row r="304" spans="2:53" ht="13.2">
      <c r="BA304" s="75"/>
    </row>
    <row r="305" spans="1:53" ht="12.75" customHeight="1">
      <c r="B305" s="72" t="s">
        <v>769</v>
      </c>
      <c r="C305" s="72"/>
      <c r="D305" s="72"/>
      <c r="E305" s="72"/>
      <c r="F305" s="72"/>
      <c r="H305" s="1698" t="s">
        <v>2407</v>
      </c>
      <c r="I305" s="1698"/>
      <c r="J305" s="1698"/>
      <c r="K305" s="1698"/>
      <c r="L305" s="1698"/>
      <c r="M305" s="1698"/>
      <c r="N305" s="1698"/>
      <c r="O305" s="1698"/>
      <c r="P305" s="1698"/>
      <c r="Q305" s="1698"/>
      <c r="R305" s="1698"/>
      <c r="T305" s="8" t="s">
        <v>1224</v>
      </c>
      <c r="V305" s="72"/>
      <c r="W305" s="72"/>
      <c r="X305" s="72"/>
      <c r="Y305" s="72"/>
      <c r="AA305" s="1698" t="s">
        <v>2438</v>
      </c>
      <c r="AB305" s="1698"/>
      <c r="AC305" s="1698"/>
      <c r="AD305" s="1698"/>
      <c r="AE305" s="1698"/>
      <c r="AF305" s="1698"/>
      <c r="AG305" s="1698"/>
      <c r="AH305" s="1698"/>
      <c r="AI305" s="1698"/>
      <c r="AJ305" s="1698"/>
      <c r="AK305" s="1698"/>
      <c r="BA305" s="75"/>
    </row>
    <row r="306" spans="1:53" ht="12.75" customHeight="1">
      <c r="B306" s="72" t="s">
        <v>765</v>
      </c>
      <c r="C306" s="72"/>
      <c r="D306" s="72"/>
      <c r="E306" s="72"/>
      <c r="F306" s="72"/>
      <c r="H306" s="1688" t="s">
        <v>2408</v>
      </c>
      <c r="I306" s="1688"/>
      <c r="J306" s="1688"/>
      <c r="K306" s="1688"/>
      <c r="L306" s="1688"/>
      <c r="M306" s="1688"/>
      <c r="N306" s="1688"/>
      <c r="O306" s="1688"/>
      <c r="P306" s="1688"/>
      <c r="Q306" s="1688"/>
      <c r="R306" s="1688"/>
      <c r="T306" s="72" t="s">
        <v>765</v>
      </c>
      <c r="V306" s="72"/>
      <c r="W306" s="72"/>
      <c r="X306" s="72"/>
      <c r="Y306" s="72"/>
      <c r="AA306" s="1688" t="s">
        <v>2439</v>
      </c>
      <c r="AB306" s="1688"/>
      <c r="AC306" s="1688"/>
      <c r="AD306" s="1688"/>
      <c r="AE306" s="1688"/>
      <c r="AF306" s="1688"/>
      <c r="AG306" s="1688"/>
      <c r="AH306" s="1688"/>
      <c r="AI306" s="1688"/>
      <c r="AJ306" s="1688"/>
      <c r="AK306" s="1688"/>
      <c r="BA306" s="75"/>
    </row>
    <row r="307" spans="1:53" ht="12.75" customHeight="1">
      <c r="B307" s="72" t="s">
        <v>767</v>
      </c>
      <c r="C307" s="72"/>
      <c r="D307" s="72"/>
      <c r="E307" s="72"/>
      <c r="F307" s="72"/>
      <c r="H307" s="1688" t="s">
        <v>2409</v>
      </c>
      <c r="I307" s="1688"/>
      <c r="J307" s="1688"/>
      <c r="K307" s="1688"/>
      <c r="L307" s="1688"/>
      <c r="M307" s="1688"/>
      <c r="N307" s="1688"/>
      <c r="O307" s="1688"/>
      <c r="P307" s="1688"/>
      <c r="Q307" s="1688"/>
      <c r="R307" s="1688"/>
      <c r="T307" s="72" t="s">
        <v>766</v>
      </c>
      <c r="V307" s="72"/>
      <c r="W307" s="72"/>
      <c r="X307" s="72"/>
      <c r="Y307" s="72"/>
      <c r="AA307" s="1688" t="s">
        <v>2440</v>
      </c>
      <c r="AB307" s="1688"/>
      <c r="AC307" s="1688"/>
      <c r="AD307" s="1688"/>
      <c r="AE307" s="1688"/>
      <c r="AF307" s="1688"/>
      <c r="AG307" s="1688"/>
      <c r="AH307" s="1688"/>
      <c r="AI307" s="1688"/>
      <c r="AJ307" s="1688"/>
      <c r="AK307" s="1688"/>
      <c r="BA307" s="75"/>
    </row>
    <row r="308" spans="1:53" ht="12.75" customHeight="1">
      <c r="B308" s="72" t="s">
        <v>418</v>
      </c>
      <c r="C308" s="72"/>
      <c r="D308" s="72"/>
      <c r="E308" s="72"/>
      <c r="F308" s="72"/>
      <c r="H308" s="1688" t="s">
        <v>2410</v>
      </c>
      <c r="I308" s="1688"/>
      <c r="J308" s="1688"/>
      <c r="K308" s="1688"/>
      <c r="L308" s="1688"/>
      <c r="M308" s="1688"/>
      <c r="N308" s="1688"/>
      <c r="O308" s="1688"/>
      <c r="P308" s="1688"/>
      <c r="Q308" s="1688"/>
      <c r="R308" s="1688"/>
      <c r="T308" s="72" t="s">
        <v>418</v>
      </c>
      <c r="V308" s="72"/>
      <c r="W308" s="72"/>
      <c r="X308" s="72"/>
      <c r="Y308" s="72"/>
      <c r="AA308" s="1688" t="s">
        <v>2441</v>
      </c>
      <c r="AB308" s="1688"/>
      <c r="AC308" s="1688"/>
      <c r="AD308" s="1688"/>
      <c r="AE308" s="1688"/>
      <c r="AF308" s="1688"/>
      <c r="AG308" s="1688"/>
      <c r="AH308" s="1688"/>
      <c r="AI308" s="1688"/>
      <c r="AJ308" s="1688"/>
      <c r="AK308" s="1688"/>
      <c r="BA308" s="75"/>
    </row>
    <row r="309" spans="1:53" ht="13.2">
      <c r="B309" s="72" t="s">
        <v>419</v>
      </c>
      <c r="C309" s="72"/>
      <c r="D309" s="72"/>
      <c r="E309" s="72"/>
      <c r="F309" s="72"/>
      <c r="G309" s="72"/>
      <c r="H309" s="1699" t="s">
        <v>2411</v>
      </c>
      <c r="I309" s="1700"/>
      <c r="J309" s="1700"/>
      <c r="K309" s="1700"/>
      <c r="L309" s="1700"/>
      <c r="M309" s="1700"/>
      <c r="N309" s="8" t="s">
        <v>900</v>
      </c>
      <c r="O309" s="8"/>
      <c r="P309" s="1694"/>
      <c r="Q309" s="1694"/>
      <c r="R309" s="1694"/>
      <c r="S309" s="72"/>
      <c r="T309" s="72" t="s">
        <v>419</v>
      </c>
      <c r="V309" s="72"/>
      <c r="W309" s="72"/>
      <c r="X309" s="72"/>
      <c r="Y309" s="72"/>
      <c r="AA309" s="1699" t="s">
        <v>2442</v>
      </c>
      <c r="AB309" s="1700"/>
      <c r="AC309" s="1700"/>
      <c r="AD309" s="1700"/>
      <c r="AE309" s="1700"/>
      <c r="AF309" s="1700"/>
      <c r="AG309" s="8" t="s">
        <v>900</v>
      </c>
      <c r="AH309" s="8"/>
      <c r="AI309" s="1694"/>
      <c r="AJ309" s="1694"/>
      <c r="AK309" s="1694"/>
      <c r="BA309" s="75"/>
    </row>
    <row r="310" spans="1:53" ht="13.2">
      <c r="B310" s="72" t="s">
        <v>420</v>
      </c>
      <c r="C310" s="72"/>
      <c r="D310" s="72"/>
      <c r="E310" s="72"/>
      <c r="F310" s="72"/>
      <c r="G310" s="72"/>
      <c r="H310" s="1691" t="s">
        <v>2412</v>
      </c>
      <c r="I310" s="1687"/>
      <c r="J310" s="1687"/>
      <c r="K310" s="1687"/>
      <c r="L310" s="1687"/>
      <c r="M310" s="1687"/>
      <c r="N310" s="74"/>
      <c r="O310" s="74"/>
      <c r="P310" s="76"/>
      <c r="Q310" s="76"/>
      <c r="R310" s="76"/>
      <c r="S310" s="72"/>
      <c r="T310" s="72" t="s">
        <v>420</v>
      </c>
      <c r="V310" s="72"/>
      <c r="W310" s="72"/>
      <c r="X310" s="72"/>
      <c r="Y310" s="72"/>
      <c r="AA310" s="1691" t="s">
        <v>2443</v>
      </c>
      <c r="AB310" s="1687"/>
      <c r="AC310" s="1687"/>
      <c r="AD310" s="1687"/>
      <c r="AE310" s="1687"/>
      <c r="AF310" s="1687"/>
      <c r="AG310" s="74"/>
      <c r="AH310" s="74"/>
      <c r="AI310" s="76"/>
      <c r="AJ310" s="76"/>
      <c r="AK310" s="76"/>
      <c r="BA310" s="75"/>
    </row>
    <row r="311" spans="1:53" ht="13.2">
      <c r="B311" s="72" t="s">
        <v>768</v>
      </c>
      <c r="C311" s="72"/>
      <c r="D311" s="72"/>
      <c r="E311" s="72"/>
      <c r="F311" s="72"/>
      <c r="G311" s="72"/>
      <c r="H311" s="1688" t="s">
        <v>2413</v>
      </c>
      <c r="I311" s="1688"/>
      <c r="J311" s="1688"/>
      <c r="K311" s="1688"/>
      <c r="L311" s="1688"/>
      <c r="M311" s="1688"/>
      <c r="N311" s="1698"/>
      <c r="O311" s="1698"/>
      <c r="P311" s="1698"/>
      <c r="Q311" s="1698"/>
      <c r="R311" s="1698"/>
      <c r="S311" s="72"/>
      <c r="T311" s="72" t="s">
        <v>768</v>
      </c>
      <c r="V311" s="72"/>
      <c r="W311" s="72"/>
      <c r="X311" s="72"/>
      <c r="Y311" s="72"/>
      <c r="AA311" s="1688"/>
      <c r="AB311" s="1688"/>
      <c r="AC311" s="1688"/>
      <c r="AD311" s="1688"/>
      <c r="AE311" s="1688"/>
      <c r="AF311" s="1688"/>
      <c r="AG311" s="1698"/>
      <c r="AH311" s="1698"/>
      <c r="AI311" s="1698"/>
      <c r="AJ311" s="1698"/>
      <c r="AK311" s="1698"/>
      <c r="BA311" s="75"/>
    </row>
    <row r="312" spans="1:53" ht="13.2">
      <c r="BA312" s="75"/>
    </row>
    <row r="313" spans="1:53" ht="13.2">
      <c r="B313" s="8" t="s">
        <v>1269</v>
      </c>
      <c r="C313" s="72"/>
      <c r="D313" s="72"/>
      <c r="E313" s="72"/>
      <c r="F313" s="72"/>
      <c r="H313" s="1698" t="s">
        <v>2407</v>
      </c>
      <c r="I313" s="1698"/>
      <c r="J313" s="1698"/>
      <c r="K313" s="1698"/>
      <c r="L313" s="1698"/>
      <c r="M313" s="1698"/>
      <c r="N313" s="1698"/>
      <c r="O313" s="1698"/>
      <c r="P313" s="1698"/>
      <c r="Q313" s="1698"/>
      <c r="R313" s="1698"/>
      <c r="T313" s="72" t="s">
        <v>41</v>
      </c>
      <c r="V313" s="72"/>
      <c r="W313" s="72"/>
      <c r="X313" s="72"/>
      <c r="Y313" s="72"/>
      <c r="AA313" s="1698" t="s">
        <v>2444</v>
      </c>
      <c r="AB313" s="1698"/>
      <c r="AC313" s="1698"/>
      <c r="AD313" s="1698"/>
      <c r="AE313" s="1698"/>
      <c r="AF313" s="1698"/>
      <c r="AG313" s="1698"/>
      <c r="AH313" s="1698"/>
      <c r="AI313" s="1698"/>
      <c r="AJ313" s="1698"/>
      <c r="AK313" s="1698"/>
      <c r="BA313" s="75"/>
    </row>
    <row r="314" spans="1:53" ht="13.2">
      <c r="B314" s="72" t="s">
        <v>765</v>
      </c>
      <c r="C314" s="72"/>
      <c r="D314" s="72"/>
      <c r="E314" s="72"/>
      <c r="F314" s="72"/>
      <c r="H314" s="1688" t="s">
        <v>2408</v>
      </c>
      <c r="I314" s="1688"/>
      <c r="J314" s="1688"/>
      <c r="K314" s="1688"/>
      <c r="L314" s="1688"/>
      <c r="M314" s="1688"/>
      <c r="N314" s="1688"/>
      <c r="O314" s="1688"/>
      <c r="P314" s="1688"/>
      <c r="Q314" s="1688"/>
      <c r="R314" s="1688"/>
      <c r="T314" s="72" t="s">
        <v>765</v>
      </c>
      <c r="V314" s="72"/>
      <c r="W314" s="72"/>
      <c r="X314" s="72"/>
      <c r="Y314" s="72"/>
      <c r="AA314" s="1688" t="s">
        <v>2445</v>
      </c>
      <c r="AB314" s="1688"/>
      <c r="AC314" s="1688"/>
      <c r="AD314" s="1688"/>
      <c r="AE314" s="1688"/>
      <c r="AF314" s="1688"/>
      <c r="AG314" s="1688"/>
      <c r="AH314" s="1688"/>
      <c r="AI314" s="1688"/>
      <c r="AJ314" s="1688"/>
      <c r="AK314" s="1688"/>
      <c r="BA314" s="75"/>
    </row>
    <row r="315" spans="1:53" ht="12.75" customHeight="1">
      <c r="B315" s="72" t="s">
        <v>767</v>
      </c>
      <c r="C315" s="72"/>
      <c r="D315" s="72"/>
      <c r="E315" s="72"/>
      <c r="F315" s="72"/>
      <c r="H315" s="1688" t="s">
        <v>2409</v>
      </c>
      <c r="I315" s="1688"/>
      <c r="J315" s="1688"/>
      <c r="K315" s="1688"/>
      <c r="L315" s="1688"/>
      <c r="M315" s="1688"/>
      <c r="N315" s="1688"/>
      <c r="O315" s="1688"/>
      <c r="P315" s="1688"/>
      <c r="Q315" s="1688"/>
      <c r="R315" s="1688"/>
      <c r="T315" s="72" t="s">
        <v>766</v>
      </c>
      <c r="V315" s="72"/>
      <c r="W315" s="72"/>
      <c r="X315" s="72"/>
      <c r="Y315" s="72"/>
      <c r="AA315" s="1688" t="s">
        <v>2446</v>
      </c>
      <c r="AB315" s="1688"/>
      <c r="AC315" s="1688"/>
      <c r="AD315" s="1688"/>
      <c r="AE315" s="1688"/>
      <c r="AF315" s="1688"/>
      <c r="AG315" s="1688"/>
      <c r="AH315" s="1688"/>
      <c r="AI315" s="1688"/>
      <c r="AJ315" s="1688"/>
      <c r="AK315" s="1688"/>
      <c r="BA315" s="75"/>
    </row>
    <row r="316" spans="1:53" ht="12.75" customHeight="1">
      <c r="A316" s="50"/>
      <c r="B316" s="72" t="s">
        <v>418</v>
      </c>
      <c r="C316" s="72"/>
      <c r="D316" s="72"/>
      <c r="E316" s="72"/>
      <c r="F316" s="72"/>
      <c r="H316" s="1688" t="s">
        <v>2410</v>
      </c>
      <c r="I316" s="1688"/>
      <c r="J316" s="1688"/>
      <c r="K316" s="1688"/>
      <c r="L316" s="1688"/>
      <c r="M316" s="1688"/>
      <c r="N316" s="1688"/>
      <c r="O316" s="1688"/>
      <c r="P316" s="1688"/>
      <c r="Q316" s="1688"/>
      <c r="R316" s="1688"/>
      <c r="T316" s="72" t="s">
        <v>418</v>
      </c>
      <c r="V316" s="72"/>
      <c r="W316" s="72"/>
      <c r="X316" s="72"/>
      <c r="Y316" s="72"/>
      <c r="AA316" s="1688" t="s">
        <v>2447</v>
      </c>
      <c r="AB316" s="1688"/>
      <c r="AC316" s="1688"/>
      <c r="AD316" s="1688"/>
      <c r="AE316" s="1688"/>
      <c r="AF316" s="1688"/>
      <c r="AG316" s="1688"/>
      <c r="AH316" s="1688"/>
      <c r="AI316" s="1688"/>
      <c r="AJ316" s="1688"/>
      <c r="AK316" s="1688"/>
      <c r="AL316" s="50"/>
      <c r="BA316" s="75"/>
    </row>
    <row r="317" spans="1:53" ht="12.75" customHeight="1">
      <c r="A317" s="50"/>
      <c r="B317" s="72" t="s">
        <v>419</v>
      </c>
      <c r="C317" s="72"/>
      <c r="D317" s="72"/>
      <c r="E317" s="72"/>
      <c r="F317" s="72"/>
      <c r="G317" s="72"/>
      <c r="H317" s="1699" t="s">
        <v>2411</v>
      </c>
      <c r="I317" s="1700"/>
      <c r="J317" s="1700"/>
      <c r="K317" s="1700"/>
      <c r="L317" s="1700"/>
      <c r="M317" s="1700"/>
      <c r="N317" s="8" t="s">
        <v>900</v>
      </c>
      <c r="O317" s="8"/>
      <c r="P317" s="1694"/>
      <c r="Q317" s="1694"/>
      <c r="R317" s="1694"/>
      <c r="S317" s="72"/>
      <c r="T317" s="72" t="s">
        <v>419</v>
      </c>
      <c r="V317" s="72"/>
      <c r="W317" s="72"/>
      <c r="X317" s="72"/>
      <c r="Y317" s="72"/>
      <c r="AA317" s="1699" t="s">
        <v>2448</v>
      </c>
      <c r="AB317" s="1700"/>
      <c r="AC317" s="1700"/>
      <c r="AD317" s="1700"/>
      <c r="AE317" s="1700"/>
      <c r="AF317" s="1700"/>
      <c r="AG317" s="8" t="s">
        <v>900</v>
      </c>
      <c r="AH317" s="8"/>
      <c r="AI317" s="1694"/>
      <c r="AJ317" s="1694"/>
      <c r="AK317" s="1694"/>
      <c r="AL317" s="50"/>
      <c r="BA317" s="75"/>
    </row>
    <row r="318" spans="1:53" ht="12.75" customHeight="1">
      <c r="A318" s="50"/>
      <c r="B318" s="72" t="s">
        <v>420</v>
      </c>
      <c r="C318" s="72"/>
      <c r="D318" s="72"/>
      <c r="E318" s="72"/>
      <c r="F318" s="72"/>
      <c r="G318" s="72"/>
      <c r="H318" s="1691" t="s">
        <v>2412</v>
      </c>
      <c r="I318" s="1687"/>
      <c r="J318" s="1687"/>
      <c r="K318" s="1687"/>
      <c r="L318" s="1687"/>
      <c r="M318" s="1687"/>
      <c r="N318" s="74"/>
      <c r="O318" s="74"/>
      <c r="P318" s="76"/>
      <c r="Q318" s="76"/>
      <c r="R318" s="76"/>
      <c r="S318" s="72"/>
      <c r="T318" s="72" t="s">
        <v>420</v>
      </c>
      <c r="V318" s="72"/>
      <c r="W318" s="72"/>
      <c r="X318" s="72"/>
      <c r="Y318" s="72"/>
      <c r="AA318" s="1687"/>
      <c r="AB318" s="1687"/>
      <c r="AC318" s="1687"/>
      <c r="AD318" s="1687"/>
      <c r="AE318" s="1687"/>
      <c r="AF318" s="1687"/>
      <c r="AG318" s="74"/>
      <c r="AH318" s="74"/>
      <c r="AI318" s="76"/>
      <c r="AJ318" s="76"/>
      <c r="AK318" s="76"/>
      <c r="AL318" s="50"/>
      <c r="BA318" s="75"/>
    </row>
    <row r="319" spans="1:53" ht="13.2">
      <c r="A319" s="50"/>
      <c r="B319" s="72" t="s">
        <v>768</v>
      </c>
      <c r="C319" s="72"/>
      <c r="D319" s="72"/>
      <c r="E319" s="72"/>
      <c r="F319" s="72"/>
      <c r="G319" s="72"/>
      <c r="H319" s="1688" t="s">
        <v>2413</v>
      </c>
      <c r="I319" s="1688"/>
      <c r="J319" s="1688"/>
      <c r="K319" s="1688"/>
      <c r="L319" s="1688"/>
      <c r="M319" s="1688"/>
      <c r="N319" s="1698"/>
      <c r="O319" s="1698"/>
      <c r="P319" s="1698"/>
      <c r="Q319" s="1698"/>
      <c r="R319" s="1698"/>
      <c r="S319" s="72"/>
      <c r="T319" s="72" t="s">
        <v>768</v>
      </c>
      <c r="V319" s="72"/>
      <c r="W319" s="72"/>
      <c r="X319" s="72"/>
      <c r="Y319" s="72"/>
      <c r="AA319" s="1688" t="s">
        <v>2449</v>
      </c>
      <c r="AB319" s="1688"/>
      <c r="AC319" s="1688"/>
      <c r="AD319" s="1688"/>
      <c r="AE319" s="1688"/>
      <c r="AF319" s="1688"/>
      <c r="AG319" s="1698"/>
      <c r="AH319" s="1698"/>
      <c r="AI319" s="1698"/>
      <c r="AJ319" s="1698"/>
      <c r="AK319" s="1698"/>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698" t="s">
        <v>2414</v>
      </c>
      <c r="I321" s="1698"/>
      <c r="J321" s="1698"/>
      <c r="K321" s="1698"/>
      <c r="L321" s="1698"/>
      <c r="M321" s="1698"/>
      <c r="N321" s="1698"/>
      <c r="O321" s="1698"/>
      <c r="P321" s="1698"/>
      <c r="Q321" s="1698"/>
      <c r="R321" s="1698"/>
      <c r="T321" s="72" t="s">
        <v>42</v>
      </c>
      <c r="V321" s="72"/>
      <c r="W321" s="72"/>
      <c r="X321" s="72"/>
      <c r="Y321" s="72"/>
      <c r="AA321" s="1698" t="s">
        <v>2450</v>
      </c>
      <c r="AB321" s="1698"/>
      <c r="AC321" s="1698"/>
      <c r="AD321" s="1698"/>
      <c r="AE321" s="1698"/>
      <c r="AF321" s="1698"/>
      <c r="AG321" s="1698"/>
      <c r="AH321" s="1698"/>
      <c r="AI321" s="1698"/>
      <c r="AJ321" s="1698"/>
      <c r="AK321" s="1698"/>
      <c r="AL321" s="50"/>
      <c r="BA321" s="75"/>
    </row>
    <row r="322" spans="1:53" ht="13.2">
      <c r="A322" s="50"/>
      <c r="B322" s="72" t="s">
        <v>765</v>
      </c>
      <c r="C322" s="72"/>
      <c r="D322" s="72"/>
      <c r="E322" s="72"/>
      <c r="F322" s="72"/>
      <c r="H322" s="1688" t="s">
        <v>2415</v>
      </c>
      <c r="I322" s="1688"/>
      <c r="J322" s="1688"/>
      <c r="K322" s="1688"/>
      <c r="L322" s="1688"/>
      <c r="M322" s="1688"/>
      <c r="N322" s="1688"/>
      <c r="O322" s="1688"/>
      <c r="P322" s="1688"/>
      <c r="Q322" s="1688"/>
      <c r="R322" s="1688"/>
      <c r="T322" s="72" t="s">
        <v>765</v>
      </c>
      <c r="V322" s="72"/>
      <c r="W322" s="72"/>
      <c r="X322" s="72"/>
      <c r="Y322" s="72"/>
      <c r="AA322" s="1688" t="s">
        <v>2451</v>
      </c>
      <c r="AB322" s="1688"/>
      <c r="AC322" s="1688"/>
      <c r="AD322" s="1688"/>
      <c r="AE322" s="1688"/>
      <c r="AF322" s="1688"/>
      <c r="AG322" s="1688"/>
      <c r="AH322" s="1688"/>
      <c r="AI322" s="1688"/>
      <c r="AJ322" s="1688"/>
      <c r="AK322" s="1688"/>
      <c r="AL322" s="50"/>
      <c r="BA322" s="75"/>
    </row>
    <row r="323" spans="1:53" ht="13.2">
      <c r="A323" s="50"/>
      <c r="B323" s="72" t="s">
        <v>767</v>
      </c>
      <c r="C323" s="72"/>
      <c r="D323" s="72"/>
      <c r="E323" s="72"/>
      <c r="F323" s="72"/>
      <c r="H323" s="1688" t="s">
        <v>2416</v>
      </c>
      <c r="I323" s="1688"/>
      <c r="J323" s="1688"/>
      <c r="K323" s="1688"/>
      <c r="L323" s="1688"/>
      <c r="M323" s="1688"/>
      <c r="N323" s="1688"/>
      <c r="O323" s="1688"/>
      <c r="P323" s="1688"/>
      <c r="Q323" s="1688"/>
      <c r="R323" s="1688"/>
      <c r="T323" s="72" t="s">
        <v>766</v>
      </c>
      <c r="V323" s="72"/>
      <c r="W323" s="72"/>
      <c r="X323" s="72"/>
      <c r="Y323" s="72"/>
      <c r="AA323" s="1688" t="s">
        <v>2452</v>
      </c>
      <c r="AB323" s="1688"/>
      <c r="AC323" s="1688"/>
      <c r="AD323" s="1688"/>
      <c r="AE323" s="1688"/>
      <c r="AF323" s="1688"/>
      <c r="AG323" s="1688"/>
      <c r="AH323" s="1688"/>
      <c r="AI323" s="1688"/>
      <c r="AJ323" s="1688"/>
      <c r="AK323" s="1688"/>
      <c r="AL323" s="50"/>
      <c r="BA323" s="75"/>
    </row>
    <row r="324" spans="1:53" ht="13.2">
      <c r="A324" s="50"/>
      <c r="B324" s="72" t="s">
        <v>418</v>
      </c>
      <c r="C324" s="72"/>
      <c r="D324" s="72"/>
      <c r="E324" s="72"/>
      <c r="F324" s="72"/>
      <c r="H324" s="1688" t="s">
        <v>2417</v>
      </c>
      <c r="I324" s="1688"/>
      <c r="J324" s="1688"/>
      <c r="K324" s="1688"/>
      <c r="L324" s="1688"/>
      <c r="M324" s="1688"/>
      <c r="N324" s="1688"/>
      <c r="O324" s="1688"/>
      <c r="P324" s="1688"/>
      <c r="Q324" s="1688"/>
      <c r="R324" s="1688"/>
      <c r="T324" s="72" t="s">
        <v>418</v>
      </c>
      <c r="V324" s="72"/>
      <c r="W324" s="72"/>
      <c r="X324" s="72"/>
      <c r="Y324" s="72"/>
      <c r="AA324" s="1688" t="s">
        <v>2453</v>
      </c>
      <c r="AB324" s="1688"/>
      <c r="AC324" s="1688"/>
      <c r="AD324" s="1688"/>
      <c r="AE324" s="1688"/>
      <c r="AF324" s="1688"/>
      <c r="AG324" s="1688"/>
      <c r="AH324" s="1688"/>
      <c r="AI324" s="1688"/>
      <c r="AJ324" s="1688"/>
      <c r="AK324" s="1688"/>
      <c r="AL324" s="50"/>
      <c r="BA324" s="75"/>
    </row>
    <row r="325" spans="1:53" ht="13.2">
      <c r="A325" s="50"/>
      <c r="B325" s="72" t="s">
        <v>419</v>
      </c>
      <c r="C325" s="72"/>
      <c r="D325" s="72"/>
      <c r="E325" s="72"/>
      <c r="F325" s="72"/>
      <c r="G325" s="72"/>
      <c r="H325" s="1699" t="s">
        <v>2418</v>
      </c>
      <c r="I325" s="1700"/>
      <c r="J325" s="1700"/>
      <c r="K325" s="1700"/>
      <c r="L325" s="1700"/>
      <c r="M325" s="1700"/>
      <c r="N325" s="8" t="s">
        <v>900</v>
      </c>
      <c r="O325" s="8"/>
      <c r="P325" s="1694">
        <v>324</v>
      </c>
      <c r="Q325" s="1694"/>
      <c r="R325" s="1694"/>
      <c r="S325" s="72"/>
      <c r="T325" s="72" t="s">
        <v>419</v>
      </c>
      <c r="V325" s="72"/>
      <c r="W325" s="72"/>
      <c r="X325" s="72"/>
      <c r="Y325" s="72"/>
      <c r="AA325" s="1699" t="s">
        <v>2454</v>
      </c>
      <c r="AB325" s="1700"/>
      <c r="AC325" s="1700"/>
      <c r="AD325" s="1700"/>
      <c r="AE325" s="1700"/>
      <c r="AF325" s="1700"/>
      <c r="AG325" s="8" t="s">
        <v>900</v>
      </c>
      <c r="AH325" s="8"/>
      <c r="AI325" s="1694"/>
      <c r="AJ325" s="1694"/>
      <c r="AK325" s="1694"/>
      <c r="AL325" s="50"/>
      <c r="BA325" s="75"/>
    </row>
    <row r="326" spans="1:53" ht="13.2">
      <c r="A326" s="50"/>
      <c r="B326" s="72" t="s">
        <v>420</v>
      </c>
      <c r="C326" s="72"/>
      <c r="D326" s="72"/>
      <c r="E326" s="72"/>
      <c r="F326" s="72"/>
      <c r="G326" s="72"/>
      <c r="H326" s="1687"/>
      <c r="I326" s="1687"/>
      <c r="J326" s="1687"/>
      <c r="K326" s="1687"/>
      <c r="L326" s="1687"/>
      <c r="M326" s="1687"/>
      <c r="N326" s="74"/>
      <c r="O326" s="74"/>
      <c r="P326" s="76"/>
      <c r="Q326" s="76"/>
      <c r="R326" s="76"/>
      <c r="S326" s="72"/>
      <c r="T326" s="72" t="s">
        <v>420</v>
      </c>
      <c r="V326" s="72"/>
      <c r="W326" s="72"/>
      <c r="X326" s="72"/>
      <c r="Y326" s="72"/>
      <c r="AA326" s="1691" t="s">
        <v>2455</v>
      </c>
      <c r="AB326" s="1687"/>
      <c r="AC326" s="1687"/>
      <c r="AD326" s="1687"/>
      <c r="AE326" s="1687"/>
      <c r="AF326" s="1687"/>
      <c r="AG326" s="74"/>
      <c r="AH326" s="74"/>
      <c r="AI326" s="76"/>
      <c r="AJ326" s="76"/>
      <c r="AK326" s="76"/>
      <c r="AL326" s="50"/>
      <c r="BA326" s="75"/>
    </row>
    <row r="327" spans="1:53" ht="13.2">
      <c r="A327" s="50"/>
      <c r="B327" s="72" t="s">
        <v>768</v>
      </c>
      <c r="C327" s="72"/>
      <c r="D327" s="72"/>
      <c r="E327" s="72"/>
      <c r="F327" s="72"/>
      <c r="G327" s="72"/>
      <c r="H327" s="1688" t="s">
        <v>2419</v>
      </c>
      <c r="I327" s="1688"/>
      <c r="J327" s="1688"/>
      <c r="K327" s="1688"/>
      <c r="L327" s="1688"/>
      <c r="M327" s="1688"/>
      <c r="N327" s="1698"/>
      <c r="O327" s="1698"/>
      <c r="P327" s="1698"/>
      <c r="Q327" s="1698"/>
      <c r="R327" s="1698"/>
      <c r="S327" s="72"/>
      <c r="T327" s="72" t="s">
        <v>768</v>
      </c>
      <c r="V327" s="72"/>
      <c r="W327" s="72"/>
      <c r="X327" s="72"/>
      <c r="Y327" s="72"/>
      <c r="AA327" s="1688" t="s">
        <v>2456</v>
      </c>
      <c r="AB327" s="1688"/>
      <c r="AC327" s="1688"/>
      <c r="AD327" s="1688"/>
      <c r="AE327" s="1688"/>
      <c r="AF327" s="1688"/>
      <c r="AG327" s="1698"/>
      <c r="AH327" s="1698"/>
      <c r="AI327" s="1698"/>
      <c r="AJ327" s="1698"/>
      <c r="AK327" s="169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98" t="s">
        <v>2420</v>
      </c>
      <c r="I329" s="1698"/>
      <c r="J329" s="1698"/>
      <c r="K329" s="1698"/>
      <c r="L329" s="1698"/>
      <c r="M329" s="1698"/>
      <c r="N329" s="1698"/>
      <c r="O329" s="1698"/>
      <c r="P329" s="1698"/>
      <c r="Q329" s="1698"/>
      <c r="R329" s="1698"/>
      <c r="S329" s="721"/>
      <c r="T329" s="650" t="s">
        <v>1225</v>
      </c>
      <c r="V329" s="72"/>
      <c r="W329" s="72"/>
      <c r="X329" s="72"/>
      <c r="Y329" s="72"/>
      <c r="AA329" s="1698" t="s">
        <v>2457</v>
      </c>
      <c r="AB329" s="1698"/>
      <c r="AC329" s="1698"/>
      <c r="AD329" s="1698"/>
      <c r="AE329" s="1698"/>
      <c r="AF329" s="1698"/>
      <c r="AG329" s="1698"/>
      <c r="AH329" s="1698"/>
      <c r="AI329" s="1698"/>
      <c r="AJ329" s="1698"/>
      <c r="AK329" s="1698"/>
      <c r="AL329" s="50"/>
      <c r="BA329" s="75"/>
    </row>
    <row r="330" spans="1:53" ht="13.2">
      <c r="B330" s="72" t="s">
        <v>765</v>
      </c>
      <c r="C330" s="72"/>
      <c r="D330" s="72"/>
      <c r="E330" s="72"/>
      <c r="F330" s="72"/>
      <c r="H330" s="1688" t="s">
        <v>2421</v>
      </c>
      <c r="I330" s="1688"/>
      <c r="J330" s="1688"/>
      <c r="K330" s="1688"/>
      <c r="L330" s="1688"/>
      <c r="M330" s="1688"/>
      <c r="N330" s="1688"/>
      <c r="O330" s="1688"/>
      <c r="P330" s="1688"/>
      <c r="Q330" s="1688"/>
      <c r="R330" s="1688"/>
      <c r="S330" s="721"/>
      <c r="T330" s="72" t="s">
        <v>765</v>
      </c>
      <c r="V330" s="72"/>
      <c r="W330" s="72"/>
      <c r="X330" s="72"/>
      <c r="Y330" s="72"/>
      <c r="AA330" s="1688" t="s">
        <v>2384</v>
      </c>
      <c r="AB330" s="1688"/>
      <c r="AC330" s="1688"/>
      <c r="AD330" s="1688"/>
      <c r="AE330" s="1688"/>
      <c r="AF330" s="1688"/>
      <c r="AG330" s="1688"/>
      <c r="AH330" s="1688"/>
      <c r="AI330" s="1688"/>
      <c r="AJ330" s="1688"/>
      <c r="AK330" s="1688"/>
      <c r="AL330" s="50"/>
      <c r="BA330" s="75"/>
    </row>
    <row r="331" spans="1:53" ht="13.2">
      <c r="B331" s="72" t="s">
        <v>767</v>
      </c>
      <c r="C331" s="72"/>
      <c r="D331" s="72"/>
      <c r="E331" s="72"/>
      <c r="F331" s="72"/>
      <c r="G331" s="72"/>
      <c r="H331" s="1688" t="s">
        <v>2422</v>
      </c>
      <c r="I331" s="1688"/>
      <c r="J331" s="1688"/>
      <c r="K331" s="1688"/>
      <c r="L331" s="1688"/>
      <c r="M331" s="1688"/>
      <c r="N331" s="1688"/>
      <c r="O331" s="1688"/>
      <c r="P331" s="1688"/>
      <c r="Q331" s="1688"/>
      <c r="R331" s="1688"/>
      <c r="S331" s="721"/>
      <c r="T331" s="72" t="s">
        <v>766</v>
      </c>
      <c r="V331" s="72"/>
      <c r="W331" s="72"/>
      <c r="X331" s="72"/>
      <c r="Y331" s="72"/>
      <c r="AA331" s="1688" t="s">
        <v>2398</v>
      </c>
      <c r="AB331" s="1688"/>
      <c r="AC331" s="1688"/>
      <c r="AD331" s="1688"/>
      <c r="AE331" s="1688"/>
      <c r="AF331" s="1688"/>
      <c r="AG331" s="1688"/>
      <c r="AH331" s="1688"/>
      <c r="AI331" s="1688"/>
      <c r="AJ331" s="1688"/>
      <c r="AK331" s="1688"/>
      <c r="AL331" s="50"/>
      <c r="BA331" s="75"/>
    </row>
    <row r="332" spans="1:53" ht="13.2">
      <c r="A332" s="50"/>
      <c r="B332" s="72" t="s">
        <v>418</v>
      </c>
      <c r="C332" s="72"/>
      <c r="D332" s="72"/>
      <c r="E332" s="72"/>
      <c r="F332" s="72"/>
      <c r="H332" s="1688" t="s">
        <v>2423</v>
      </c>
      <c r="I332" s="1688"/>
      <c r="J332" s="1688"/>
      <c r="K332" s="1688"/>
      <c r="L332" s="1688"/>
      <c r="M332" s="1688"/>
      <c r="N332" s="1688"/>
      <c r="O332" s="1688"/>
      <c r="P332" s="1688"/>
      <c r="Q332" s="1688"/>
      <c r="R332" s="1688"/>
      <c r="S332" s="721"/>
      <c r="T332" s="72" t="s">
        <v>418</v>
      </c>
      <c r="V332" s="72"/>
      <c r="W332" s="72"/>
      <c r="X332" s="72"/>
      <c r="Y332" s="72"/>
      <c r="AA332" s="1688" t="s">
        <v>2458</v>
      </c>
      <c r="AB332" s="1688"/>
      <c r="AC332" s="1688"/>
      <c r="AD332" s="1688"/>
      <c r="AE332" s="1688"/>
      <c r="AF332" s="1688"/>
      <c r="AG332" s="1688"/>
      <c r="AH332" s="1688"/>
      <c r="AI332" s="1688"/>
      <c r="AJ332" s="1688"/>
      <c r="AK332" s="1688"/>
      <c r="AL332" s="50"/>
      <c r="BA332" s="75"/>
    </row>
    <row r="333" spans="1:53" ht="13.2">
      <c r="A333" s="50"/>
      <c r="B333" s="72" t="s">
        <v>419</v>
      </c>
      <c r="C333" s="72"/>
      <c r="D333" s="72"/>
      <c r="E333" s="72"/>
      <c r="F333" s="72"/>
      <c r="G333" s="72"/>
      <c r="H333" s="1699" t="s">
        <v>2424</v>
      </c>
      <c r="I333" s="1700"/>
      <c r="J333" s="1700"/>
      <c r="K333" s="1700"/>
      <c r="L333" s="1700"/>
      <c r="M333" s="1700"/>
      <c r="N333" s="8" t="s">
        <v>900</v>
      </c>
      <c r="O333" s="8"/>
      <c r="P333" s="1694"/>
      <c r="Q333" s="1694"/>
      <c r="R333" s="1694"/>
      <c r="S333" s="3"/>
      <c r="T333" s="72" t="s">
        <v>419</v>
      </c>
      <c r="V333" s="72"/>
      <c r="W333" s="72"/>
      <c r="X333" s="72"/>
      <c r="Y333" s="72"/>
      <c r="AA333" s="1699" t="s">
        <v>2459</v>
      </c>
      <c r="AB333" s="1700"/>
      <c r="AC333" s="1700"/>
      <c r="AD333" s="1700"/>
      <c r="AE333" s="1700"/>
      <c r="AF333" s="1700"/>
      <c r="AG333" s="8" t="s">
        <v>900</v>
      </c>
      <c r="AH333" s="8"/>
      <c r="AI333" s="1694"/>
      <c r="AJ333" s="1694"/>
      <c r="AK333" s="1694"/>
      <c r="AL333" s="50"/>
      <c r="BA333" s="75"/>
    </row>
    <row r="334" spans="1:53" ht="13.2">
      <c r="A334" s="50"/>
      <c r="B334" s="72" t="s">
        <v>420</v>
      </c>
      <c r="C334" s="72"/>
      <c r="D334" s="72"/>
      <c r="E334" s="72"/>
      <c r="F334" s="72"/>
      <c r="G334" s="72"/>
      <c r="H334" s="1687"/>
      <c r="I334" s="1687"/>
      <c r="J334" s="1687"/>
      <c r="K334" s="1687"/>
      <c r="L334" s="1687"/>
      <c r="M334" s="1687"/>
      <c r="N334" s="74"/>
      <c r="O334" s="74"/>
      <c r="P334" s="76"/>
      <c r="Q334" s="76"/>
      <c r="R334" s="76"/>
      <c r="S334" s="3"/>
      <c r="T334" s="72" t="s">
        <v>420</v>
      </c>
      <c r="V334" s="72"/>
      <c r="W334" s="72"/>
      <c r="X334" s="72"/>
      <c r="Y334" s="72"/>
      <c r="AA334" s="1691" t="s">
        <v>2459</v>
      </c>
      <c r="AB334" s="1687"/>
      <c r="AC334" s="1687"/>
      <c r="AD334" s="1687"/>
      <c r="AE334" s="1687"/>
      <c r="AF334" s="1687"/>
      <c r="AG334" s="74"/>
      <c r="AH334" s="74"/>
      <c r="AI334" s="76"/>
      <c r="AJ334" s="76"/>
      <c r="AK334" s="76"/>
      <c r="AL334" s="50"/>
      <c r="BA334" s="75"/>
    </row>
    <row r="335" spans="1:53" ht="13.2">
      <c r="A335" s="50"/>
      <c r="B335" s="72" t="s">
        <v>768</v>
      </c>
      <c r="C335" s="72"/>
      <c r="D335" s="72"/>
      <c r="E335" s="72"/>
      <c r="F335" s="72"/>
      <c r="G335" s="72"/>
      <c r="H335" s="1688" t="s">
        <v>2425</v>
      </c>
      <c r="I335" s="1688"/>
      <c r="J335" s="1688"/>
      <c r="K335" s="1688"/>
      <c r="L335" s="1688"/>
      <c r="M335" s="1688"/>
      <c r="N335" s="1698"/>
      <c r="O335" s="1698"/>
      <c r="P335" s="1698"/>
      <c r="Q335" s="1698"/>
      <c r="R335" s="1698"/>
      <c r="S335" s="721"/>
      <c r="T335" s="72" t="s">
        <v>768</v>
      </c>
      <c r="V335" s="72"/>
      <c r="W335" s="72"/>
      <c r="X335" s="72"/>
      <c r="Y335" s="72"/>
      <c r="AA335" s="1688" t="s">
        <v>2460</v>
      </c>
      <c r="AB335" s="1688"/>
      <c r="AC335" s="1688"/>
      <c r="AD335" s="1688"/>
      <c r="AE335" s="1688"/>
      <c r="AF335" s="1688"/>
      <c r="AG335" s="1698"/>
      <c r="AH335" s="1698"/>
      <c r="AI335" s="1698"/>
      <c r="AJ335" s="1698"/>
      <c r="AK335" s="1698"/>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0" t="s">
        <v>44</v>
      </c>
      <c r="C337" s="596"/>
      <c r="D337" s="596"/>
      <c r="E337" s="596"/>
      <c r="F337" s="596"/>
      <c r="G337" s="597"/>
      <c r="H337" s="1698"/>
      <c r="I337" s="1698"/>
      <c r="J337" s="1698"/>
      <c r="K337" s="1698"/>
      <c r="L337" s="1698"/>
      <c r="M337" s="1698"/>
      <c r="N337" s="1698"/>
      <c r="O337" s="1698"/>
      <c r="P337" s="1698"/>
      <c r="Q337" s="1698"/>
      <c r="R337" s="1698"/>
      <c r="T337" s="596" t="s">
        <v>1268</v>
      </c>
      <c r="AA337" s="1698"/>
      <c r="AB337" s="1698"/>
      <c r="AC337" s="1698"/>
      <c r="AD337" s="1698"/>
      <c r="AE337" s="1698"/>
      <c r="AF337" s="1698"/>
      <c r="AG337" s="1698"/>
      <c r="AH337" s="1698"/>
      <c r="AI337" s="1698"/>
      <c r="AJ337" s="1698"/>
      <c r="AK337" s="1698"/>
      <c r="AL337" s="50"/>
      <c r="BA337" s="75"/>
    </row>
    <row r="338" spans="1:53" ht="13.2">
      <c r="A338" s="50"/>
      <c r="B338" s="596" t="s">
        <v>765</v>
      </c>
      <c r="C338" s="596"/>
      <c r="D338" s="596"/>
      <c r="E338" s="596"/>
      <c r="F338" s="596"/>
      <c r="G338" s="597"/>
      <c r="H338" s="1688"/>
      <c r="I338" s="1688"/>
      <c r="J338" s="1688"/>
      <c r="K338" s="1688"/>
      <c r="L338" s="1688"/>
      <c r="M338" s="1688"/>
      <c r="N338" s="1688"/>
      <c r="O338" s="1688"/>
      <c r="P338" s="1688"/>
      <c r="Q338" s="1688"/>
      <c r="R338" s="1688"/>
      <c r="T338" s="72" t="s">
        <v>765</v>
      </c>
      <c r="AA338" s="1688"/>
      <c r="AB338" s="1688"/>
      <c r="AC338" s="1688"/>
      <c r="AD338" s="1688"/>
      <c r="AE338" s="1688"/>
      <c r="AF338" s="1688"/>
      <c r="AG338" s="1688"/>
      <c r="AH338" s="1688"/>
      <c r="AI338" s="1688"/>
      <c r="AJ338" s="1688"/>
      <c r="AK338" s="1688"/>
      <c r="AL338" s="50"/>
      <c r="BA338" s="75"/>
    </row>
    <row r="339" spans="1:53" ht="13.2">
      <c r="A339" s="50"/>
      <c r="B339" s="596" t="s">
        <v>767</v>
      </c>
      <c r="C339" s="596"/>
      <c r="D339" s="596"/>
      <c r="E339" s="596"/>
      <c r="F339" s="596"/>
      <c r="G339" s="596"/>
      <c r="H339" s="1688"/>
      <c r="I339" s="1688"/>
      <c r="J339" s="1688"/>
      <c r="K339" s="1688"/>
      <c r="L339" s="1688"/>
      <c r="M339" s="1688"/>
      <c r="N339" s="1688"/>
      <c r="O339" s="1688"/>
      <c r="P339" s="1688"/>
      <c r="Q339" s="1688"/>
      <c r="R339" s="1688"/>
      <c r="T339" s="72" t="s">
        <v>766</v>
      </c>
      <c r="AA339" s="1688"/>
      <c r="AB339" s="1688"/>
      <c r="AC339" s="1688"/>
      <c r="AD339" s="1688"/>
      <c r="AE339" s="1688"/>
      <c r="AF339" s="1688"/>
      <c r="AG339" s="1688"/>
      <c r="AH339" s="1688"/>
      <c r="AI339" s="1688"/>
      <c r="AJ339" s="1688"/>
      <c r="AK339" s="1688"/>
      <c r="AL339" s="50"/>
    </row>
    <row r="340" spans="1:53" ht="13.2">
      <c r="A340" s="50"/>
      <c r="B340" s="596" t="s">
        <v>418</v>
      </c>
      <c r="C340" s="596"/>
      <c r="D340" s="596"/>
      <c r="E340" s="596"/>
      <c r="F340" s="596"/>
      <c r="G340" s="597"/>
      <c r="H340" s="1688"/>
      <c r="I340" s="1688"/>
      <c r="J340" s="1688"/>
      <c r="K340" s="1688"/>
      <c r="L340" s="1688"/>
      <c r="M340" s="1688"/>
      <c r="N340" s="1688"/>
      <c r="O340" s="1688"/>
      <c r="P340" s="1688"/>
      <c r="Q340" s="1688"/>
      <c r="R340" s="1688"/>
      <c r="T340" s="72" t="s">
        <v>418</v>
      </c>
      <c r="AA340" s="1688"/>
      <c r="AB340" s="1688"/>
      <c r="AC340" s="1688"/>
      <c r="AD340" s="1688"/>
      <c r="AE340" s="1688"/>
      <c r="AF340" s="1688"/>
      <c r="AG340" s="1688"/>
      <c r="AH340" s="1688"/>
      <c r="AI340" s="1688"/>
      <c r="AJ340" s="1688"/>
      <c r="AK340" s="1688"/>
      <c r="AL340" s="50"/>
    </row>
    <row r="341" spans="1:53" ht="13.2">
      <c r="A341" s="50"/>
      <c r="B341" s="596" t="s">
        <v>419</v>
      </c>
      <c r="C341" s="596"/>
      <c r="D341" s="596"/>
      <c r="E341" s="596"/>
      <c r="F341" s="596"/>
      <c r="G341" s="596"/>
      <c r="H341" s="1700"/>
      <c r="I341" s="1700"/>
      <c r="J341" s="1700"/>
      <c r="K341" s="1700"/>
      <c r="L341" s="1700"/>
      <c r="M341" s="1700"/>
      <c r="N341" s="8" t="s">
        <v>900</v>
      </c>
      <c r="O341" s="8"/>
      <c r="P341" s="1694"/>
      <c r="Q341" s="1694"/>
      <c r="R341" s="1694"/>
      <c r="T341" s="72" t="s">
        <v>419</v>
      </c>
      <c r="AA341" s="1700"/>
      <c r="AB341" s="1700"/>
      <c r="AC341" s="1700"/>
      <c r="AD341" s="1700"/>
      <c r="AE341" s="1700"/>
      <c r="AF341" s="1700"/>
      <c r="AG341" s="8" t="s">
        <v>900</v>
      </c>
      <c r="AH341" s="8"/>
      <c r="AI341" s="1694"/>
      <c r="AJ341" s="1694"/>
      <c r="AK341" s="1694"/>
      <c r="AL341" s="50"/>
    </row>
    <row r="342" spans="1:53" ht="13.2">
      <c r="A342" s="50"/>
      <c r="B342" s="596" t="s">
        <v>420</v>
      </c>
      <c r="C342" s="596"/>
      <c r="D342" s="596"/>
      <c r="E342" s="596"/>
      <c r="F342" s="596"/>
      <c r="G342" s="596"/>
      <c r="H342" s="1687"/>
      <c r="I342" s="1687"/>
      <c r="J342" s="1687"/>
      <c r="K342" s="1687"/>
      <c r="L342" s="1687"/>
      <c r="M342" s="1687"/>
      <c r="N342" s="74"/>
      <c r="O342" s="74"/>
      <c r="P342" s="76"/>
      <c r="Q342" s="76"/>
      <c r="R342" s="76"/>
      <c r="T342" s="72" t="s">
        <v>420</v>
      </c>
      <c r="AA342" s="1687"/>
      <c r="AB342" s="1687"/>
      <c r="AC342" s="1687"/>
      <c r="AD342" s="1687"/>
      <c r="AE342" s="1687"/>
      <c r="AF342" s="1687"/>
      <c r="AG342" s="74"/>
      <c r="AH342" s="74"/>
      <c r="AI342" s="76"/>
      <c r="AJ342" s="76"/>
      <c r="AK342" s="76"/>
      <c r="AL342" s="50"/>
    </row>
    <row r="343" spans="1:53" ht="12.75" customHeight="1">
      <c r="A343" s="50"/>
      <c r="B343" s="596" t="s">
        <v>768</v>
      </c>
      <c r="C343" s="596"/>
      <c r="D343" s="596"/>
      <c r="E343" s="596"/>
      <c r="F343" s="596"/>
      <c r="G343" s="596"/>
      <c r="H343" s="1688"/>
      <c r="I343" s="1688"/>
      <c r="J343" s="1688"/>
      <c r="K343" s="1688"/>
      <c r="L343" s="1688"/>
      <c r="M343" s="1688"/>
      <c r="N343" s="1698"/>
      <c r="O343" s="1698"/>
      <c r="P343" s="1698"/>
      <c r="Q343" s="1698"/>
      <c r="R343" s="1698"/>
      <c r="T343" s="72" t="s">
        <v>768</v>
      </c>
      <c r="AA343" s="1688"/>
      <c r="AB343" s="1688"/>
      <c r="AC343" s="1688"/>
      <c r="AD343" s="1688"/>
      <c r="AE343" s="1688"/>
      <c r="AF343" s="1688"/>
      <c r="AG343" s="1698"/>
      <c r="AH343" s="1698"/>
      <c r="AI343" s="1698"/>
      <c r="AJ343" s="1698"/>
      <c r="AK343" s="1698"/>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89" t="s">
        <v>546</v>
      </c>
      <c r="B345" s="1689"/>
      <c r="C345" s="1689"/>
      <c r="D345" s="1689"/>
      <c r="E345" s="1689"/>
      <c r="F345" s="1689"/>
      <c r="G345" s="1689"/>
      <c r="H345" s="1689"/>
      <c r="I345" s="1689"/>
      <c r="J345" s="1689"/>
      <c r="K345" s="1689"/>
      <c r="L345" s="1689"/>
      <c r="M345" s="1689"/>
      <c r="N345" s="1689"/>
      <c r="O345" s="1689"/>
      <c r="P345" s="1689"/>
      <c r="Q345" s="1689"/>
      <c r="R345" s="1689"/>
      <c r="S345" s="1689"/>
      <c r="T345" s="1689"/>
      <c r="U345" s="1689"/>
      <c r="V345" s="1689"/>
      <c r="W345" s="1689"/>
      <c r="X345" s="1689"/>
      <c r="Y345" s="1689"/>
      <c r="Z345" s="1689"/>
      <c r="AA345" s="1689"/>
      <c r="AB345" s="1689"/>
      <c r="AC345" s="1689"/>
      <c r="AD345" s="1689"/>
      <c r="AE345" s="1689"/>
      <c r="AF345" s="1689"/>
      <c r="AG345" s="1689"/>
      <c r="AH345" s="1689"/>
      <c r="AI345" s="1689"/>
      <c r="AJ345" s="1689"/>
      <c r="AK345" s="1689"/>
      <c r="AL345" s="1689"/>
    </row>
    <row r="346" spans="1:53" ht="12.75" customHeight="1" thickBot="1">
      <c r="A346" s="1690"/>
      <c r="B346" s="1690"/>
      <c r="C346" s="1690"/>
      <c r="D346" s="1690"/>
      <c r="E346" s="1690"/>
      <c r="F346" s="1690"/>
      <c r="G346" s="1690"/>
      <c r="H346" s="1690"/>
      <c r="I346" s="1690"/>
      <c r="J346" s="1690"/>
      <c r="K346" s="1690"/>
      <c r="L346" s="1690"/>
      <c r="M346" s="1690"/>
      <c r="N346" s="1690"/>
      <c r="O346" s="1690"/>
      <c r="P346" s="1690"/>
      <c r="Q346" s="1690"/>
      <c r="R346" s="1690"/>
      <c r="S346" s="1690"/>
      <c r="T346" s="1690"/>
      <c r="U346" s="1690"/>
      <c r="V346" s="1690"/>
      <c r="W346" s="1690"/>
      <c r="X346" s="1690"/>
      <c r="Y346" s="1690"/>
      <c r="Z346" s="1690"/>
      <c r="AA346" s="1690"/>
      <c r="AB346" s="1690"/>
      <c r="AC346" s="1690"/>
      <c r="AD346" s="1690"/>
      <c r="AE346" s="1690"/>
      <c r="AF346" s="1690"/>
      <c r="AG346" s="1690"/>
      <c r="AH346" s="1690"/>
      <c r="AI346" s="1690"/>
      <c r="AJ346" s="1690"/>
      <c r="AK346" s="1690"/>
      <c r="AL346" s="1690"/>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696" t="s">
        <v>119</v>
      </c>
      <c r="N349" s="1696"/>
      <c r="P349" s="16" t="s">
        <v>2250</v>
      </c>
      <c r="AJ349" s="1696" t="s">
        <v>531</v>
      </c>
      <c r="AK349" s="1696"/>
    </row>
    <row r="350" spans="1:53" ht="12.75" customHeight="1">
      <c r="D350" s="72" t="s">
        <v>2156</v>
      </c>
      <c r="M350" s="1696" t="s">
        <v>119</v>
      </c>
      <c r="N350" s="1696"/>
      <c r="P350" s="72" t="s">
        <v>2251</v>
      </c>
      <c r="AJ350" s="1697"/>
      <c r="AK350" s="1697"/>
    </row>
    <row r="351" spans="1:53" ht="12.75" customHeight="1">
      <c r="D351" s="16" t="s">
        <v>349</v>
      </c>
      <c r="M351" s="1696" t="s">
        <v>136</v>
      </c>
      <c r="N351" s="1696"/>
      <c r="P351" s="16" t="s">
        <v>2252</v>
      </c>
      <c r="AJ351" s="1696" t="s">
        <v>531</v>
      </c>
      <c r="AK351" s="1696"/>
    </row>
    <row r="352" spans="1:53" ht="12.75" customHeight="1">
      <c r="D352" s="16" t="s">
        <v>350</v>
      </c>
      <c r="M352" s="1696" t="s">
        <v>136</v>
      </c>
      <c r="N352" s="1696"/>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96" t="s">
        <v>136</v>
      </c>
      <c r="O357" s="1696"/>
      <c r="P357" s="83"/>
      <c r="Q357" s="83"/>
      <c r="R357" s="83"/>
      <c r="S357" s="83"/>
      <c r="T357" s="83"/>
      <c r="U357" s="83"/>
      <c r="V357" s="83"/>
      <c r="W357" s="83"/>
      <c r="X357" s="83"/>
      <c r="Y357" s="84"/>
      <c r="Z357" s="84"/>
      <c r="AC357" s="83"/>
      <c r="AD357" s="83"/>
      <c r="AE357" s="83"/>
    </row>
    <row r="358" spans="1:57" ht="13.2">
      <c r="E358" s="16" t="s">
        <v>800</v>
      </c>
      <c r="Y358" s="1696" t="s">
        <v>136</v>
      </c>
      <c r="Z358" s="1696"/>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696" t="s">
        <v>136</v>
      </c>
      <c r="K360" s="1696"/>
      <c r="L360" s="83"/>
      <c r="M360" s="83"/>
      <c r="N360" s="83"/>
      <c r="O360" s="83"/>
      <c r="P360" s="83"/>
      <c r="Q360" s="83"/>
      <c r="R360" s="83"/>
      <c r="S360" s="83"/>
      <c r="T360" s="83"/>
      <c r="U360" s="83"/>
      <c r="V360" s="83"/>
      <c r="W360" s="83"/>
      <c r="X360" s="83"/>
      <c r="Y360" s="83"/>
      <c r="Z360" s="83"/>
      <c r="AC360" s="83"/>
      <c r="AD360" s="83"/>
      <c r="AE360" s="83"/>
    </row>
    <row r="361" spans="1:57" ht="13.2">
      <c r="E361" s="1580" t="s">
        <v>351</v>
      </c>
      <c r="F361" s="1580"/>
      <c r="G361" s="1580"/>
      <c r="H361" s="1580"/>
      <c r="I361" s="1580"/>
      <c r="J361" s="1580"/>
      <c r="K361" s="1580"/>
      <c r="L361" s="1580"/>
      <c r="M361" s="1580"/>
      <c r="N361" s="1580"/>
      <c r="O361" s="1580"/>
      <c r="P361" s="1580"/>
      <c r="Q361" s="1580"/>
      <c r="R361" s="1580"/>
      <c r="S361" s="1580"/>
      <c r="T361" s="1580"/>
      <c r="U361" s="1580"/>
      <c r="V361" s="1580"/>
      <c r="W361" s="1580"/>
      <c r="X361" s="1580"/>
      <c r="Y361" s="1580"/>
      <c r="Z361" s="1580"/>
      <c r="AA361" s="1580"/>
      <c r="AB361" s="1580"/>
      <c r="AC361" s="1580"/>
      <c r="AD361" s="1580"/>
      <c r="AE361" s="1580"/>
      <c r="AF361" s="1580"/>
      <c r="AG361" s="1580"/>
      <c r="AH361" s="1580"/>
      <c r="BE361" s="16" t="s">
        <v>136</v>
      </c>
    </row>
    <row r="362" spans="1:57" ht="13.2">
      <c r="E362" s="1580"/>
      <c r="F362" s="1580"/>
      <c r="G362" s="1580"/>
      <c r="H362" s="1580"/>
      <c r="I362" s="1580"/>
      <c r="J362" s="1580"/>
      <c r="K362" s="1580"/>
      <c r="L362" s="1580"/>
      <c r="M362" s="1580"/>
      <c r="N362" s="1580"/>
      <c r="O362" s="1580"/>
      <c r="P362" s="1580"/>
      <c r="Q362" s="1580"/>
      <c r="R362" s="1580"/>
      <c r="S362" s="1580"/>
      <c r="T362" s="1580"/>
      <c r="U362" s="1580"/>
      <c r="V362" s="1580"/>
      <c r="W362" s="1580"/>
      <c r="X362" s="1580"/>
      <c r="Y362" s="1580"/>
      <c r="Z362" s="1580"/>
      <c r="AA362" s="1580"/>
      <c r="AB362" s="1580"/>
      <c r="AC362" s="1580"/>
      <c r="AD362" s="1580"/>
      <c r="AE362" s="1580"/>
      <c r="AF362" s="1580"/>
      <c r="AG362" s="1580"/>
      <c r="AH362" s="1580"/>
      <c r="BE362" s="16" t="s">
        <v>531</v>
      </c>
    </row>
    <row r="363" spans="1:57" ht="12.75" customHeight="1">
      <c r="E363" s="8" t="s">
        <v>656</v>
      </c>
      <c r="F363" s="8"/>
      <c r="G363" s="8"/>
      <c r="H363" s="8"/>
      <c r="I363" s="8"/>
      <c r="J363" s="8"/>
      <c r="K363" s="8"/>
      <c r="L363" s="8"/>
      <c r="N363" s="1870"/>
      <c r="O363" s="1870"/>
      <c r="P363" s="1870"/>
      <c r="Q363" s="1870"/>
      <c r="R363" s="8"/>
      <c r="U363" s="8" t="s">
        <v>657</v>
      </c>
      <c r="V363" s="8"/>
      <c r="W363" s="8"/>
      <c r="X363" s="8"/>
      <c r="Y363" s="8"/>
      <c r="Z363" s="8"/>
      <c r="AA363" s="8"/>
      <c r="AB363" s="8"/>
      <c r="AC363" s="1870"/>
      <c r="AD363" s="1870"/>
      <c r="AE363" s="1870"/>
      <c r="AF363" s="1870"/>
      <c r="BE363" s="16" t="s">
        <v>119</v>
      </c>
    </row>
    <row r="364" spans="1:57" ht="13.2">
      <c r="E364" s="8" t="s">
        <v>658</v>
      </c>
      <c r="F364" s="8"/>
      <c r="G364" s="8"/>
      <c r="H364" s="8"/>
      <c r="I364" s="8"/>
      <c r="J364" s="8"/>
      <c r="K364" s="8"/>
      <c r="L364" s="8"/>
      <c r="N364" s="1870"/>
      <c r="O364" s="1870"/>
      <c r="P364" s="1870"/>
      <c r="Q364" s="1870"/>
      <c r="R364" s="8"/>
      <c r="U364" s="8" t="s">
        <v>659</v>
      </c>
      <c r="V364" s="8"/>
      <c r="W364" s="8"/>
      <c r="X364" s="8"/>
      <c r="Y364" s="8"/>
      <c r="Z364" s="8"/>
      <c r="AA364" s="8"/>
      <c r="AB364" s="8"/>
      <c r="AC364" s="1870"/>
      <c r="AD364" s="1870"/>
      <c r="AE364" s="1870"/>
      <c r="AF364" s="1870"/>
    </row>
    <row r="365" spans="1:57" ht="12.75" customHeight="1">
      <c r="E365" s="8" t="s">
        <v>69</v>
      </c>
      <c r="F365" s="8"/>
      <c r="G365" s="8"/>
      <c r="H365" s="8"/>
      <c r="I365" s="8"/>
      <c r="J365" s="8"/>
      <c r="K365" s="8"/>
      <c r="L365" s="8"/>
      <c r="N365" s="1870"/>
      <c r="O365" s="1870"/>
      <c r="P365" s="1870"/>
      <c r="Q365" s="1870"/>
      <c r="R365" s="8"/>
      <c r="V365" s="8"/>
      <c r="W365" s="8"/>
      <c r="X365" s="8"/>
      <c r="Y365" s="8"/>
      <c r="Z365" s="8"/>
      <c r="AA365" s="8"/>
      <c r="AB365" s="8"/>
    </row>
    <row r="366" spans="1:57" ht="13.2">
      <c r="E366" s="8" t="s">
        <v>70</v>
      </c>
      <c r="F366" s="8"/>
      <c r="G366" s="8"/>
      <c r="H366" s="8"/>
      <c r="I366" s="8"/>
      <c r="J366" s="8"/>
      <c r="K366" s="8"/>
      <c r="L366" s="8"/>
      <c r="N366" s="1872"/>
      <c r="O366" s="1872"/>
      <c r="P366" s="1872"/>
      <c r="Q366" s="1872"/>
      <c r="R366" s="1872"/>
      <c r="S366" s="1872"/>
      <c r="T366" s="1872"/>
      <c r="U366" s="1872"/>
      <c r="V366" s="1872"/>
      <c r="W366" s="1872"/>
      <c r="X366" s="1872"/>
      <c r="Y366" s="1872"/>
      <c r="Z366" s="1872"/>
      <c r="AA366" s="1872"/>
      <c r="AB366" s="1872"/>
      <c r="AC366" s="1872"/>
      <c r="AD366" s="1872"/>
      <c r="AE366" s="1872"/>
      <c r="AF366" s="1872"/>
    </row>
    <row r="367" spans="1:57" ht="13.2">
      <c r="E367" s="8"/>
      <c r="F367" s="8"/>
      <c r="G367" s="8"/>
      <c r="H367" s="8"/>
      <c r="I367" s="8"/>
      <c r="J367" s="8"/>
      <c r="K367" s="8"/>
      <c r="L367" s="8"/>
      <c r="N367" s="1873"/>
      <c r="O367" s="1873"/>
      <c r="P367" s="1873"/>
      <c r="Q367" s="1873"/>
      <c r="R367" s="1873"/>
      <c r="S367" s="1873"/>
      <c r="T367" s="1873"/>
      <c r="U367" s="1873"/>
      <c r="V367" s="1873"/>
      <c r="W367" s="1873"/>
      <c r="X367" s="1873"/>
      <c r="Y367" s="1873"/>
      <c r="Z367" s="1873"/>
      <c r="AA367" s="1873"/>
      <c r="AB367" s="1873"/>
      <c r="AC367" s="1873"/>
      <c r="AD367" s="1873"/>
      <c r="AE367" s="1873"/>
      <c r="AF367" s="1873"/>
    </row>
    <row r="368" spans="1:57" ht="13.2">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79" t="s">
        <v>257</v>
      </c>
      <c r="O370" s="597"/>
      <c r="P370" s="779"/>
      <c r="Q370" s="779" t="s">
        <v>258</v>
      </c>
      <c r="R370" s="597"/>
      <c r="S370" s="1871"/>
      <c r="T370" s="1871"/>
      <c r="U370" s="778" t="s">
        <v>259</v>
      </c>
      <c r="V370" s="1871"/>
      <c r="W370" s="1871"/>
      <c r="X370" s="597"/>
      <c r="Y370" s="779" t="s">
        <v>257</v>
      </c>
      <c r="Z370" s="597"/>
      <c r="AA370" s="779"/>
      <c r="AB370" s="779" t="s">
        <v>258</v>
      </c>
      <c r="AC370" s="597"/>
      <c r="AD370" s="1871"/>
      <c r="AE370" s="1871"/>
      <c r="AF370" s="778" t="s">
        <v>259</v>
      </c>
      <c r="AG370" s="1871"/>
      <c r="AH370" s="1871"/>
    </row>
    <row r="371" spans="1:36" ht="12.75" customHeight="1">
      <c r="D371" s="597"/>
      <c r="E371" s="596" t="s">
        <v>1367</v>
      </c>
      <c r="F371" s="596"/>
      <c r="G371" s="596"/>
      <c r="H371" s="596"/>
      <c r="I371" s="596"/>
      <c r="J371" s="596"/>
      <c r="K371" s="596"/>
      <c r="L371" s="596"/>
      <c r="M371" s="597"/>
      <c r="N371" s="1871"/>
      <c r="O371" s="1871"/>
      <c r="P371" s="187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6" t="s">
        <v>136</v>
      </c>
      <c r="AH372" s="1856"/>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6" t="s">
        <v>136</v>
      </c>
      <c r="AH373" s="1856"/>
    </row>
    <row r="374" spans="1:36" ht="12.75" customHeight="1">
      <c r="D374" s="597"/>
      <c r="E374" s="596"/>
      <c r="F374" s="596"/>
      <c r="G374" s="812" t="s">
        <v>1420</v>
      </c>
      <c r="H374" s="596"/>
      <c r="I374" s="596"/>
      <c r="J374" s="596"/>
      <c r="K374" s="596"/>
      <c r="L374" s="596"/>
      <c r="M374" s="597"/>
      <c r="N374" s="597"/>
      <c r="O374" s="597"/>
      <c r="P374" s="597"/>
      <c r="Q374" s="597"/>
      <c r="R374" s="597"/>
      <c r="S374" s="597"/>
      <c r="T374" s="597"/>
      <c r="U374" s="597"/>
      <c r="V374" s="1856" t="s">
        <v>136</v>
      </c>
      <c r="W374" s="1856"/>
      <c r="X374" s="597"/>
      <c r="Y374" s="744"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56" t="s">
        <v>136</v>
      </c>
      <c r="W375" s="1856"/>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8" t="s">
        <v>2461</v>
      </c>
      <c r="K378" s="1698"/>
      <c r="L378" s="1698"/>
      <c r="M378" s="1698"/>
      <c r="N378" s="1698"/>
      <c r="O378" s="1698"/>
      <c r="P378" s="1698"/>
      <c r="Q378" s="1698"/>
      <c r="R378" s="1698"/>
      <c r="S378" s="1698"/>
      <c r="T378" s="1698"/>
      <c r="U378" s="1698"/>
      <c r="V378" s="18" t="s">
        <v>777</v>
      </c>
      <c r="W378" s="18"/>
      <c r="X378" s="18"/>
      <c r="Y378" s="18"/>
      <c r="Z378" s="18"/>
      <c r="AA378" s="18"/>
      <c r="AB378" s="18"/>
      <c r="AC378" s="1698" t="s">
        <v>2462</v>
      </c>
      <c r="AD378" s="1698"/>
      <c r="AE378" s="1698"/>
      <c r="AF378" s="1698"/>
      <c r="AG378" s="1698"/>
      <c r="AH378" s="1698"/>
      <c r="AI378" s="1698"/>
      <c r="AJ378" s="1698"/>
    </row>
    <row r="379" spans="1:36" ht="12.75" customHeight="1">
      <c r="D379" s="72" t="s">
        <v>2253</v>
      </c>
      <c r="J379" s="1688" t="s">
        <v>2462</v>
      </c>
      <c r="K379" s="1688"/>
      <c r="L379" s="1688"/>
      <c r="M379" s="1688"/>
      <c r="N379" s="1688"/>
      <c r="O379" s="1688"/>
      <c r="P379" s="1688"/>
      <c r="Q379" s="1688"/>
      <c r="R379" s="1688"/>
      <c r="S379" s="1688"/>
      <c r="T379" s="1688"/>
      <c r="U379" s="1688"/>
      <c r="V379" s="72" t="s">
        <v>2253</v>
      </c>
      <c r="W379" s="18"/>
      <c r="X379" s="18"/>
      <c r="Y379" s="18"/>
      <c r="Z379" s="18"/>
      <c r="AA379" s="18"/>
      <c r="AB379" s="18"/>
      <c r="AC379" s="1698"/>
      <c r="AD379" s="1698"/>
      <c r="AE379" s="1698"/>
      <c r="AF379" s="1698"/>
      <c r="AG379" s="1698"/>
      <c r="AH379" s="1698"/>
      <c r="AI379" s="1698"/>
      <c r="AJ379" s="1698"/>
    </row>
    <row r="380" spans="1:36" ht="12.75" customHeight="1">
      <c r="D380" s="72" t="s">
        <v>603</v>
      </c>
      <c r="J380" s="1688" t="s">
        <v>2375</v>
      </c>
      <c r="K380" s="1688"/>
      <c r="L380" s="1688"/>
      <c r="M380" s="1688"/>
      <c r="N380" s="1688"/>
      <c r="O380" s="1688"/>
      <c r="P380" s="1688"/>
      <c r="Q380" s="1688"/>
      <c r="R380" s="1688"/>
      <c r="S380" s="1688"/>
      <c r="T380" s="1688"/>
      <c r="U380" s="1688"/>
      <c r="V380" s="72" t="s">
        <v>603</v>
      </c>
      <c r="W380" s="18"/>
      <c r="X380" s="18"/>
      <c r="Y380" s="18"/>
      <c r="Z380" s="18"/>
      <c r="AA380" s="18"/>
      <c r="AB380" s="18"/>
      <c r="AC380" s="1698" t="s">
        <v>2375</v>
      </c>
      <c r="AD380" s="1698"/>
      <c r="AE380" s="1698"/>
      <c r="AF380" s="1698"/>
      <c r="AG380" s="1698"/>
      <c r="AH380" s="1698"/>
      <c r="AI380" s="1698"/>
      <c r="AJ380" s="1698"/>
    </row>
    <row r="381" spans="1:36" ht="12.75" customHeight="1">
      <c r="D381" s="748" t="s">
        <v>2254</v>
      </c>
      <c r="I381" s="102"/>
      <c r="J381" s="1731" t="s">
        <v>2463</v>
      </c>
      <c r="K381" s="1731"/>
      <c r="L381" s="1731"/>
      <c r="M381" s="1731"/>
      <c r="N381" s="1731"/>
      <c r="O381" s="1731"/>
      <c r="P381" s="1731"/>
      <c r="Q381" s="1731"/>
      <c r="R381" s="1731"/>
      <c r="S381" s="1731"/>
      <c r="T381" s="1731"/>
      <c r="U381" s="1731"/>
      <c r="V381" s="1698" t="s">
        <v>2463</v>
      </c>
      <c r="W381" s="1698"/>
      <c r="X381" s="1698"/>
      <c r="Y381" s="1698"/>
      <c r="Z381" s="1698"/>
      <c r="AA381" s="1698"/>
      <c r="AB381" s="1698"/>
      <c r="AC381" s="1698"/>
      <c r="AD381" s="1698"/>
      <c r="AE381" s="1698"/>
      <c r="AF381" s="1698"/>
      <c r="AG381" s="1698"/>
      <c r="AH381" s="1698"/>
      <c r="AI381" s="1698"/>
      <c r="AJ381" s="1698"/>
    </row>
    <row r="382" spans="1:36" ht="12.75" customHeight="1">
      <c r="D382" s="16" t="s">
        <v>614</v>
      </c>
      <c r="Q382" s="1999">
        <v>44008</v>
      </c>
      <c r="R382" s="1999"/>
      <c r="S382" s="1999"/>
      <c r="T382" s="1999"/>
      <c r="U382" s="1999"/>
      <c r="V382" s="16" t="s">
        <v>185</v>
      </c>
      <c r="AI382" s="1696" t="s">
        <v>531</v>
      </c>
      <c r="AJ382" s="1696"/>
    </row>
    <row r="383" spans="1:36" ht="12.75" customHeight="1">
      <c r="D383" s="16" t="s">
        <v>615</v>
      </c>
      <c r="Q383" s="1766">
        <v>44738</v>
      </c>
      <c r="R383" s="1916"/>
      <c r="S383" s="1916"/>
      <c r="T383" s="1916"/>
      <c r="U383" s="1916"/>
      <c r="W383" s="43" t="s">
        <v>20</v>
      </c>
      <c r="AG383" s="1984"/>
      <c r="AH383" s="1984"/>
      <c r="AI383" s="1984"/>
      <c r="AJ383" s="1984"/>
    </row>
    <row r="384" spans="1:36" ht="12.75" customHeight="1">
      <c r="D384" s="16" t="s">
        <v>302</v>
      </c>
      <c r="Q384" s="1716">
        <v>5580000</v>
      </c>
      <c r="R384" s="1716"/>
      <c r="S384" s="1716"/>
      <c r="T384" s="1716"/>
      <c r="U384" s="1716"/>
      <c r="V384" s="72" t="s">
        <v>2255</v>
      </c>
      <c r="AG384" s="1874">
        <v>44407</v>
      </c>
      <c r="AH384" s="1874"/>
      <c r="AI384" s="1874"/>
      <c r="AJ384" s="1874"/>
    </row>
    <row r="385" spans="4:36" ht="12.75" customHeight="1">
      <c r="D385" s="16" t="s">
        <v>419</v>
      </c>
      <c r="I385" s="1699" t="s">
        <v>2464</v>
      </c>
      <c r="J385" s="1699"/>
      <c r="K385" s="1699"/>
      <c r="L385" s="1699"/>
      <c r="M385" s="1699"/>
      <c r="N385" s="1699"/>
      <c r="Q385" s="326" t="s">
        <v>900</v>
      </c>
      <c r="S385" s="2137"/>
      <c r="T385" s="2137"/>
      <c r="U385" s="2137"/>
      <c r="V385" s="16" t="s">
        <v>19</v>
      </c>
      <c r="AI385" s="1696" t="s">
        <v>531</v>
      </c>
      <c r="AJ385" s="1696"/>
    </row>
    <row r="386" spans="4:36" s="50" customFormat="1" ht="12.75" customHeight="1">
      <c r="D386" s="16" t="s">
        <v>186</v>
      </c>
      <c r="E386" s="16"/>
      <c r="F386" s="16"/>
      <c r="G386" s="16"/>
      <c r="H386" s="16"/>
      <c r="I386" s="16"/>
      <c r="J386" s="16"/>
      <c r="K386" s="16"/>
      <c r="L386" s="16"/>
      <c r="M386" s="16"/>
      <c r="N386" s="16"/>
      <c r="O386" s="16"/>
      <c r="P386" s="16"/>
      <c r="Q386" s="1740"/>
      <c r="R386" s="1740"/>
      <c r="S386" s="1740"/>
      <c r="T386" s="1740"/>
      <c r="U386" s="1740"/>
      <c r="V386" s="16" t="s">
        <v>187</v>
      </c>
      <c r="W386" s="16"/>
      <c r="X386" s="16"/>
      <c r="Y386" s="16"/>
      <c r="Z386" s="16"/>
      <c r="AA386" s="16"/>
      <c r="AB386" s="16"/>
      <c r="AC386" s="16"/>
      <c r="AD386" s="16"/>
      <c r="AE386" s="16"/>
      <c r="AF386" s="16"/>
      <c r="AG386" s="1984"/>
      <c r="AH386" s="1984"/>
      <c r="AI386" s="1984"/>
      <c r="AJ386" s="1984"/>
    </row>
    <row r="387" spans="4:36" s="50" customFormat="1" ht="12.75" customHeight="1">
      <c r="D387" s="16" t="s">
        <v>29</v>
      </c>
      <c r="E387" s="16"/>
      <c r="F387" s="16"/>
      <c r="G387" s="16"/>
      <c r="H387" s="16"/>
      <c r="I387" s="16"/>
      <c r="J387" s="16"/>
      <c r="K387" s="16"/>
      <c r="L387" s="16"/>
      <c r="M387" s="16"/>
      <c r="N387" s="16"/>
      <c r="O387" s="16"/>
      <c r="P387" s="16"/>
      <c r="Q387" s="2138"/>
      <c r="R387" s="2138"/>
      <c r="S387" s="2138"/>
      <c r="T387" s="2138"/>
      <c r="U387" s="2138"/>
      <c r="V387" s="16" t="s">
        <v>1895</v>
      </c>
      <c r="W387" s="16"/>
      <c r="X387" s="16"/>
      <c r="Y387" s="16"/>
      <c r="Z387" s="16"/>
      <c r="AA387" s="16"/>
      <c r="AB387" s="16"/>
      <c r="AC387" s="16"/>
      <c r="AD387" s="16"/>
      <c r="AE387" s="16"/>
      <c r="AF387" s="16"/>
      <c r="AG387" s="1984">
        <v>0</v>
      </c>
      <c r="AH387" s="1984"/>
      <c r="AI387" s="1984"/>
      <c r="AJ387" s="1984"/>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84"/>
      <c r="AH388" s="1984"/>
      <c r="AI388" s="1984"/>
      <c r="AJ388" s="198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9"/>
      <c r="AH389" s="1429"/>
      <c r="AI389" s="1429"/>
      <c r="AJ389" s="1429"/>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9"/>
      <c r="AH390" s="1429"/>
      <c r="AI390" s="1696" t="s">
        <v>531</v>
      </c>
      <c r="AJ390" s="1696"/>
    </row>
    <row r="391" spans="4:36" s="50" customFormat="1" ht="12.75" customHeight="1">
      <c r="D391" s="72" t="s">
        <v>2258</v>
      </c>
      <c r="E391" s="16"/>
      <c r="F391" s="16"/>
      <c r="G391" s="16"/>
      <c r="H391" s="16"/>
      <c r="I391" s="16"/>
      <c r="J391" s="16"/>
      <c r="K391" s="16"/>
      <c r="L391" s="16"/>
      <c r="M391" s="16"/>
      <c r="N391" s="16"/>
      <c r="O391" s="16"/>
      <c r="P391" s="16"/>
      <c r="Q391" s="16"/>
      <c r="R391" s="16"/>
      <c r="S391" s="16"/>
      <c r="T391" s="2088"/>
      <c r="U391" s="2088"/>
      <c r="V391" s="2088"/>
      <c r="W391" s="2088"/>
      <c r="X391" s="2088"/>
      <c r="Y391" s="2088"/>
      <c r="Z391" s="2088"/>
      <c r="AA391" s="2088"/>
      <c r="AB391" s="2088"/>
      <c r="AC391" s="2088"/>
      <c r="AD391" s="2088"/>
      <c r="AE391" s="2088"/>
      <c r="AF391" s="2088"/>
      <c r="AG391" s="2088"/>
      <c r="AH391" s="2088"/>
      <c r="AI391" s="2088"/>
      <c r="AJ391" s="2088"/>
    </row>
    <row r="392" spans="4:36" s="50" customFormat="1" ht="12.75" customHeight="1">
      <c r="D392" s="72" t="s">
        <v>2259</v>
      </c>
      <c r="E392" s="16"/>
      <c r="F392" s="16"/>
      <c r="G392" s="16"/>
      <c r="H392" s="16"/>
      <c r="I392" s="16"/>
      <c r="J392" s="16"/>
      <c r="K392" s="16"/>
      <c r="L392" s="16"/>
      <c r="M392" s="16"/>
      <c r="N392" s="16"/>
      <c r="O392" s="16"/>
      <c r="P392" s="16"/>
      <c r="Q392" s="16"/>
      <c r="R392" s="16"/>
      <c r="S392" s="16"/>
      <c r="T392" s="2088"/>
      <c r="U392" s="2088"/>
      <c r="V392" s="2088"/>
      <c r="W392" s="2088"/>
      <c r="X392" s="2088"/>
      <c r="Y392" s="2088"/>
      <c r="Z392" s="2088"/>
      <c r="AA392" s="2088"/>
      <c r="AB392" s="2088"/>
      <c r="AC392" s="2088"/>
      <c r="AD392" s="2088"/>
      <c r="AE392" s="2088"/>
      <c r="AF392" s="2088"/>
      <c r="AG392" s="2088"/>
      <c r="AH392" s="2088"/>
      <c r="AI392" s="2088"/>
      <c r="AJ392" s="208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9"/>
      <c r="AH393" s="1429"/>
      <c r="AI393" s="1429"/>
      <c r="AJ393" s="1429"/>
    </row>
    <row r="394" spans="4:36" s="50" customFormat="1" ht="12.75" customHeight="1">
      <c r="D394" s="72" t="s">
        <v>2260</v>
      </c>
      <c r="E394" s="16"/>
      <c r="F394" s="16"/>
      <c r="G394" s="16"/>
      <c r="H394" s="16"/>
      <c r="I394" s="16"/>
      <c r="J394" s="16"/>
      <c r="K394" s="16"/>
      <c r="L394" s="16"/>
      <c r="M394" s="16"/>
      <c r="N394" s="16"/>
      <c r="O394" s="16"/>
      <c r="P394" s="16"/>
      <c r="Q394" s="16"/>
      <c r="R394" s="16"/>
      <c r="S394" s="2088" t="s">
        <v>531</v>
      </c>
      <c r="T394" s="2088"/>
      <c r="U394" s="2088"/>
      <c r="V394" s="748" t="s">
        <v>2261</v>
      </c>
      <c r="W394" s="16"/>
      <c r="X394" s="16"/>
      <c r="Y394" s="16"/>
      <c r="Z394" s="16"/>
      <c r="AA394" s="16"/>
      <c r="AG394" s="2140"/>
      <c r="AH394" s="2140"/>
      <c r="AI394" s="2140"/>
      <c r="AJ394" s="2140"/>
    </row>
    <row r="395" spans="4:36" s="50" customFormat="1" ht="12.75" customHeight="1">
      <c r="D395" s="72" t="s">
        <v>2262</v>
      </c>
      <c r="E395" s="16"/>
      <c r="F395" s="16"/>
      <c r="G395" s="16"/>
      <c r="H395" s="16"/>
      <c r="I395" s="16"/>
      <c r="J395" s="16"/>
      <c r="K395" s="16"/>
      <c r="L395" s="16"/>
      <c r="M395" s="16"/>
      <c r="N395" s="16"/>
      <c r="O395" s="16"/>
      <c r="P395" s="16"/>
      <c r="Q395" s="16"/>
      <c r="R395" s="16"/>
      <c r="S395" s="2088" t="s">
        <v>136</v>
      </c>
      <c r="T395" s="2088"/>
      <c r="U395" s="2088"/>
      <c r="V395" s="748" t="s">
        <v>2263</v>
      </c>
      <c r="W395" s="16"/>
      <c r="X395" s="16"/>
      <c r="Y395" s="16"/>
      <c r="Z395" s="16"/>
      <c r="AA395" s="16"/>
      <c r="AE395" s="2089"/>
      <c r="AF395" s="2089"/>
      <c r="AG395" s="2089"/>
      <c r="AH395" s="2089"/>
      <c r="AI395" s="2089"/>
      <c r="AJ395" s="2089"/>
    </row>
    <row r="396" spans="4:36" s="50" customFormat="1" ht="12.75" customHeight="1">
      <c r="D396" s="72" t="s">
        <v>2264</v>
      </c>
      <c r="E396" s="16"/>
      <c r="F396" s="16"/>
      <c r="G396" s="16"/>
      <c r="H396" s="16"/>
      <c r="I396" s="16"/>
      <c r="J396" s="16"/>
      <c r="K396" s="1843"/>
      <c r="L396" s="1843"/>
      <c r="M396" s="1843"/>
      <c r="N396" s="1843"/>
      <c r="O396" s="1843"/>
      <c r="P396" s="1843"/>
      <c r="Q396" s="1843"/>
      <c r="R396" s="1843"/>
      <c r="S396" s="1843"/>
      <c r="T396" s="1843"/>
      <c r="U396" s="1843"/>
      <c r="V396" s="1843"/>
      <c r="W396" s="1843"/>
      <c r="X396" s="1843"/>
      <c r="Y396" s="1843"/>
      <c r="Z396" s="1843"/>
      <c r="AA396" s="1843"/>
      <c r="AB396" s="1843"/>
      <c r="AC396" s="1843"/>
      <c r="AD396" s="1843"/>
      <c r="AE396" s="1843"/>
      <c r="AF396" s="1843"/>
      <c r="AG396" s="1843"/>
      <c r="AH396" s="1843"/>
      <c r="AI396" s="1843"/>
      <c r="AJ396" s="1843"/>
    </row>
    <row r="397" spans="4:36" s="50" customFormat="1" ht="12.75" customHeight="1">
      <c r="D397" s="72" t="s">
        <v>2265</v>
      </c>
      <c r="E397" s="16"/>
      <c r="F397" s="16"/>
      <c r="G397" s="16"/>
      <c r="H397" s="16"/>
      <c r="I397" s="16"/>
      <c r="J397" s="16"/>
      <c r="K397" s="1843"/>
      <c r="L397" s="1843"/>
      <c r="M397" s="1843"/>
      <c r="N397" s="1843"/>
      <c r="O397" s="1843"/>
      <c r="P397" s="1843"/>
      <c r="Q397" s="1843"/>
      <c r="R397" s="1843"/>
      <c r="S397" s="1843"/>
      <c r="T397" s="1843"/>
      <c r="U397" s="1843"/>
      <c r="V397" s="1843"/>
      <c r="W397" s="1843"/>
      <c r="X397" s="1843"/>
      <c r="Y397" s="1843"/>
      <c r="Z397" s="1843"/>
      <c r="AA397" s="1843"/>
      <c r="AB397" s="1843"/>
      <c r="AC397" s="1843"/>
      <c r="AD397" s="1843"/>
      <c r="AE397" s="1843"/>
      <c r="AF397" s="1843"/>
      <c r="AG397" s="1843"/>
      <c r="AH397" s="1843"/>
      <c r="AI397" s="1843"/>
      <c r="AJ397" s="1843"/>
    </row>
    <row r="398" spans="4:36" s="50" customFormat="1" ht="12.75" customHeight="1">
      <c r="D398" s="327" t="s">
        <v>2266</v>
      </c>
      <c r="E398" s="1392"/>
      <c r="F398" s="1392"/>
      <c r="G398" s="1392"/>
      <c r="H398" s="1392"/>
      <c r="I398" s="1392"/>
      <c r="J398" s="1392"/>
      <c r="K398" s="1392"/>
      <c r="L398" s="1392"/>
      <c r="M398" s="1392"/>
      <c r="N398" s="1392"/>
      <c r="O398" s="1392"/>
      <c r="P398" s="1392"/>
      <c r="Q398" s="1392"/>
      <c r="R398" s="1392"/>
      <c r="S398" s="2000" t="s">
        <v>2465</v>
      </c>
      <c r="T398" s="2000"/>
      <c r="U398" s="2000"/>
      <c r="V398" s="2000"/>
      <c r="W398" s="2000"/>
      <c r="X398" s="2000"/>
      <c r="Y398" s="2000"/>
      <c r="Z398" s="2000"/>
      <c r="AA398" s="2000"/>
      <c r="AB398" s="2000"/>
      <c r="AC398" s="2000"/>
      <c r="AD398" s="2000"/>
      <c r="AE398" s="2000"/>
      <c r="AF398" s="2000"/>
      <c r="AG398" s="2000"/>
      <c r="AH398" s="2000"/>
      <c r="AI398" s="2000"/>
      <c r="AJ398" s="2000"/>
    </row>
    <row r="399" spans="4:36" s="50" customFormat="1" ht="12.75" customHeight="1">
      <c r="D399" s="2079" t="s">
        <v>2268</v>
      </c>
      <c r="E399" s="2079"/>
      <c r="F399" s="2079"/>
      <c r="G399" s="2079"/>
      <c r="H399" s="2079"/>
      <c r="I399" s="2079"/>
      <c r="J399" s="2079"/>
      <c r="K399" s="2079"/>
      <c r="L399" s="2079"/>
      <c r="M399" s="2079"/>
      <c r="N399" s="2079"/>
      <c r="O399" s="2079"/>
      <c r="P399" s="2079"/>
      <c r="Q399" s="2079"/>
      <c r="R399" s="2079"/>
      <c r="S399" s="2079"/>
      <c r="T399" s="2079"/>
      <c r="U399" s="2079"/>
      <c r="V399" s="2079"/>
      <c r="W399" s="2079"/>
      <c r="X399" s="2079"/>
      <c r="Y399" s="2079"/>
      <c r="Z399" s="2079"/>
      <c r="AA399" s="2079"/>
      <c r="AB399" s="2079"/>
      <c r="AC399" s="2079"/>
      <c r="AD399" s="2079"/>
      <c r="AE399" s="2079"/>
      <c r="AF399" s="2079"/>
      <c r="AG399" s="2079"/>
      <c r="AH399" s="2079"/>
      <c r="AI399" s="2079"/>
      <c r="AJ399" s="2079"/>
    </row>
    <row r="400" spans="4:36" s="50" customFormat="1" ht="12.75" customHeight="1">
      <c r="D400" s="2079"/>
      <c r="E400" s="2079"/>
      <c r="F400" s="2079"/>
      <c r="G400" s="2079"/>
      <c r="H400" s="2079"/>
      <c r="I400" s="2079"/>
      <c r="J400" s="2079"/>
      <c r="K400" s="2079"/>
      <c r="L400" s="2079"/>
      <c r="M400" s="2079"/>
      <c r="N400" s="2079"/>
      <c r="O400" s="2079"/>
      <c r="P400" s="2079"/>
      <c r="Q400" s="2079"/>
      <c r="R400" s="2079"/>
      <c r="S400" s="2079"/>
      <c r="T400" s="2079"/>
      <c r="U400" s="2079"/>
      <c r="V400" s="2079"/>
      <c r="W400" s="2079"/>
      <c r="X400" s="2079"/>
      <c r="Y400" s="2079"/>
      <c r="Z400" s="2079"/>
      <c r="AA400" s="2079"/>
      <c r="AB400" s="2079"/>
      <c r="AC400" s="2079"/>
      <c r="AD400" s="2079"/>
      <c r="AE400" s="2079"/>
      <c r="AF400" s="2079"/>
      <c r="AG400" s="2079"/>
      <c r="AH400" s="2079"/>
      <c r="AI400" s="2079"/>
      <c r="AJ400" s="207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9"/>
      <c r="AH401" s="1429"/>
      <c r="AI401" s="1429"/>
      <c r="AJ401" s="1429"/>
    </row>
    <row r="402" spans="1:36" ht="12.75" customHeight="1">
      <c r="A402" s="63" t="s">
        <v>134</v>
      </c>
      <c r="B402" s="63"/>
      <c r="C402" s="63" t="s">
        <v>1003</v>
      </c>
    </row>
    <row r="403" spans="1:36" ht="12.75" customHeight="1">
      <c r="C403" s="35"/>
      <c r="D403" s="63" t="s">
        <v>1958</v>
      </c>
      <c r="I403" s="1703" t="s">
        <v>2466</v>
      </c>
      <c r="J403" s="1703"/>
      <c r="K403" s="1703"/>
      <c r="L403" s="1703"/>
      <c r="M403" s="1703"/>
      <c r="N403" s="1703"/>
      <c r="O403" s="1703"/>
      <c r="P403" s="1703"/>
      <c r="Q403" s="1703"/>
      <c r="R403" s="1703"/>
      <c r="S403" s="1703"/>
      <c r="T403" s="1703"/>
      <c r="U403" s="1703"/>
      <c r="V403" s="1703"/>
      <c r="W403" s="1703"/>
      <c r="X403" s="1703"/>
      <c r="Y403" s="1703"/>
      <c r="Z403" s="1703"/>
      <c r="AA403" s="1703"/>
      <c r="AB403" s="1703"/>
      <c r="AC403" s="1703"/>
      <c r="AD403" s="1703"/>
    </row>
    <row r="404" spans="1:36" ht="12.75" customHeight="1">
      <c r="C404" s="35"/>
      <c r="E404" s="16" t="s">
        <v>938</v>
      </c>
      <c r="R404" s="1696" t="s">
        <v>119</v>
      </c>
      <c r="S404" s="1696"/>
      <c r="T404" s="16" t="s">
        <v>319</v>
      </c>
      <c r="AD404" s="1870">
        <v>3</v>
      </c>
      <c r="AE404" s="1870"/>
    </row>
    <row r="405" spans="1:36" ht="12.75" customHeight="1">
      <c r="C405" s="35"/>
      <c r="E405" s="16" t="s">
        <v>939</v>
      </c>
      <c r="R405" s="1696" t="s">
        <v>136</v>
      </c>
      <c r="S405" s="1696"/>
      <c r="T405" s="16" t="s">
        <v>319</v>
      </c>
      <c r="AD405" s="1870">
        <v>0</v>
      </c>
      <c r="AE405" s="1870"/>
    </row>
    <row r="406" spans="1:36" ht="12.75" customHeight="1">
      <c r="E406" s="16" t="s">
        <v>940</v>
      </c>
      <c r="S406" s="1696" t="s">
        <v>136</v>
      </c>
      <c r="T406" s="1696"/>
    </row>
    <row r="407" spans="1:36" ht="12.75" customHeight="1">
      <c r="E407" s="16" t="s">
        <v>311</v>
      </c>
      <c r="H407" s="2111" t="s">
        <v>2480</v>
      </c>
      <c r="I407" s="2111"/>
      <c r="J407" s="2111"/>
      <c r="K407" s="2111"/>
      <c r="L407" s="2111"/>
      <c r="M407" s="2111"/>
      <c r="N407" s="2111"/>
      <c r="O407" s="2111"/>
      <c r="P407" s="2111"/>
      <c r="Q407" s="2111"/>
      <c r="R407" s="2111"/>
      <c r="S407" s="2111"/>
      <c r="T407" s="2111"/>
      <c r="U407" s="2111"/>
      <c r="V407" s="2111"/>
      <c r="W407" s="2111"/>
      <c r="X407" s="2111"/>
      <c r="Y407" s="2111"/>
      <c r="Z407" s="2111"/>
      <c r="AA407" s="2111"/>
      <c r="AB407" s="2111"/>
      <c r="AC407" s="2111"/>
      <c r="AD407" s="2111"/>
      <c r="AE407" s="2111"/>
      <c r="AF407" s="2111"/>
      <c r="AG407" s="2111"/>
      <c r="AH407" s="2111"/>
      <c r="AI407" s="2111"/>
      <c r="AJ407" s="2111"/>
    </row>
    <row r="408" spans="1:36" ht="12.75" customHeight="1">
      <c r="H408" s="2112"/>
      <c r="I408" s="2112"/>
      <c r="J408" s="2112"/>
      <c r="K408" s="2112"/>
      <c r="L408" s="2112"/>
      <c r="M408" s="2112"/>
      <c r="N408" s="2112"/>
      <c r="O408" s="2112"/>
      <c r="P408" s="2112"/>
      <c r="Q408" s="2112"/>
      <c r="R408" s="2112"/>
      <c r="S408" s="2112"/>
      <c r="T408" s="2112"/>
      <c r="U408" s="2112"/>
      <c r="V408" s="2112"/>
      <c r="W408" s="2112"/>
      <c r="X408" s="2112"/>
      <c r="Y408" s="2112"/>
      <c r="Z408" s="2112"/>
      <c r="AA408" s="2112"/>
      <c r="AB408" s="2112"/>
      <c r="AC408" s="2112"/>
      <c r="AD408" s="2112"/>
      <c r="AE408" s="2112"/>
      <c r="AF408" s="2112"/>
      <c r="AG408" s="2112"/>
      <c r="AH408" s="2112"/>
      <c r="AI408" s="2112"/>
      <c r="AJ408" s="2112"/>
    </row>
    <row r="409" spans="1:36" ht="12.75" customHeight="1"/>
    <row r="410" spans="1:36" ht="12.75" customHeight="1">
      <c r="A410" s="63" t="s">
        <v>135</v>
      </c>
      <c r="B410" s="63"/>
      <c r="C410" s="63"/>
      <c r="D410" s="63" t="s">
        <v>1006</v>
      </c>
      <c r="AE410" s="8"/>
      <c r="AF410" s="63" t="s">
        <v>1345</v>
      </c>
    </row>
    <row r="411" spans="1:36" ht="12.75" customHeight="1">
      <c r="E411" s="2122"/>
      <c r="F411" s="2122"/>
      <c r="G411" s="2122"/>
      <c r="H411" s="33" t="s">
        <v>1007</v>
      </c>
      <c r="I411" s="2122"/>
      <c r="J411" s="2122"/>
      <c r="K411" s="2122"/>
      <c r="L411" s="16" t="s">
        <v>1008</v>
      </c>
      <c r="N411" s="240" t="s">
        <v>933</v>
      </c>
      <c r="P411" s="2013">
        <v>2.92</v>
      </c>
      <c r="Q411" s="2013"/>
      <c r="R411" s="2013"/>
      <c r="S411" s="16" t="s">
        <v>1009</v>
      </c>
      <c r="W411" s="2110">
        <f>IF(E411&gt;0,(E411*I411),(P411*43560))</f>
        <v>127195.2</v>
      </c>
      <c r="X411" s="2110"/>
      <c r="Y411" s="2110"/>
      <c r="Z411" s="16" t="s">
        <v>1010</v>
      </c>
      <c r="AF411" s="2123">
        <f>IF(P411&gt;0,(AG430/P411),(AG430/(W411/43560)))</f>
        <v>30.82191780821918</v>
      </c>
      <c r="AG411" s="2123"/>
      <c r="AH411" s="2123"/>
    </row>
    <row r="412" spans="1:36" ht="12.75" customHeight="1">
      <c r="E412" s="16" t="s">
        <v>224</v>
      </c>
    </row>
    <row r="413" spans="1:36" ht="12.75" customHeight="1">
      <c r="E413" s="2141"/>
      <c r="F413" s="2141"/>
      <c r="G413" s="2141"/>
      <c r="H413" s="2141"/>
      <c r="I413" s="2141"/>
      <c r="J413" s="2141"/>
      <c r="K413" s="2141"/>
      <c r="L413" s="2141"/>
      <c r="M413" s="2141"/>
      <c r="N413" s="2141"/>
      <c r="O413" s="2141"/>
      <c r="P413" s="2141"/>
      <c r="Q413" s="2141"/>
      <c r="R413" s="2141"/>
      <c r="S413" s="2141"/>
      <c r="T413" s="2141"/>
      <c r="U413" s="2141"/>
      <c r="V413" s="2141"/>
      <c r="W413" s="2141"/>
      <c r="X413" s="2141"/>
      <c r="Y413" s="2141"/>
      <c r="Z413" s="2141"/>
      <c r="AA413" s="2141"/>
      <c r="AB413" s="2141"/>
      <c r="AC413" s="2141"/>
      <c r="AD413" s="2141"/>
      <c r="AE413" s="2141"/>
      <c r="AF413" s="2141"/>
      <c r="AG413" s="2141"/>
      <c r="AH413" s="2141"/>
      <c r="AI413" s="2141"/>
      <c r="AJ413" s="2141"/>
    </row>
    <row r="414" spans="1:36" s="50" customFormat="1" ht="12.75" customHeight="1">
      <c r="E414" s="412" t="s">
        <v>2269</v>
      </c>
      <c r="F414" s="59"/>
      <c r="G414" s="59"/>
      <c r="H414" s="59"/>
      <c r="I414" s="2080">
        <v>2.92</v>
      </c>
      <c r="J414" s="2080"/>
      <c r="K414" s="2080"/>
      <c r="L414" s="59"/>
      <c r="M414" s="412"/>
      <c r="N414" s="59"/>
      <c r="O414" s="59"/>
      <c r="P414" s="2121">
        <f>(CQ629+CS634+CQ648)/I414</f>
        <v>36.301369863013697</v>
      </c>
      <c r="Q414" s="2121"/>
      <c r="R414" s="2121"/>
      <c r="S414" s="412" t="s">
        <v>2270</v>
      </c>
      <c r="T414" s="59"/>
      <c r="U414" s="59"/>
      <c r="V414" s="59"/>
      <c r="W414" s="59"/>
      <c r="X414" s="59"/>
      <c r="Y414" s="1485"/>
      <c r="Z414" s="1485"/>
      <c r="AA414" s="1485"/>
      <c r="AB414" s="1485"/>
      <c r="AC414" s="1485"/>
      <c r="AD414" s="1485"/>
      <c r="AE414" s="1485"/>
      <c r="AF414" s="1485"/>
      <c r="AG414" s="1485"/>
      <c r="AH414" s="1485"/>
      <c r="AI414" s="1485"/>
      <c r="AJ414" s="1485"/>
    </row>
    <row r="415" spans="1:36" ht="12.75" customHeight="1"/>
    <row r="416" spans="1:36" ht="12.75" customHeight="1">
      <c r="A416" s="63" t="s">
        <v>137</v>
      </c>
      <c r="B416" s="63"/>
      <c r="C416" s="63"/>
      <c r="D416" s="63" t="s">
        <v>1012</v>
      </c>
    </row>
    <row r="417" spans="1:36" ht="12.75" customHeight="1">
      <c r="E417" s="16" t="s">
        <v>500</v>
      </c>
      <c r="P417" s="1696">
        <v>2</v>
      </c>
      <c r="Q417" s="1696"/>
      <c r="S417" s="16" t="s">
        <v>149</v>
      </c>
      <c r="AE417" s="1696">
        <v>2</v>
      </c>
      <c r="AF417" s="1696"/>
    </row>
    <row r="418" spans="1:36" ht="12.75" customHeight="1">
      <c r="E418" s="16" t="s">
        <v>150</v>
      </c>
      <c r="P418" s="1696">
        <v>0</v>
      </c>
      <c r="Q418" s="1696"/>
      <c r="S418" s="16" t="s">
        <v>793</v>
      </c>
      <c r="AE418" s="1696" t="s">
        <v>136</v>
      </c>
      <c r="AF418" s="1696"/>
    </row>
    <row r="419" spans="1:36" ht="13.2">
      <c r="F419" s="81" t="s">
        <v>247</v>
      </c>
    </row>
    <row r="420" spans="1:36" ht="13.2">
      <c r="F420" s="1987"/>
      <c r="G420" s="1987"/>
      <c r="H420" s="1987"/>
      <c r="I420" s="1987"/>
      <c r="J420" s="1987"/>
      <c r="K420" s="1987"/>
      <c r="L420" s="1987"/>
      <c r="M420" s="1987"/>
      <c r="N420" s="1987"/>
      <c r="O420" s="1987"/>
      <c r="P420" s="1987"/>
      <c r="Q420" s="1987"/>
      <c r="R420" s="1987"/>
      <c r="S420" s="1987"/>
      <c r="T420" s="1987"/>
      <c r="U420" s="1987"/>
      <c r="V420" s="1987"/>
      <c r="W420" s="1987"/>
      <c r="X420" s="1987"/>
      <c r="Y420" s="1987"/>
      <c r="Z420" s="1987"/>
      <c r="AA420" s="1987"/>
      <c r="AB420" s="1987"/>
      <c r="AC420" s="1987"/>
      <c r="AD420" s="1987"/>
      <c r="AE420" s="1987"/>
      <c r="AF420" s="1987"/>
      <c r="AG420" s="1987"/>
      <c r="AH420" s="1987"/>
    </row>
    <row r="421" spans="1:36" ht="13.2">
      <c r="F421" s="1988"/>
      <c r="G421" s="1988"/>
      <c r="H421" s="1988"/>
      <c r="I421" s="1988"/>
      <c r="J421" s="1988"/>
      <c r="K421" s="1988"/>
      <c r="L421" s="1988"/>
      <c r="M421" s="1988"/>
      <c r="N421" s="1988"/>
      <c r="O421" s="1988"/>
      <c r="P421" s="1988"/>
      <c r="Q421" s="1988"/>
      <c r="R421" s="1988"/>
      <c r="S421" s="1988"/>
      <c r="T421" s="1988"/>
      <c r="U421" s="1988"/>
      <c r="V421" s="1988"/>
      <c r="W421" s="1988"/>
      <c r="X421" s="1988"/>
      <c r="Y421" s="1988"/>
      <c r="Z421" s="1988"/>
      <c r="AA421" s="1988"/>
      <c r="AB421" s="1988"/>
      <c r="AC421" s="1988"/>
      <c r="AD421" s="1988"/>
      <c r="AE421" s="1988"/>
      <c r="AF421" s="1988"/>
      <c r="AG421" s="1988"/>
      <c r="AH421" s="1988"/>
    </row>
    <row r="422" spans="1:36" ht="13.2">
      <c r="E422" s="16" t="s">
        <v>942</v>
      </c>
      <c r="N422" s="50"/>
      <c r="O422" s="50"/>
      <c r="P422" s="390"/>
      <c r="Q422" s="1696" t="s">
        <v>119</v>
      </c>
      <c r="R422" s="1696"/>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696" t="s">
        <v>136</v>
      </c>
      <c r="AF423" s="2142"/>
    </row>
    <row r="424" spans="1:36" ht="13.2">
      <c r="S424" s="35"/>
      <c r="T424" s="35"/>
    </row>
    <row r="425" spans="1:36" ht="12.75" customHeight="1">
      <c r="A425" s="63"/>
      <c r="B425" s="63"/>
      <c r="C425" s="63"/>
      <c r="E425" s="8" t="s">
        <v>87</v>
      </c>
      <c r="Z425" s="1696" t="s">
        <v>531</v>
      </c>
      <c r="AA425" s="169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96" t="s">
        <v>136</v>
      </c>
      <c r="AA427" s="1696"/>
    </row>
    <row r="428" spans="1:36" ht="12.75" customHeight="1">
      <c r="AG428" s="16">
        <v>0</v>
      </c>
    </row>
    <row r="429" spans="1:36" ht="12.75" customHeight="1">
      <c r="A429" s="63" t="s">
        <v>411</v>
      </c>
      <c r="B429" s="63"/>
      <c r="C429" s="63"/>
      <c r="D429" s="63" t="s">
        <v>189</v>
      </c>
      <c r="AF429" s="94"/>
    </row>
    <row r="430" spans="1:36" ht="12.75" customHeight="1">
      <c r="D430" s="2139" t="s">
        <v>400</v>
      </c>
      <c r="E430" s="1895"/>
      <c r="F430" s="1895"/>
      <c r="G430" s="1895"/>
      <c r="H430" s="1895"/>
      <c r="I430" s="1895"/>
      <c r="J430" s="1895"/>
      <c r="K430" s="1895"/>
      <c r="L430" s="1895"/>
      <c r="M430" s="1895"/>
      <c r="N430" s="1895"/>
      <c r="O430" s="1895"/>
      <c r="P430" s="1895"/>
      <c r="Q430" s="1895"/>
      <c r="R430" s="1895"/>
      <c r="S430" s="1895"/>
      <c r="T430" s="1895"/>
      <c r="U430" s="1895"/>
      <c r="V430" s="1895"/>
      <c r="W430" s="1895"/>
      <c r="X430" s="1895"/>
      <c r="Y430" s="1895"/>
      <c r="Z430" s="1895"/>
      <c r="AA430" s="1895"/>
      <c r="AB430" s="1895"/>
      <c r="AC430" s="1895"/>
      <c r="AD430" s="1895"/>
      <c r="AE430" s="1895"/>
      <c r="AF430" s="2120"/>
      <c r="AG430" s="2109">
        <v>90</v>
      </c>
      <c r="AH430" s="2109"/>
      <c r="AI430" s="2109"/>
      <c r="AJ430" s="2109"/>
    </row>
    <row r="431" spans="1:36" ht="12.75" customHeight="1">
      <c r="D431" s="1894" t="s">
        <v>1522</v>
      </c>
      <c r="E431" s="1982"/>
      <c r="F431" s="1982"/>
      <c r="G431" s="1982"/>
      <c r="H431" s="1982"/>
      <c r="I431" s="1982"/>
      <c r="J431" s="1982"/>
      <c r="K431" s="1982"/>
      <c r="L431" s="1982"/>
      <c r="M431" s="1982"/>
      <c r="N431" s="1982"/>
      <c r="O431" s="1982"/>
      <c r="P431" s="1982"/>
      <c r="Q431" s="1982"/>
      <c r="R431" s="1982"/>
      <c r="S431" s="1982"/>
      <c r="T431" s="1982"/>
      <c r="U431" s="1982"/>
      <c r="V431" s="1982"/>
      <c r="W431" s="1982"/>
      <c r="X431" s="1982"/>
      <c r="Y431" s="1982"/>
      <c r="Z431" s="1982"/>
      <c r="AA431" s="1982"/>
      <c r="AB431" s="1982"/>
      <c r="AC431" s="1982"/>
      <c r="AD431" s="1982"/>
      <c r="AE431" s="1982"/>
      <c r="AF431" s="1983"/>
      <c r="AG431" s="2117">
        <v>0</v>
      </c>
      <c r="AH431" s="2118"/>
      <c r="AI431" s="2118"/>
      <c r="AJ431" s="2118"/>
    </row>
    <row r="432" spans="1:36" ht="12.75" customHeight="1">
      <c r="D432" s="1894" t="s">
        <v>1523</v>
      </c>
      <c r="E432" s="1982"/>
      <c r="F432" s="1982"/>
      <c r="G432" s="1982"/>
      <c r="H432" s="1982"/>
      <c r="I432" s="1982"/>
      <c r="J432" s="1982"/>
      <c r="K432" s="1982"/>
      <c r="L432" s="1982"/>
      <c r="M432" s="1982"/>
      <c r="N432" s="1982"/>
      <c r="O432" s="1982"/>
      <c r="P432" s="1982"/>
      <c r="Q432" s="1982"/>
      <c r="R432" s="1982"/>
      <c r="S432" s="1982"/>
      <c r="T432" s="1982"/>
      <c r="U432" s="1982"/>
      <c r="V432" s="1982"/>
      <c r="W432" s="1982"/>
      <c r="X432" s="1982"/>
      <c r="Y432" s="1982"/>
      <c r="Z432" s="1982"/>
      <c r="AA432" s="1982"/>
      <c r="AB432" s="1982"/>
      <c r="AC432" s="1982"/>
      <c r="AD432" s="1982"/>
      <c r="AE432" s="1982"/>
      <c r="AF432" s="1983"/>
      <c r="AG432" s="2109">
        <v>88</v>
      </c>
      <c r="AH432" s="2109"/>
      <c r="AI432" s="2109"/>
      <c r="AJ432" s="2109"/>
    </row>
    <row r="433" spans="4:36" ht="12.75" customHeight="1">
      <c r="D433" s="1894" t="s">
        <v>1519</v>
      </c>
      <c r="E433" s="1982"/>
      <c r="F433" s="1982"/>
      <c r="G433" s="1982"/>
      <c r="H433" s="1982"/>
      <c r="I433" s="1982"/>
      <c r="J433" s="1982"/>
      <c r="K433" s="1982"/>
      <c r="L433" s="1982"/>
      <c r="M433" s="1982"/>
      <c r="N433" s="1982"/>
      <c r="O433" s="1982"/>
      <c r="P433" s="1982"/>
      <c r="Q433" s="1982"/>
      <c r="R433" s="1982"/>
      <c r="S433" s="1982"/>
      <c r="T433" s="1982"/>
      <c r="U433" s="1982"/>
      <c r="V433" s="1982"/>
      <c r="W433" s="1982"/>
      <c r="X433" s="1982"/>
      <c r="Y433" s="1982"/>
      <c r="Z433" s="1982"/>
      <c r="AA433" s="1982"/>
      <c r="AB433" s="1982"/>
      <c r="AC433" s="1982"/>
      <c r="AD433" s="1982"/>
      <c r="AE433" s="1982"/>
      <c r="AF433" s="1983"/>
      <c r="AG433" s="2109">
        <v>88</v>
      </c>
      <c r="AH433" s="2109"/>
      <c r="AI433" s="2109"/>
      <c r="AJ433" s="2109"/>
    </row>
    <row r="434" spans="4:36" ht="12.75" customHeight="1">
      <c r="D434" s="1894" t="s">
        <v>1524</v>
      </c>
      <c r="E434" s="1982"/>
      <c r="F434" s="1982"/>
      <c r="G434" s="1982"/>
      <c r="H434" s="1982"/>
      <c r="I434" s="1982"/>
      <c r="J434" s="1982"/>
      <c r="K434" s="1982"/>
      <c r="L434" s="1982"/>
      <c r="M434" s="1982"/>
      <c r="N434" s="1982"/>
      <c r="O434" s="1982"/>
      <c r="P434" s="1982"/>
      <c r="Q434" s="1982"/>
      <c r="R434" s="1982"/>
      <c r="S434" s="1982"/>
      <c r="T434" s="1982"/>
      <c r="U434" s="1982"/>
      <c r="V434" s="1982"/>
      <c r="W434" s="1982"/>
      <c r="X434" s="1982"/>
      <c r="Y434" s="1982"/>
      <c r="Z434" s="1982"/>
      <c r="AA434" s="1982"/>
      <c r="AB434" s="1982"/>
      <c r="AC434" s="1982"/>
      <c r="AD434" s="1982"/>
      <c r="AE434" s="1982"/>
      <c r="AF434" s="1983"/>
      <c r="AG434" s="2113">
        <f>IF(ISERROR(AG433/AG432),"",AG433/AG432)</f>
        <v>1</v>
      </c>
      <c r="AH434" s="2113"/>
      <c r="AI434" s="2113"/>
      <c r="AJ434" s="2113"/>
    </row>
    <row r="435" spans="4:36" ht="12.75" customHeight="1">
      <c r="D435" s="1894" t="s">
        <v>1521</v>
      </c>
      <c r="E435" s="1982"/>
      <c r="F435" s="1982"/>
      <c r="G435" s="1982"/>
      <c r="H435" s="1982"/>
      <c r="I435" s="1982"/>
      <c r="J435" s="1982"/>
      <c r="K435" s="1982"/>
      <c r="L435" s="1982"/>
      <c r="M435" s="1982"/>
      <c r="N435" s="1982"/>
      <c r="O435" s="1982"/>
      <c r="P435" s="1982"/>
      <c r="Q435" s="1982"/>
      <c r="R435" s="1982"/>
      <c r="S435" s="1982"/>
      <c r="T435" s="1982"/>
      <c r="U435" s="1982"/>
      <c r="V435" s="1982"/>
      <c r="W435" s="1982"/>
      <c r="X435" s="1982"/>
      <c r="Y435" s="1982"/>
      <c r="Z435" s="1982"/>
      <c r="AA435" s="1982"/>
      <c r="AB435" s="1982"/>
      <c r="AC435" s="1982"/>
      <c r="AD435" s="1982"/>
      <c r="AE435" s="1982"/>
      <c r="AF435" s="1983"/>
      <c r="AG435" s="2014">
        <v>39255</v>
      </c>
      <c r="AH435" s="2014"/>
      <c r="AI435" s="2014"/>
      <c r="AJ435" s="2014"/>
    </row>
    <row r="436" spans="4:36" ht="12.75" customHeight="1">
      <c r="D436" s="1894" t="s">
        <v>1520</v>
      </c>
      <c r="E436" s="1982"/>
      <c r="F436" s="1982"/>
      <c r="G436" s="1982"/>
      <c r="H436" s="1982"/>
      <c r="I436" s="1982"/>
      <c r="J436" s="1982"/>
      <c r="K436" s="1982"/>
      <c r="L436" s="1982"/>
      <c r="M436" s="1982"/>
      <c r="N436" s="1982"/>
      <c r="O436" s="1982"/>
      <c r="P436" s="1982"/>
      <c r="Q436" s="1982"/>
      <c r="R436" s="1982"/>
      <c r="S436" s="1982"/>
      <c r="T436" s="1982"/>
      <c r="U436" s="1982"/>
      <c r="V436" s="1982"/>
      <c r="W436" s="1982"/>
      <c r="X436" s="1982"/>
      <c r="Y436" s="1982"/>
      <c r="Z436" s="1982"/>
      <c r="AA436" s="1982"/>
      <c r="AB436" s="1982"/>
      <c r="AC436" s="1982"/>
      <c r="AD436" s="1982"/>
      <c r="AE436" s="1982"/>
      <c r="AF436" s="1983"/>
      <c r="AG436" s="2014">
        <v>39255</v>
      </c>
      <c r="AH436" s="2014"/>
      <c r="AI436" s="2014"/>
      <c r="AJ436" s="2014"/>
    </row>
    <row r="437" spans="4:36" ht="12.75" customHeight="1">
      <c r="D437" s="1894" t="s">
        <v>1527</v>
      </c>
      <c r="E437" s="1982"/>
      <c r="F437" s="1982"/>
      <c r="G437" s="1982"/>
      <c r="H437" s="1982"/>
      <c r="I437" s="1982"/>
      <c r="J437" s="1982"/>
      <c r="K437" s="1982"/>
      <c r="L437" s="1982"/>
      <c r="M437" s="1982"/>
      <c r="N437" s="1982"/>
      <c r="O437" s="1982"/>
      <c r="P437" s="1982"/>
      <c r="Q437" s="1982"/>
      <c r="R437" s="1982"/>
      <c r="S437" s="1982"/>
      <c r="T437" s="1982"/>
      <c r="U437" s="1982"/>
      <c r="V437" s="1982"/>
      <c r="W437" s="1982"/>
      <c r="X437" s="1982"/>
      <c r="Y437" s="1982"/>
      <c r="Z437" s="1982"/>
      <c r="AA437" s="1982"/>
      <c r="AB437" s="1982"/>
      <c r="AC437" s="1982"/>
      <c r="AD437" s="1982"/>
      <c r="AE437" s="1982"/>
      <c r="AF437" s="1983"/>
      <c r="AG437" s="2113">
        <f>IF(ISERROR(AG436/AG435),"",AG436/AG435)</f>
        <v>1</v>
      </c>
      <c r="AH437" s="2113"/>
      <c r="AI437" s="2113"/>
      <c r="AJ437" s="2113"/>
    </row>
    <row r="438" spans="4:36" ht="12.75" customHeight="1">
      <c r="D438" s="1894" t="s">
        <v>1525</v>
      </c>
      <c r="E438" s="1982"/>
      <c r="F438" s="1982"/>
      <c r="G438" s="1982"/>
      <c r="H438" s="1982"/>
      <c r="I438" s="1982"/>
      <c r="J438" s="1982"/>
      <c r="K438" s="1982"/>
      <c r="L438" s="1982"/>
      <c r="M438" s="1982"/>
      <c r="N438" s="1982"/>
      <c r="O438" s="1982"/>
      <c r="P438" s="1982"/>
      <c r="Q438" s="1982"/>
      <c r="R438" s="1982"/>
      <c r="S438" s="1982"/>
      <c r="T438" s="1982"/>
      <c r="U438" s="1982"/>
      <c r="V438" s="1982"/>
      <c r="W438" s="1982"/>
      <c r="X438" s="1982"/>
      <c r="Y438" s="1982"/>
      <c r="Z438" s="1982"/>
      <c r="AA438" s="1982"/>
      <c r="AB438" s="1982"/>
      <c r="AC438" s="1982"/>
      <c r="AD438" s="1982"/>
      <c r="AE438" s="1982"/>
      <c r="AF438" s="1983"/>
      <c r="AG438" s="2113">
        <f>MIN(IF(AG434&gt;AG437,AG437,AG434),1)</f>
        <v>1</v>
      </c>
      <c r="AH438" s="2113"/>
      <c r="AI438" s="2113"/>
      <c r="AJ438" s="2113"/>
    </row>
    <row r="439" spans="4:36" ht="13.2">
      <c r="D439" s="2119" t="s">
        <v>1959</v>
      </c>
      <c r="E439" s="1895"/>
      <c r="F439" s="1895"/>
      <c r="G439" s="1895"/>
      <c r="H439" s="1895"/>
      <c r="I439" s="1895"/>
      <c r="J439" s="1895"/>
      <c r="K439" s="1895"/>
      <c r="L439" s="1895"/>
      <c r="M439" s="1895"/>
      <c r="N439" s="1895"/>
      <c r="O439" s="1895"/>
      <c r="P439" s="1895"/>
      <c r="Q439" s="1895"/>
      <c r="R439" s="1895"/>
      <c r="S439" s="1895"/>
      <c r="T439" s="1895"/>
      <c r="U439" s="1895"/>
      <c r="V439" s="1895"/>
      <c r="W439" s="1895"/>
      <c r="X439" s="1895"/>
      <c r="Y439" s="1895"/>
      <c r="Z439" s="1895"/>
      <c r="AA439" s="1895"/>
      <c r="AB439" s="1895"/>
      <c r="AC439" s="1895"/>
      <c r="AD439" s="1895"/>
      <c r="AE439" s="1895"/>
      <c r="AF439" s="2120"/>
      <c r="AG439" s="2014">
        <v>3570</v>
      </c>
      <c r="AH439" s="2014"/>
      <c r="AI439" s="2014"/>
      <c r="AJ439" s="2014"/>
    </row>
    <row r="440" spans="4:36" ht="13.2">
      <c r="D440" s="1894" t="s">
        <v>231</v>
      </c>
      <c r="E440" s="1982"/>
      <c r="F440" s="1982"/>
      <c r="G440" s="1982"/>
      <c r="H440" s="1982"/>
      <c r="I440" s="1982"/>
      <c r="J440" s="1982"/>
      <c r="K440" s="1982"/>
      <c r="L440" s="1982"/>
      <c r="M440" s="1982"/>
      <c r="N440" s="1982"/>
      <c r="O440" s="1982"/>
      <c r="P440" s="1982"/>
      <c r="Q440" s="1982"/>
      <c r="R440" s="1982"/>
      <c r="S440" s="1982"/>
      <c r="T440" s="1982"/>
      <c r="U440" s="1982"/>
      <c r="V440" s="1982"/>
      <c r="W440" s="1982"/>
      <c r="X440" s="1982"/>
      <c r="Y440" s="1982"/>
      <c r="Z440" s="1982"/>
      <c r="AA440" s="1982"/>
      <c r="AB440" s="1982"/>
      <c r="AC440" s="1982"/>
      <c r="AD440" s="1982"/>
      <c r="AE440" s="1982"/>
      <c r="AF440" s="1983"/>
      <c r="AG440" s="2014">
        <v>0</v>
      </c>
      <c r="AH440" s="2014"/>
      <c r="AI440" s="2014"/>
      <c r="AJ440" s="2014"/>
    </row>
    <row r="441" spans="4:36" ht="12.75" customHeight="1">
      <c r="D441" s="2119" t="s">
        <v>1960</v>
      </c>
      <c r="E441" s="1982"/>
      <c r="F441" s="1982"/>
      <c r="G441" s="1982"/>
      <c r="H441" s="1982"/>
      <c r="I441" s="1982"/>
      <c r="J441" s="1982"/>
      <c r="K441" s="1982"/>
      <c r="L441" s="1982"/>
      <c r="M441" s="1982"/>
      <c r="N441" s="1982"/>
      <c r="O441" s="1982"/>
      <c r="P441" s="1982"/>
      <c r="Q441" s="1982"/>
      <c r="R441" s="1982"/>
      <c r="S441" s="1982"/>
      <c r="T441" s="1982"/>
      <c r="U441" s="1982"/>
      <c r="V441" s="1982"/>
      <c r="W441" s="1982"/>
      <c r="X441" s="1982"/>
      <c r="Y441" s="1982"/>
      <c r="Z441" s="1982"/>
      <c r="AA441" s="1982"/>
      <c r="AB441" s="1982"/>
      <c r="AC441" s="1982"/>
      <c r="AD441" s="1982"/>
      <c r="AE441" s="1982"/>
      <c r="AF441" s="1983"/>
      <c r="AG441" s="2014">
        <v>25300</v>
      </c>
      <c r="AH441" s="2014"/>
      <c r="AI441" s="2014"/>
      <c r="AJ441" s="2014"/>
    </row>
    <row r="442" spans="4:36" ht="13.2">
      <c r="D442" s="1894" t="s">
        <v>1526</v>
      </c>
      <c r="E442" s="1982"/>
      <c r="F442" s="1982"/>
      <c r="G442" s="1982"/>
      <c r="H442" s="1982"/>
      <c r="I442" s="1982"/>
      <c r="J442" s="1982"/>
      <c r="K442" s="1982"/>
      <c r="L442" s="1982"/>
      <c r="M442" s="1982"/>
      <c r="N442" s="1982"/>
      <c r="O442" s="1982"/>
      <c r="P442" s="1982"/>
      <c r="Q442" s="1982"/>
      <c r="R442" s="1982"/>
      <c r="S442" s="1982"/>
      <c r="T442" s="1982"/>
      <c r="U442" s="1982"/>
      <c r="V442" s="1982"/>
      <c r="W442" s="1982"/>
      <c r="X442" s="1982"/>
      <c r="Y442" s="1982"/>
      <c r="Z442" s="1982"/>
      <c r="AA442" s="1982"/>
      <c r="AB442" s="1982"/>
      <c r="AC442" s="1982"/>
      <c r="AD442" s="1982"/>
      <c r="AE442" s="1982"/>
      <c r="AF442" s="1983"/>
      <c r="AG442" s="2014">
        <v>0</v>
      </c>
      <c r="AH442" s="2014"/>
      <c r="AI442" s="2014"/>
      <c r="AJ442" s="2014"/>
    </row>
    <row r="443" spans="4:36" ht="13.2">
      <c r="D443" s="1894" t="s">
        <v>1528</v>
      </c>
      <c r="E443" s="1982"/>
      <c r="F443" s="1982"/>
      <c r="G443" s="1982"/>
      <c r="H443" s="1982"/>
      <c r="I443" s="1982"/>
      <c r="J443" s="1982"/>
      <c r="K443" s="1982"/>
      <c r="L443" s="1982"/>
      <c r="M443" s="1982"/>
      <c r="N443" s="1982"/>
      <c r="O443" s="1982"/>
      <c r="P443" s="1982"/>
      <c r="Q443" s="1982"/>
      <c r="R443" s="1982"/>
      <c r="S443" s="1982"/>
      <c r="T443" s="1982"/>
      <c r="U443" s="1982"/>
      <c r="V443" s="1982"/>
      <c r="W443" s="1982"/>
      <c r="X443" s="1982"/>
      <c r="Y443" s="1982"/>
      <c r="Z443" s="1982"/>
      <c r="AA443" s="1982"/>
      <c r="AB443" s="1982"/>
      <c r="AC443" s="1982"/>
      <c r="AD443" s="1982"/>
      <c r="AE443" s="1982"/>
      <c r="AF443" s="1983"/>
      <c r="AG443" s="2085">
        <f>AG435+AG439+AG441+AG442</f>
        <v>68125</v>
      </c>
      <c r="AH443" s="2085"/>
      <c r="AI443" s="2085"/>
      <c r="AJ443" s="2085"/>
    </row>
    <row r="444" spans="4:36" ht="13.2">
      <c r="D444" s="2115" t="s">
        <v>1961</v>
      </c>
      <c r="E444" s="2115"/>
      <c r="F444" s="2115"/>
      <c r="G444" s="2115"/>
      <c r="H444" s="2115"/>
      <c r="I444" s="2115"/>
      <c r="J444" s="2115"/>
      <c r="K444" s="2115"/>
      <c r="L444" s="2115"/>
      <c r="M444" s="2115"/>
      <c r="N444" s="2115"/>
      <c r="O444" s="2115"/>
      <c r="P444" s="2115"/>
      <c r="Q444" s="2115"/>
      <c r="R444" s="2115"/>
      <c r="S444" s="2115"/>
      <c r="T444" s="2115"/>
      <c r="U444" s="2115"/>
      <c r="V444" s="2115"/>
      <c r="W444" s="2115"/>
      <c r="X444" s="2115"/>
      <c r="Y444" s="2115"/>
      <c r="Z444" s="2115"/>
      <c r="AA444" s="2115"/>
      <c r="AB444" s="2115"/>
      <c r="AC444" s="2115"/>
      <c r="AD444" s="2115"/>
      <c r="AE444" s="2115"/>
      <c r="AF444" s="2115"/>
      <c r="AG444" s="2115"/>
      <c r="AH444" s="2115"/>
      <c r="AI444" s="2115"/>
      <c r="AJ444" s="2115"/>
    </row>
    <row r="445" spans="4:36" ht="13.95" customHeight="1">
      <c r="D445" s="2116"/>
      <c r="E445" s="2116"/>
      <c r="F445" s="2116"/>
      <c r="G445" s="2116"/>
      <c r="H445" s="2116"/>
      <c r="I445" s="2116"/>
      <c r="J445" s="2116"/>
      <c r="K445" s="2116"/>
      <c r="L445" s="2116"/>
      <c r="M445" s="2116"/>
      <c r="N445" s="2116"/>
      <c r="O445" s="2116"/>
      <c r="P445" s="2116"/>
      <c r="Q445" s="2116"/>
      <c r="R445" s="2116"/>
      <c r="S445" s="2116"/>
      <c r="T445" s="2116"/>
      <c r="U445" s="2116"/>
      <c r="V445" s="2116"/>
      <c r="W445" s="2116"/>
      <c r="X445" s="2116"/>
      <c r="Y445" s="2116"/>
      <c r="Z445" s="2116"/>
      <c r="AA445" s="2116"/>
      <c r="AB445" s="2116"/>
      <c r="AC445" s="2116"/>
      <c r="AD445" s="2116"/>
      <c r="AE445" s="2116"/>
      <c r="AF445" s="2116"/>
      <c r="AG445" s="2116"/>
      <c r="AH445" s="2116"/>
      <c r="AI445" s="2116"/>
      <c r="AJ445" s="2116"/>
    </row>
    <row r="446" spans="4:36" ht="13.2">
      <c r="D446" s="2114"/>
      <c r="E446" s="2114"/>
      <c r="F446" s="2114"/>
      <c r="G446" s="2114"/>
      <c r="H446" s="2114"/>
      <c r="I446" s="2114"/>
      <c r="J446" s="2114"/>
      <c r="K446" s="2114"/>
      <c r="L446" s="2114"/>
      <c r="M446" s="2114"/>
      <c r="N446" s="2114"/>
      <c r="O446" s="2114"/>
      <c r="P446" s="2114"/>
      <c r="Q446" s="2114"/>
      <c r="R446" s="2114"/>
      <c r="S446" s="2114"/>
      <c r="T446" s="2114"/>
      <c r="U446" s="2114"/>
      <c r="V446" s="2114"/>
      <c r="W446" s="2114"/>
      <c r="X446" s="2114"/>
      <c r="Y446" s="2114"/>
      <c r="Z446" s="2114"/>
      <c r="AA446" s="2114"/>
      <c r="AB446" s="2114"/>
      <c r="AC446" s="2114"/>
      <c r="AD446" s="2114"/>
      <c r="AE446" s="2114"/>
      <c r="AF446" s="2114"/>
      <c r="AG446" s="2114"/>
      <c r="AH446" s="2114"/>
      <c r="AI446" s="2114"/>
      <c r="AJ446" s="2114"/>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102">
        <f>'Sources and Uses Budget'!B104/Application!AG430</f>
        <v>534604.67777777778</v>
      </c>
      <c r="AD447" s="2102"/>
      <c r="AE447" s="2102"/>
      <c r="AF447" s="2102"/>
      <c r="AG447" s="2011"/>
      <c r="AH447" s="2011"/>
      <c r="AI447" s="2011"/>
      <c r="AJ447" s="2011"/>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102">
        <f>'Sources and Uses Budget'!C104/Application!AG430</f>
        <v>534604.67777777778</v>
      </c>
      <c r="AD448" s="2102"/>
      <c r="AE448" s="2102"/>
      <c r="AF448" s="2102"/>
      <c r="AG448" s="2011"/>
      <c r="AH448" s="2011"/>
      <c r="AI448" s="2011"/>
      <c r="AJ448" s="2011"/>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102">
        <f>('Sources and Uses Budget'!S106+'Sources and Uses Budget'!T106)/Application!AG430</f>
        <v>427764.53333333333</v>
      </c>
      <c r="AD449" s="2102"/>
      <c r="AE449" s="2102"/>
      <c r="AF449" s="2102"/>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9"/>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2001" t="s">
        <v>236</v>
      </c>
      <c r="E458" s="2002"/>
      <c r="F458" s="2002"/>
      <c r="G458" s="2002"/>
      <c r="H458" s="2002"/>
      <c r="I458" s="2002"/>
      <c r="J458" s="2002"/>
      <c r="K458" s="2002"/>
      <c r="L458" s="2002"/>
      <c r="M458" s="2002"/>
      <c r="N458" s="2002"/>
      <c r="O458" s="2002"/>
      <c r="P458" s="2002"/>
      <c r="Q458" s="2002"/>
      <c r="R458" s="2002"/>
      <c r="S458" s="2002"/>
      <c r="T458" s="2002"/>
      <c r="U458" s="2002"/>
      <c r="V458" s="2003"/>
      <c r="W458" s="1975">
        <v>44</v>
      </c>
      <c r="X458" s="1976"/>
      <c r="Y458" s="1977"/>
      <c r="Z458" s="495"/>
      <c r="AA458" s="495"/>
      <c r="AB458" s="495"/>
      <c r="AC458" s="495"/>
      <c r="AD458" s="495"/>
      <c r="AE458" s="495"/>
      <c r="AF458" s="495"/>
      <c r="AG458" s="495"/>
      <c r="AH458" s="495"/>
      <c r="AI458" s="495"/>
      <c r="AJ458" s="327"/>
      <c r="AK458" s="327"/>
      <c r="AL458" s="327"/>
    </row>
    <row r="459" spans="1:38" ht="12.75" customHeight="1">
      <c r="A459" s="327"/>
      <c r="B459" s="327"/>
      <c r="C459" s="327"/>
      <c r="D459" s="2001" t="s">
        <v>237</v>
      </c>
      <c r="E459" s="2002"/>
      <c r="F459" s="2002"/>
      <c r="G459" s="2002"/>
      <c r="H459" s="2002"/>
      <c r="I459" s="2002"/>
      <c r="J459" s="2002"/>
      <c r="K459" s="2002"/>
      <c r="L459" s="2002"/>
      <c r="M459" s="2002"/>
      <c r="N459" s="2002"/>
      <c r="O459" s="2002"/>
      <c r="P459" s="2002"/>
      <c r="Q459" s="2002"/>
      <c r="R459" s="2002"/>
      <c r="S459" s="2002"/>
      <c r="T459" s="2002"/>
      <c r="U459" s="2002"/>
      <c r="V459" s="2003"/>
      <c r="W459" s="1975" t="s">
        <v>136</v>
      </c>
      <c r="X459" s="1976"/>
      <c r="Y459" s="1977"/>
      <c r="Z459" s="495"/>
      <c r="AA459" s="495"/>
      <c r="AB459" s="495"/>
      <c r="AC459" s="495"/>
      <c r="AD459" s="495"/>
      <c r="AE459" s="495"/>
      <c r="AF459" s="495"/>
      <c r="AG459" s="495"/>
      <c r="AH459" s="495"/>
      <c r="AI459" s="495"/>
      <c r="AJ459" s="327"/>
      <c r="AK459" s="327"/>
      <c r="AL459" s="327"/>
    </row>
    <row r="460" spans="1:38" ht="12.75" customHeight="1">
      <c r="A460" s="327"/>
      <c r="B460" s="327"/>
      <c r="C460" s="327"/>
      <c r="D460" s="2001" t="s">
        <v>238</v>
      </c>
      <c r="E460" s="2002"/>
      <c r="F460" s="2002"/>
      <c r="G460" s="2002"/>
      <c r="H460" s="2002"/>
      <c r="I460" s="2002"/>
      <c r="J460" s="2002"/>
      <c r="K460" s="2002"/>
      <c r="L460" s="2002"/>
      <c r="M460" s="2002"/>
      <c r="N460" s="2002"/>
      <c r="O460" s="2002"/>
      <c r="P460" s="2002"/>
      <c r="Q460" s="2002"/>
      <c r="R460" s="2002"/>
      <c r="S460" s="2002"/>
      <c r="T460" s="2002"/>
      <c r="U460" s="2002"/>
      <c r="V460" s="2003"/>
      <c r="W460" s="1975">
        <v>44</v>
      </c>
      <c r="X460" s="1976"/>
      <c r="Y460" s="1977"/>
      <c r="Z460" s="495"/>
      <c r="AA460" s="495"/>
      <c r="AB460" s="495"/>
      <c r="AC460" s="495"/>
      <c r="AD460" s="495"/>
      <c r="AE460" s="495"/>
      <c r="AF460" s="495"/>
      <c r="AG460" s="495"/>
      <c r="AH460" s="495"/>
      <c r="AI460" s="495"/>
      <c r="AJ460" s="327"/>
      <c r="AK460" s="327"/>
      <c r="AL460" s="327"/>
    </row>
    <row r="461" spans="1:38" ht="12.75" customHeight="1">
      <c r="A461" s="327"/>
      <c r="B461" s="327"/>
      <c r="C461" s="327"/>
      <c r="D461" s="2001" t="s">
        <v>242</v>
      </c>
      <c r="E461" s="2002"/>
      <c r="F461" s="2002"/>
      <c r="G461" s="2002"/>
      <c r="H461" s="2002"/>
      <c r="I461" s="2002"/>
      <c r="J461" s="2002"/>
      <c r="K461" s="2002"/>
      <c r="L461" s="2002"/>
      <c r="M461" s="2002"/>
      <c r="N461" s="2002"/>
      <c r="O461" s="2002"/>
      <c r="P461" s="2002"/>
      <c r="Q461" s="2002"/>
      <c r="R461" s="2002"/>
      <c r="S461" s="2002"/>
      <c r="T461" s="2002"/>
      <c r="U461" s="2002"/>
      <c r="V461" s="2003"/>
      <c r="W461" s="1975" t="s">
        <v>136</v>
      </c>
      <c r="X461" s="1976"/>
      <c r="Y461" s="1977"/>
      <c r="Z461" s="495"/>
      <c r="AA461" s="495"/>
      <c r="AB461" s="495"/>
      <c r="AC461" s="495"/>
      <c r="AD461" s="495"/>
      <c r="AE461" s="495"/>
      <c r="AF461" s="495"/>
      <c r="AG461" s="495"/>
      <c r="AH461" s="495"/>
      <c r="AI461" s="495"/>
      <c r="AJ461" s="327"/>
      <c r="AK461" s="327"/>
      <c r="AL461" s="327"/>
    </row>
    <row r="462" spans="1:38" ht="12.75" customHeight="1">
      <c r="A462" s="327"/>
      <c r="B462" s="327"/>
      <c r="C462" s="327"/>
      <c r="D462" s="2012" t="s">
        <v>1228</v>
      </c>
      <c r="E462" s="2002"/>
      <c r="F462" s="2002"/>
      <c r="G462" s="2002"/>
      <c r="H462" s="2002"/>
      <c r="I462" s="2002"/>
      <c r="J462" s="2002"/>
      <c r="K462" s="2002"/>
      <c r="L462" s="2002"/>
      <c r="M462" s="2002"/>
      <c r="N462" s="2002"/>
      <c r="O462" s="2002"/>
      <c r="P462" s="2002"/>
      <c r="Q462" s="2002"/>
      <c r="R462" s="2002"/>
      <c r="S462" s="2002"/>
      <c r="T462" s="2002"/>
      <c r="U462" s="2002"/>
      <c r="V462" s="2003"/>
      <c r="W462" s="1975" t="s">
        <v>136</v>
      </c>
      <c r="X462" s="1976"/>
      <c r="Y462" s="1977"/>
      <c r="Z462" s="495"/>
      <c r="AA462" s="495"/>
      <c r="AB462" s="495"/>
      <c r="AC462" s="495"/>
      <c r="AD462" s="495"/>
      <c r="AE462" s="495"/>
      <c r="AF462" s="495"/>
      <c r="AG462" s="495"/>
      <c r="AH462" s="495"/>
      <c r="AI462" s="495"/>
      <c r="AJ462" s="327"/>
      <c r="AK462" s="327"/>
      <c r="AL462" s="327"/>
    </row>
    <row r="463" spans="1:38" ht="12.75" customHeight="1">
      <c r="A463" s="327"/>
      <c r="B463" s="327"/>
      <c r="C463" s="327"/>
      <c r="D463" s="2001" t="s">
        <v>246</v>
      </c>
      <c r="E463" s="2002"/>
      <c r="F463" s="2002"/>
      <c r="G463" s="2002"/>
      <c r="H463" s="2002"/>
      <c r="I463" s="2002"/>
      <c r="J463" s="2002"/>
      <c r="K463" s="2002"/>
      <c r="L463" s="2002"/>
      <c r="M463" s="2002"/>
      <c r="N463" s="2002"/>
      <c r="O463" s="2002"/>
      <c r="P463" s="2002"/>
      <c r="Q463" s="2002"/>
      <c r="R463" s="2002"/>
      <c r="S463" s="2002"/>
      <c r="T463" s="2002"/>
      <c r="U463" s="2002"/>
      <c r="V463" s="2003"/>
      <c r="W463" s="1975" t="s">
        <v>136</v>
      </c>
      <c r="X463" s="1976"/>
      <c r="Y463" s="1977"/>
      <c r="Z463" s="495"/>
      <c r="AA463" s="495"/>
      <c r="AB463" s="495"/>
      <c r="AC463" s="495"/>
      <c r="AD463" s="495"/>
      <c r="AE463" s="495"/>
      <c r="AF463" s="495"/>
      <c r="AG463" s="495"/>
      <c r="AH463" s="495"/>
      <c r="AI463" s="495"/>
      <c r="AJ463" s="327"/>
      <c r="AK463" s="327"/>
      <c r="AL463" s="327"/>
    </row>
    <row r="464" spans="1:38" ht="12.75" customHeight="1">
      <c r="A464" s="884"/>
      <c r="B464" s="884"/>
      <c r="C464" s="884"/>
      <c r="D464" s="2012" t="s">
        <v>1446</v>
      </c>
      <c r="E464" s="2107"/>
      <c r="F464" s="2107"/>
      <c r="G464" s="2107"/>
      <c r="H464" s="2107"/>
      <c r="I464" s="2107"/>
      <c r="J464" s="2107"/>
      <c r="K464" s="2107"/>
      <c r="L464" s="2107"/>
      <c r="M464" s="2107"/>
      <c r="N464" s="2107"/>
      <c r="O464" s="2107"/>
      <c r="P464" s="2107"/>
      <c r="Q464" s="2107"/>
      <c r="R464" s="2107"/>
      <c r="S464" s="2107"/>
      <c r="T464" s="2107"/>
      <c r="U464" s="2107"/>
      <c r="V464" s="2108"/>
      <c r="W464" s="2090" t="s">
        <v>136</v>
      </c>
      <c r="X464" s="2091"/>
      <c r="Y464" s="2092"/>
      <c r="Z464" s="885"/>
      <c r="AA464" s="885"/>
      <c r="AB464" s="885"/>
      <c r="AC464" s="885"/>
      <c r="AD464" s="886"/>
      <c r="AE464" s="886"/>
      <c r="AF464" s="886"/>
      <c r="AG464" s="886"/>
      <c r="AH464" s="886"/>
      <c r="AI464" s="886"/>
      <c r="AJ464" s="583"/>
    </row>
    <row r="465" spans="1:97" ht="12.75" customHeight="1">
      <c r="A465" s="327"/>
      <c r="B465" s="327"/>
      <c r="C465" s="327"/>
      <c r="D465" s="654" t="s">
        <v>311</v>
      </c>
      <c r="E465" s="655"/>
      <c r="F465" s="656"/>
      <c r="G465" s="2081"/>
      <c r="H465" s="2082"/>
      <c r="I465" s="2082"/>
      <c r="J465" s="2082"/>
      <c r="K465" s="2082"/>
      <c r="L465" s="2082"/>
      <c r="M465" s="2082"/>
      <c r="N465" s="2082"/>
      <c r="O465" s="2082"/>
      <c r="P465" s="2082"/>
      <c r="Q465" s="2082"/>
      <c r="R465" s="2082"/>
      <c r="S465" s="2082"/>
      <c r="T465" s="2082"/>
      <c r="U465" s="2082"/>
      <c r="V465" s="2083"/>
      <c r="W465" s="1975" t="s">
        <v>136</v>
      </c>
      <c r="X465" s="1976"/>
      <c r="Y465" s="1977"/>
      <c r="Z465" s="495"/>
      <c r="AA465" s="495"/>
      <c r="AB465" s="495"/>
      <c r="AC465" s="495"/>
      <c r="AD465" s="495"/>
      <c r="AE465" s="495"/>
      <c r="AF465" s="495"/>
      <c r="AG465" s="495"/>
      <c r="AH465" s="495"/>
      <c r="AI465" s="495"/>
      <c r="AJ465" s="327"/>
      <c r="AK465" s="327"/>
      <c r="AL465" s="327"/>
      <c r="AM465" s="887"/>
      <c r="AN465" s="887"/>
      <c r="AO465" s="887"/>
      <c r="AP465" s="887"/>
      <c r="AQ465" s="887"/>
      <c r="AR465" s="887"/>
      <c r="AS465" s="887"/>
      <c r="AT465" s="887"/>
      <c r="AU465" s="887"/>
      <c r="AV465" s="887"/>
      <c r="AW465" s="887"/>
      <c r="AX465" s="887"/>
      <c r="AY465" s="887"/>
      <c r="AZ465" s="887"/>
      <c r="BA465" s="887"/>
      <c r="BB465" s="887"/>
      <c r="BC465" s="887"/>
      <c r="BD465" s="887"/>
      <c r="BE465" s="887"/>
      <c r="BF465" s="887"/>
      <c r="BG465" s="887"/>
      <c r="BH465" s="887"/>
      <c r="BI465" s="887"/>
      <c r="BJ465" s="887"/>
      <c r="BK465" s="887"/>
      <c r="BL465" s="887"/>
      <c r="BM465" s="887"/>
      <c r="BN465" s="887"/>
      <c r="BO465" s="887"/>
      <c r="BP465" s="887"/>
      <c r="BQ465" s="887"/>
      <c r="BR465" s="887"/>
      <c r="BS465" s="887"/>
      <c r="BT465" s="887"/>
      <c r="BU465" s="887"/>
      <c r="BV465" s="887"/>
      <c r="BW465" s="887"/>
      <c r="BX465" s="887"/>
      <c r="BY465" s="887"/>
      <c r="BZ465" s="887"/>
      <c r="CA465" s="887"/>
      <c r="CB465" s="887"/>
      <c r="CC465" s="887"/>
      <c r="CD465" s="887"/>
      <c r="CE465" s="887"/>
      <c r="CF465" s="887"/>
      <c r="CG465" s="887"/>
      <c r="CH465" s="887"/>
      <c r="CI465" s="887"/>
      <c r="CJ465" s="887"/>
      <c r="CK465" s="887"/>
      <c r="CL465" s="887"/>
      <c r="CM465" s="887"/>
      <c r="CN465" s="887"/>
      <c r="CO465" s="887"/>
      <c r="CP465" s="887"/>
      <c r="CQ465" s="887"/>
      <c r="CR465" s="887"/>
      <c r="CS465" s="887"/>
    </row>
    <row r="466" spans="1:97" ht="12.75" customHeight="1">
      <c r="A466" s="327"/>
      <c r="B466" s="327"/>
      <c r="C466" s="327"/>
      <c r="D466" s="685" t="s">
        <v>1447</v>
      </c>
      <c r="E466" s="657"/>
      <c r="F466" s="657"/>
      <c r="G466" s="498"/>
      <c r="H466" s="498"/>
      <c r="I466" s="498"/>
      <c r="J466" s="498"/>
      <c r="K466" s="498"/>
      <c r="L466" s="498"/>
      <c r="M466" s="498"/>
      <c r="N466" s="498"/>
      <c r="O466" s="498"/>
      <c r="P466" s="498"/>
      <c r="Q466" s="498"/>
      <c r="R466" s="498"/>
      <c r="S466" s="498"/>
      <c r="T466" s="498"/>
      <c r="U466" s="498"/>
      <c r="V466" s="498"/>
      <c r="W466" s="647"/>
      <c r="X466" s="647"/>
      <c r="Y466" s="648"/>
      <c r="Z466" s="495"/>
      <c r="AA466" s="495"/>
      <c r="AB466" s="495"/>
      <c r="AC466" s="495"/>
      <c r="AD466" s="495"/>
      <c r="AE466" s="495"/>
      <c r="AF466" s="495"/>
      <c r="AG466" s="495"/>
      <c r="AH466" s="495"/>
      <c r="AI466" s="495"/>
      <c r="AJ466" s="327"/>
      <c r="AK466" s="327"/>
      <c r="AL466" s="327"/>
    </row>
    <row r="467" spans="1:97" ht="12.75" customHeight="1">
      <c r="A467" s="327"/>
      <c r="B467" s="327"/>
      <c r="C467" s="327"/>
      <c r="D467" s="658" t="s">
        <v>2467</v>
      </c>
      <c r="E467" s="659"/>
      <c r="F467" s="659"/>
      <c r="G467" s="659"/>
      <c r="H467" s="659"/>
      <c r="I467" s="659"/>
      <c r="J467" s="659"/>
      <c r="K467" s="659"/>
      <c r="L467" s="659"/>
      <c r="M467" s="659"/>
      <c r="N467" s="659"/>
      <c r="O467" s="659"/>
      <c r="P467" s="659"/>
      <c r="Q467" s="659"/>
      <c r="R467" s="659"/>
      <c r="S467" s="659"/>
      <c r="T467" s="659"/>
      <c r="U467" s="659"/>
      <c r="V467" s="659"/>
      <c r="W467" s="660"/>
      <c r="X467" s="660"/>
      <c r="Y467" s="661"/>
      <c r="Z467" s="495"/>
      <c r="AA467" s="495"/>
      <c r="AB467" s="495"/>
      <c r="AC467" s="495"/>
      <c r="AD467" s="495"/>
      <c r="AE467" s="495"/>
      <c r="AF467" s="495"/>
      <c r="AG467" s="495"/>
      <c r="AH467" s="495"/>
      <c r="AI467" s="495"/>
      <c r="AJ467" s="327"/>
      <c r="AK467" s="327"/>
      <c r="AL467" s="327"/>
    </row>
    <row r="468" spans="1:97" ht="12.75" customHeight="1">
      <c r="A468" s="327"/>
      <c r="B468" s="327"/>
      <c r="C468" s="327"/>
      <c r="D468" s="658"/>
      <c r="E468" s="659"/>
      <c r="F468" s="659"/>
      <c r="G468" s="659"/>
      <c r="H468" s="659"/>
      <c r="I468" s="659"/>
      <c r="J468" s="659"/>
      <c r="K468" s="659"/>
      <c r="L468" s="659"/>
      <c r="M468" s="659"/>
      <c r="N468" s="659"/>
      <c r="O468" s="659"/>
      <c r="P468" s="659"/>
      <c r="Q468" s="659"/>
      <c r="R468" s="659"/>
      <c r="S468" s="659"/>
      <c r="T468" s="659"/>
      <c r="U468" s="659"/>
      <c r="V468" s="659"/>
      <c r="W468" s="660"/>
      <c r="X468" s="660"/>
      <c r="Y468" s="661"/>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2093" t="s">
        <v>239</v>
      </c>
      <c r="E469" s="2094"/>
      <c r="F469" s="2094"/>
      <c r="G469" s="2094"/>
      <c r="H469" s="2094"/>
      <c r="I469" s="2094"/>
      <c r="J469" s="2094"/>
      <c r="K469" s="2094"/>
      <c r="L469" s="2094"/>
      <c r="M469" s="2094"/>
      <c r="N469" s="2094"/>
      <c r="O469" s="2094"/>
      <c r="P469" s="2094"/>
      <c r="Q469" s="2094"/>
      <c r="R469" s="2094"/>
      <c r="S469" s="2094"/>
      <c r="T469" s="2094"/>
      <c r="U469" s="2094"/>
      <c r="V469" s="2094"/>
      <c r="W469" s="2095"/>
      <c r="X469" s="2095"/>
      <c r="Y469" s="209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2001" t="s">
        <v>240</v>
      </c>
      <c r="E470" s="2002"/>
      <c r="F470" s="2002"/>
      <c r="G470" s="2002"/>
      <c r="H470" s="2002"/>
      <c r="I470" s="2002"/>
      <c r="J470" s="2002"/>
      <c r="K470" s="2002"/>
      <c r="L470" s="2002"/>
      <c r="M470" s="2002"/>
      <c r="N470" s="2002"/>
      <c r="O470" s="2002"/>
      <c r="P470" s="2002"/>
      <c r="Q470" s="2002"/>
      <c r="R470" s="2002"/>
      <c r="S470" s="2002"/>
      <c r="T470" s="2002"/>
      <c r="U470" s="2002"/>
      <c r="V470" s="2003"/>
      <c r="W470" s="1975" t="s">
        <v>136</v>
      </c>
      <c r="X470" s="1976"/>
      <c r="Y470" s="1977"/>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89" t="s">
        <v>1141</v>
      </c>
      <c r="B473" s="1689"/>
      <c r="C473" s="1689"/>
      <c r="D473" s="1689"/>
      <c r="E473" s="1689"/>
      <c r="F473" s="1689"/>
      <c r="G473" s="1689"/>
      <c r="H473" s="1689"/>
      <c r="I473" s="1689"/>
      <c r="J473" s="1689"/>
      <c r="K473" s="1689"/>
      <c r="L473" s="1689"/>
      <c r="M473" s="1689"/>
      <c r="N473" s="1689"/>
      <c r="O473" s="1689"/>
      <c r="P473" s="1689"/>
      <c r="Q473" s="1689"/>
      <c r="R473" s="1689"/>
      <c r="S473" s="1689"/>
      <c r="T473" s="1689"/>
      <c r="U473" s="1689"/>
      <c r="V473" s="1689"/>
      <c r="W473" s="1689"/>
      <c r="X473" s="1689"/>
      <c r="Y473" s="1689"/>
      <c r="Z473" s="1689"/>
      <c r="AA473" s="1689"/>
      <c r="AB473" s="1689"/>
      <c r="AC473" s="1689"/>
      <c r="AD473" s="1689"/>
      <c r="AE473" s="1689"/>
      <c r="AF473" s="1689"/>
      <c r="AG473" s="1689"/>
      <c r="AH473" s="1689"/>
      <c r="AI473" s="1689"/>
      <c r="AJ473" s="1689"/>
      <c r="AK473" s="1689"/>
      <c r="AL473" s="1689"/>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90"/>
      <c r="B474" s="1690"/>
      <c r="C474" s="1690"/>
      <c r="D474" s="1690"/>
      <c r="E474" s="1690"/>
      <c r="F474" s="1690"/>
      <c r="G474" s="1690"/>
      <c r="H474" s="1690"/>
      <c r="I474" s="1690"/>
      <c r="J474" s="1690"/>
      <c r="K474" s="1690"/>
      <c r="L474" s="1690"/>
      <c r="M474" s="1690"/>
      <c r="N474" s="1690"/>
      <c r="O474" s="1690"/>
      <c r="P474" s="1690"/>
      <c r="Q474" s="1690"/>
      <c r="R474" s="1690"/>
      <c r="S474" s="1690"/>
      <c r="T474" s="1690"/>
      <c r="U474" s="1690"/>
      <c r="V474" s="1690"/>
      <c r="W474" s="1690"/>
      <c r="X474" s="1690"/>
      <c r="Y474" s="1690"/>
      <c r="Z474" s="1690"/>
      <c r="AA474" s="1690"/>
      <c r="AB474" s="1690"/>
      <c r="AC474" s="1690"/>
      <c r="AD474" s="1690"/>
      <c r="AE474" s="1690"/>
      <c r="AF474" s="1690"/>
      <c r="AG474" s="1690"/>
      <c r="AH474" s="1690"/>
      <c r="AI474" s="1690"/>
      <c r="AJ474" s="1690"/>
      <c r="AK474" s="1690"/>
      <c r="AL474" s="169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79" t="s">
        <v>1142</v>
      </c>
      <c r="U478" s="1980"/>
      <c r="V478" s="1980"/>
      <c r="W478" s="1980"/>
      <c r="X478" s="1980"/>
      <c r="Y478" s="1980"/>
      <c r="Z478" s="1980"/>
      <c r="AA478" s="1980"/>
      <c r="AB478" s="1980"/>
      <c r="AC478" s="1980"/>
      <c r="AD478" s="1980"/>
      <c r="AE478" s="1980"/>
      <c r="AF478" s="1980"/>
      <c r="AG478" s="1980"/>
      <c r="AH478" s="198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10" t="s">
        <v>873</v>
      </c>
      <c r="U479" s="2010"/>
      <c r="V479" s="2010"/>
      <c r="W479" s="2010"/>
      <c r="X479" s="2010"/>
      <c r="Y479" s="2010" t="s">
        <v>874</v>
      </c>
      <c r="Z479" s="2010"/>
      <c r="AA479" s="2010"/>
      <c r="AB479" s="2010"/>
      <c r="AC479" s="2010"/>
      <c r="AD479" s="2010" t="s">
        <v>934</v>
      </c>
      <c r="AE479" s="2010"/>
      <c r="AF479" s="2010"/>
      <c r="AG479" s="2010"/>
      <c r="AH479" s="201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10"/>
      <c r="U480" s="2010"/>
      <c r="V480" s="2010"/>
      <c r="W480" s="2010"/>
      <c r="X480" s="2010"/>
      <c r="Y480" s="2010"/>
      <c r="Z480" s="2010"/>
      <c r="AA480" s="2010"/>
      <c r="AB480" s="2010"/>
      <c r="AC480" s="2010"/>
      <c r="AD480" s="2010"/>
      <c r="AE480" s="2010"/>
      <c r="AF480" s="2010"/>
      <c r="AG480" s="2010"/>
      <c r="AH480" s="201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74">
        <v>0</v>
      </c>
      <c r="U481" s="1974"/>
      <c r="V481" s="1974"/>
      <c r="W481" s="1974"/>
      <c r="X481" s="1974"/>
      <c r="Y481" s="1974">
        <v>0</v>
      </c>
      <c r="Z481" s="1974"/>
      <c r="AA481" s="1974"/>
      <c r="AB481" s="1974"/>
      <c r="AC481" s="1974"/>
      <c r="AD481" s="1974">
        <v>43865</v>
      </c>
      <c r="AE481" s="1974"/>
      <c r="AF481" s="1974"/>
      <c r="AG481" s="1974"/>
      <c r="AH481" s="197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74">
        <v>0</v>
      </c>
      <c r="U482" s="1974"/>
      <c r="V482" s="1974"/>
      <c r="W482" s="1974"/>
      <c r="X482" s="1974"/>
      <c r="Y482" s="1974">
        <v>0</v>
      </c>
      <c r="Z482" s="1974"/>
      <c r="AA482" s="1974"/>
      <c r="AB482" s="1974"/>
      <c r="AC482" s="1974"/>
      <c r="AD482" s="1974">
        <v>43865</v>
      </c>
      <c r="AE482" s="1974"/>
      <c r="AF482" s="1974"/>
      <c r="AG482" s="1974"/>
      <c r="AH482" s="197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74">
        <v>0</v>
      </c>
      <c r="U483" s="1974"/>
      <c r="V483" s="1974"/>
      <c r="W483" s="1974"/>
      <c r="X483" s="1974"/>
      <c r="Y483" s="1974">
        <v>0</v>
      </c>
      <c r="Z483" s="1974"/>
      <c r="AA483" s="1974"/>
      <c r="AB483" s="1974"/>
      <c r="AC483" s="1974"/>
      <c r="AD483" s="1974">
        <v>44081</v>
      </c>
      <c r="AE483" s="1974"/>
      <c r="AF483" s="1974"/>
      <c r="AG483" s="1974"/>
      <c r="AH483" s="197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74">
        <v>0</v>
      </c>
      <c r="U484" s="1974"/>
      <c r="V484" s="1974"/>
      <c r="W484" s="1974"/>
      <c r="X484" s="1974"/>
      <c r="Y484" s="1974">
        <v>0</v>
      </c>
      <c r="Z484" s="1974"/>
      <c r="AA484" s="1974"/>
      <c r="AB484" s="1974"/>
      <c r="AC484" s="1974"/>
      <c r="AD484" s="1974">
        <v>43494</v>
      </c>
      <c r="AE484" s="1974"/>
      <c r="AF484" s="1974"/>
      <c r="AG484" s="1974"/>
      <c r="AH484" s="197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74">
        <v>0</v>
      </c>
      <c r="U485" s="1974"/>
      <c r="V485" s="1974"/>
      <c r="W485" s="1974"/>
      <c r="X485" s="1974"/>
      <c r="Y485" s="1974">
        <v>0</v>
      </c>
      <c r="Z485" s="1974"/>
      <c r="AA485" s="1974"/>
      <c r="AB485" s="1974"/>
      <c r="AC485" s="1974"/>
      <c r="AD485" s="1974" t="s">
        <v>136</v>
      </c>
      <c r="AE485" s="1974"/>
      <c r="AF485" s="1974"/>
      <c r="AG485" s="1974"/>
      <c r="AH485" s="197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74">
        <v>0</v>
      </c>
      <c r="U486" s="1974"/>
      <c r="V486" s="1974"/>
      <c r="W486" s="1974"/>
      <c r="X486" s="1974"/>
      <c r="Y486" s="1974">
        <v>0</v>
      </c>
      <c r="Z486" s="1974"/>
      <c r="AA486" s="1974"/>
      <c r="AB486" s="1974"/>
      <c r="AC486" s="1974"/>
      <c r="AD486" s="1974" t="s">
        <v>136</v>
      </c>
      <c r="AE486" s="1974"/>
      <c r="AF486" s="1974"/>
      <c r="AG486" s="1974"/>
      <c r="AH486" s="197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74" t="s">
        <v>2469</v>
      </c>
      <c r="U487" s="1974"/>
      <c r="V487" s="1974"/>
      <c r="W487" s="1974"/>
      <c r="X487" s="1974"/>
      <c r="Y487" s="1974">
        <v>0</v>
      </c>
      <c r="Z487" s="1974"/>
      <c r="AA487" s="1974"/>
      <c r="AB487" s="1974"/>
      <c r="AC487" s="1974"/>
      <c r="AD487" s="1974">
        <v>43879</v>
      </c>
      <c r="AE487" s="1974"/>
      <c r="AF487" s="1974"/>
      <c r="AG487" s="1974"/>
      <c r="AH487" s="197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74">
        <v>0</v>
      </c>
      <c r="U488" s="1974"/>
      <c r="V488" s="1974"/>
      <c r="W488" s="1974"/>
      <c r="X488" s="1974"/>
      <c r="Y488" s="1974">
        <v>0</v>
      </c>
      <c r="Z488" s="1974"/>
      <c r="AA488" s="1974"/>
      <c r="AB488" s="1974"/>
      <c r="AC488" s="1974"/>
      <c r="AD488" s="1974">
        <v>43879</v>
      </c>
      <c r="AE488" s="1974"/>
      <c r="AF488" s="1974"/>
      <c r="AG488" s="1974"/>
      <c r="AH488" s="197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4"/>
      <c r="U489" s="1974"/>
      <c r="V489" s="1974"/>
      <c r="W489" s="1974"/>
      <c r="X489" s="1974"/>
      <c r="Y489" s="1974">
        <v>0</v>
      </c>
      <c r="Z489" s="1974"/>
      <c r="AA489" s="1974"/>
      <c r="AB489" s="1974"/>
      <c r="AC489" s="1974"/>
      <c r="AD489" s="1974" t="s">
        <v>136</v>
      </c>
      <c r="AE489" s="1974"/>
      <c r="AF489" s="1974"/>
      <c r="AG489" s="1974"/>
      <c r="AH489" s="197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1421</v>
      </c>
      <c r="F490" s="94"/>
      <c r="G490" s="94"/>
      <c r="H490" s="94"/>
      <c r="I490" s="94"/>
      <c r="J490" s="94"/>
      <c r="K490" s="94"/>
      <c r="L490" s="94"/>
      <c r="M490" s="94"/>
      <c r="N490" s="94"/>
      <c r="O490" s="94"/>
      <c r="P490" s="94"/>
      <c r="Q490" s="94"/>
      <c r="R490" s="94"/>
      <c r="S490" s="94"/>
      <c r="T490" s="1974" t="s">
        <v>2468</v>
      </c>
      <c r="U490" s="1974"/>
      <c r="V490" s="1974"/>
      <c r="W490" s="1974"/>
      <c r="X490" s="1974"/>
      <c r="Y490" s="1974"/>
      <c r="Z490" s="1974"/>
      <c r="AA490" s="1974"/>
      <c r="AB490" s="1974"/>
      <c r="AC490" s="1974"/>
      <c r="AD490" s="1974">
        <v>43879</v>
      </c>
      <c r="AE490" s="1974"/>
      <c r="AF490" s="1974"/>
      <c r="AG490" s="1974"/>
      <c r="AH490" s="197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79" t="s">
        <v>266</v>
      </c>
      <c r="R492" s="1980"/>
      <c r="S492" s="1980"/>
      <c r="T492" s="1980"/>
      <c r="U492" s="1980"/>
      <c r="V492" s="1980"/>
      <c r="W492" s="1980"/>
      <c r="X492" s="1980"/>
      <c r="Y492" s="1980"/>
      <c r="Z492" s="1980"/>
      <c r="AA492" s="1980"/>
      <c r="AB492" s="1980"/>
      <c r="AC492" s="1980"/>
      <c r="AD492" s="1980"/>
      <c r="AE492" s="1980"/>
      <c r="AF492" s="1980"/>
      <c r="AG492" s="1980"/>
      <c r="AH492" s="1980"/>
      <c r="AI492" s="1980"/>
      <c r="AJ492" s="1980"/>
      <c r="AK492" s="198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728" t="s">
        <v>2470</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2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728" t="s">
        <v>2471</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2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728" t="s">
        <v>2472</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2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4" t="s">
        <v>270</v>
      </c>
      <c r="C496" s="2005"/>
      <c r="D496" s="2005"/>
      <c r="E496" s="2005"/>
      <c r="F496" s="2005"/>
      <c r="G496" s="2005"/>
      <c r="H496" s="2005"/>
      <c r="I496" s="2005"/>
      <c r="J496" s="2005"/>
      <c r="K496" s="2005"/>
      <c r="L496" s="2005"/>
      <c r="M496" s="2005"/>
      <c r="N496" s="2005"/>
      <c r="O496" s="2005"/>
      <c r="P496" s="2006"/>
      <c r="Q496" s="2124" t="s">
        <v>531</v>
      </c>
      <c r="R496" s="2125"/>
      <c r="S496" s="2128" t="s">
        <v>58</v>
      </c>
      <c r="T496" s="2129"/>
      <c r="U496" s="2129"/>
      <c r="V496" s="2129"/>
      <c r="W496" s="2129"/>
      <c r="X496" s="2129"/>
      <c r="Y496" s="2129"/>
      <c r="Z496" s="2129"/>
      <c r="AA496" s="2129"/>
      <c r="AB496" s="2129"/>
      <c r="AC496" s="2129"/>
      <c r="AD496" s="2129"/>
      <c r="AE496" s="2129"/>
      <c r="AF496" s="2129"/>
      <c r="AG496" s="2129"/>
      <c r="AH496" s="2129"/>
      <c r="AI496" s="2129"/>
      <c r="AJ496" s="2129"/>
      <c r="AK496" s="213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07"/>
      <c r="C497" s="2008"/>
      <c r="D497" s="2008"/>
      <c r="E497" s="2008"/>
      <c r="F497" s="2008"/>
      <c r="G497" s="2008"/>
      <c r="H497" s="2008"/>
      <c r="I497" s="2008"/>
      <c r="J497" s="2008"/>
      <c r="K497" s="2008"/>
      <c r="L497" s="2008"/>
      <c r="M497" s="2008"/>
      <c r="N497" s="2008"/>
      <c r="O497" s="2008"/>
      <c r="P497" s="2009"/>
      <c r="Q497" s="2126"/>
      <c r="R497" s="2127"/>
      <c r="S497" s="2131"/>
      <c r="T497" s="2132"/>
      <c r="U497" s="2132"/>
      <c r="V497" s="2132"/>
      <c r="W497" s="2132"/>
      <c r="X497" s="2132"/>
      <c r="Y497" s="2132"/>
      <c r="Z497" s="2132"/>
      <c r="AA497" s="2132"/>
      <c r="AB497" s="2132"/>
      <c r="AC497" s="2132"/>
      <c r="AD497" s="2132"/>
      <c r="AE497" s="2132"/>
      <c r="AF497" s="2132"/>
      <c r="AG497" s="2132"/>
      <c r="AH497" s="2132"/>
      <c r="AI497" s="2132"/>
      <c r="AJ497" s="2132"/>
      <c r="AK497" s="213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0" t="s">
        <v>2272</v>
      </c>
      <c r="C498" s="1396"/>
      <c r="D498" s="1396"/>
      <c r="E498" s="1396"/>
      <c r="F498" s="1396"/>
      <c r="G498" s="1396"/>
      <c r="H498" s="1396"/>
      <c r="I498" s="1396"/>
      <c r="J498" s="1396"/>
      <c r="K498" s="1396"/>
      <c r="L498" s="1396"/>
      <c r="M498" s="1396"/>
      <c r="N498" s="1396"/>
      <c r="O498" s="1396"/>
      <c r="P498" s="1396"/>
      <c r="Q498" s="2134" t="s">
        <v>531</v>
      </c>
      <c r="R498" s="2135"/>
      <c r="S498" s="2135"/>
      <c r="T498" s="2135"/>
      <c r="U498" s="2135"/>
      <c r="V498" s="2135"/>
      <c r="W498" s="2135"/>
      <c r="X498" s="2135"/>
      <c r="Y498" s="2135"/>
      <c r="Z498" s="2135"/>
      <c r="AA498" s="2135"/>
      <c r="AB498" s="2135"/>
      <c r="AC498" s="2135"/>
      <c r="AD498" s="2135"/>
      <c r="AE498" s="2135"/>
      <c r="AF498" s="2135"/>
      <c r="AG498" s="2135"/>
      <c r="AH498" s="2135"/>
      <c r="AI498" s="2135"/>
      <c r="AJ498" s="2135"/>
      <c r="AK498" s="213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728" t="s">
        <v>2473</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2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728" t="s">
        <v>2474</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2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2273</v>
      </c>
      <c r="C501" s="91"/>
      <c r="D501" s="91"/>
      <c r="E501" s="91"/>
      <c r="F501" s="91"/>
      <c r="G501" s="91"/>
      <c r="H501" s="91"/>
      <c r="I501" s="91"/>
      <c r="J501" s="91"/>
      <c r="K501" s="91"/>
      <c r="L501" s="91"/>
      <c r="M501" s="91"/>
      <c r="N501" s="91"/>
      <c r="O501" s="91"/>
      <c r="P501" s="91"/>
      <c r="Q501" s="1728" t="s">
        <v>2524</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2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2274</v>
      </c>
      <c r="C502" s="91"/>
      <c r="D502" s="91"/>
      <c r="E502" s="91"/>
      <c r="F502" s="91"/>
      <c r="G502" s="91"/>
      <c r="H502" s="91"/>
      <c r="I502" s="91"/>
      <c r="J502" s="91"/>
      <c r="K502" s="91"/>
      <c r="L502" s="91"/>
      <c r="M502" s="1800"/>
      <c r="N502" s="1697"/>
      <c r="O502" s="1697"/>
      <c r="P502" s="1801"/>
      <c r="Q502" s="1431" t="s">
        <v>2275</v>
      </c>
      <c r="R502" s="1432"/>
      <c r="S502" s="1432"/>
      <c r="T502" s="1432"/>
      <c r="U502" s="1432"/>
      <c r="V502" s="1432"/>
      <c r="W502" s="1432"/>
      <c r="X502" s="1432"/>
      <c r="Y502" s="1432"/>
      <c r="Z502" s="1432"/>
      <c r="AA502" s="1432"/>
      <c r="AB502" s="1432"/>
      <c r="AC502" s="1432"/>
      <c r="AD502" s="1432"/>
      <c r="AE502" s="1432"/>
      <c r="AF502" s="1432"/>
      <c r="AG502" s="1432"/>
      <c r="AH502" s="1800">
        <v>78</v>
      </c>
      <c r="AI502" s="1697"/>
      <c r="AJ502" s="1697"/>
      <c r="AK502" s="180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9" t="s">
        <v>274</v>
      </c>
      <c r="AD506" s="1980"/>
      <c r="AE506" s="1980"/>
      <c r="AF506" s="1980"/>
      <c r="AG506" s="1980"/>
      <c r="AH506" s="1980"/>
      <c r="AI506" s="1980"/>
      <c r="AJ506" s="1980"/>
      <c r="AK506" s="198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6" t="s">
        <v>275</v>
      </c>
      <c r="AD507" s="2087"/>
      <c r="AE507" s="2087"/>
      <c r="AF507" s="2087"/>
      <c r="AG507" s="96" t="s">
        <v>276</v>
      </c>
      <c r="AH507" s="2087" t="s">
        <v>277</v>
      </c>
      <c r="AI507" s="2087"/>
      <c r="AJ507" s="2087"/>
      <c r="AK507" s="210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61" t="s">
        <v>278</v>
      </c>
      <c r="C508" s="1862"/>
      <c r="D508" s="1862"/>
      <c r="E508" s="1862"/>
      <c r="F508" s="1862"/>
      <c r="G508" s="1862"/>
      <c r="H508" s="1863"/>
      <c r="I508" s="86" t="s">
        <v>737</v>
      </c>
      <c r="J508" s="86"/>
      <c r="K508" s="86"/>
      <c r="L508" s="86"/>
      <c r="M508" s="86"/>
      <c r="N508" s="86"/>
      <c r="O508" s="86"/>
      <c r="P508" s="86"/>
      <c r="Q508" s="86"/>
      <c r="R508" s="86"/>
      <c r="S508" s="86"/>
      <c r="T508" s="86"/>
      <c r="U508" s="86"/>
      <c r="V508" s="86"/>
      <c r="W508" s="86"/>
      <c r="X508" s="35"/>
      <c r="Y508" s="35"/>
      <c r="AC508" s="1978">
        <v>2</v>
      </c>
      <c r="AD508" s="1870"/>
      <c r="AE508" s="1870"/>
      <c r="AF508" s="1870"/>
      <c r="AG508" s="89" t="s">
        <v>276</v>
      </c>
      <c r="AH508" s="1731">
        <v>2020</v>
      </c>
      <c r="AI508" s="1731"/>
      <c r="AJ508" s="1731"/>
      <c r="AK508" s="173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64"/>
      <c r="C509" s="1865"/>
      <c r="D509" s="1865"/>
      <c r="E509" s="1865"/>
      <c r="F509" s="1865"/>
      <c r="G509" s="1865"/>
      <c r="H509" s="1866"/>
      <c r="I509" s="94" t="s">
        <v>738</v>
      </c>
      <c r="J509" s="94"/>
      <c r="K509" s="94"/>
      <c r="L509" s="94"/>
      <c r="M509" s="94"/>
      <c r="N509" s="94"/>
      <c r="O509" s="94"/>
      <c r="P509" s="94"/>
      <c r="Q509" s="94"/>
      <c r="R509" s="94"/>
      <c r="S509" s="94"/>
      <c r="T509" s="94"/>
      <c r="U509" s="94"/>
      <c r="V509" s="94"/>
      <c r="W509" s="94"/>
      <c r="X509" s="94"/>
      <c r="Y509" s="94"/>
      <c r="Z509" s="94"/>
      <c r="AA509" s="94"/>
      <c r="AB509" s="94"/>
      <c r="AC509" s="1978">
        <v>7</v>
      </c>
      <c r="AD509" s="1870"/>
      <c r="AE509" s="1870"/>
      <c r="AF509" s="1870"/>
      <c r="AG509" s="79" t="s">
        <v>276</v>
      </c>
      <c r="AH509" s="1731">
        <v>2021</v>
      </c>
      <c r="AI509" s="1731"/>
      <c r="AJ509" s="1731"/>
      <c r="AK509" s="173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61" t="s">
        <v>739</v>
      </c>
      <c r="C510" s="1862"/>
      <c r="D510" s="1862"/>
      <c r="E510" s="1862"/>
      <c r="F510" s="1862"/>
      <c r="G510" s="1862"/>
      <c r="H510" s="1863"/>
      <c r="I510" s="86" t="s">
        <v>740</v>
      </c>
      <c r="J510" s="86"/>
      <c r="K510" s="86"/>
      <c r="L510" s="86"/>
      <c r="M510" s="86"/>
      <c r="N510" s="86"/>
      <c r="O510" s="86"/>
      <c r="P510" s="86"/>
      <c r="Q510" s="86"/>
      <c r="R510" s="86"/>
      <c r="S510" s="86"/>
      <c r="T510" s="86"/>
      <c r="U510" s="86"/>
      <c r="V510" s="86"/>
      <c r="W510" s="86"/>
      <c r="X510" s="35"/>
      <c r="Y510" s="35"/>
      <c r="AC510" s="1978">
        <v>2</v>
      </c>
      <c r="AD510" s="1870"/>
      <c r="AE510" s="1870"/>
      <c r="AF510" s="1870"/>
      <c r="AG510" s="89" t="s">
        <v>276</v>
      </c>
      <c r="AH510" s="1731">
        <v>2020</v>
      </c>
      <c r="AI510" s="1731"/>
      <c r="AJ510" s="1731"/>
      <c r="AK510" s="173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64"/>
      <c r="C511" s="1865"/>
      <c r="D511" s="1865"/>
      <c r="E511" s="1865"/>
      <c r="F511" s="1865"/>
      <c r="G511" s="1865"/>
      <c r="H511" s="1866"/>
      <c r="I511" s="35" t="s">
        <v>741</v>
      </c>
      <c r="J511" s="35"/>
      <c r="K511" s="35"/>
      <c r="L511" s="35"/>
      <c r="M511" s="35"/>
      <c r="N511" s="35"/>
      <c r="O511" s="35"/>
      <c r="P511" s="35"/>
      <c r="Q511" s="35"/>
      <c r="R511" s="35"/>
      <c r="S511" s="35"/>
      <c r="T511" s="35"/>
      <c r="U511" s="35"/>
      <c r="V511" s="35"/>
      <c r="W511" s="35"/>
      <c r="X511" s="35"/>
      <c r="Y511" s="35"/>
      <c r="AC511" s="1978" t="s">
        <v>136</v>
      </c>
      <c r="AD511" s="1870"/>
      <c r="AE511" s="1870"/>
      <c r="AF511" s="1870"/>
      <c r="AG511" s="89" t="s">
        <v>276</v>
      </c>
      <c r="AH511" s="1731"/>
      <c r="AI511" s="1731"/>
      <c r="AJ511" s="1731"/>
      <c r="AK511" s="173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64"/>
      <c r="C512" s="1865"/>
      <c r="D512" s="1865"/>
      <c r="E512" s="1865"/>
      <c r="F512" s="1865"/>
      <c r="G512" s="1865"/>
      <c r="H512" s="1866"/>
      <c r="I512" s="35" t="s">
        <v>742</v>
      </c>
      <c r="J512" s="35"/>
      <c r="K512" s="35"/>
      <c r="L512" s="35"/>
      <c r="M512" s="35"/>
      <c r="N512" s="35"/>
      <c r="O512" s="35"/>
      <c r="P512" s="35"/>
      <c r="Q512" s="35"/>
      <c r="R512" s="35"/>
      <c r="S512" s="35"/>
      <c r="T512" s="35"/>
      <c r="U512" s="35"/>
      <c r="V512" s="35"/>
      <c r="W512" s="35"/>
      <c r="X512" s="35"/>
      <c r="Y512" s="35"/>
      <c r="AC512" s="1978">
        <v>2</v>
      </c>
      <c r="AD512" s="1870"/>
      <c r="AE512" s="1870"/>
      <c r="AF512" s="1870"/>
      <c r="AG512" s="89" t="s">
        <v>276</v>
      </c>
      <c r="AH512" s="1731">
        <v>2020</v>
      </c>
      <c r="AI512" s="1731"/>
      <c r="AJ512" s="1731"/>
      <c r="AK512" s="173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64"/>
      <c r="C513" s="1865"/>
      <c r="D513" s="1865"/>
      <c r="E513" s="1865"/>
      <c r="F513" s="1865"/>
      <c r="G513" s="1865"/>
      <c r="H513" s="1866"/>
      <c r="I513" s="35" t="s">
        <v>743</v>
      </c>
      <c r="J513" s="35"/>
      <c r="K513" s="35"/>
      <c r="L513" s="35"/>
      <c r="M513" s="35"/>
      <c r="N513" s="35"/>
      <c r="O513" s="35"/>
      <c r="P513" s="35"/>
      <c r="Q513" s="35"/>
      <c r="R513" s="35"/>
      <c r="S513" s="35"/>
      <c r="T513" s="35"/>
      <c r="U513" s="35"/>
      <c r="V513" s="35"/>
      <c r="W513" s="35"/>
      <c r="X513" s="35"/>
      <c r="Y513" s="35"/>
      <c r="AC513" s="1978">
        <v>12</v>
      </c>
      <c r="AD513" s="1870"/>
      <c r="AE513" s="1870"/>
      <c r="AF513" s="1870"/>
      <c r="AG513" s="89" t="s">
        <v>276</v>
      </c>
      <c r="AH513" s="1731">
        <v>2021</v>
      </c>
      <c r="AI513" s="1731"/>
      <c r="AJ513" s="1731"/>
      <c r="AK513" s="173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64"/>
      <c r="C514" s="1865"/>
      <c r="D514" s="1865"/>
      <c r="E514" s="1865"/>
      <c r="F514" s="1865"/>
      <c r="G514" s="1865"/>
      <c r="H514" s="1866"/>
      <c r="I514" s="326" t="s">
        <v>744</v>
      </c>
      <c r="J514" s="35"/>
      <c r="K514" s="35"/>
      <c r="L514" s="35"/>
      <c r="M514" s="35"/>
      <c r="N514" s="35"/>
      <c r="O514" s="35"/>
      <c r="P514" s="35"/>
      <c r="Q514" s="35"/>
      <c r="R514" s="35"/>
      <c r="S514" s="35"/>
      <c r="T514" s="35"/>
      <c r="U514" s="35"/>
      <c r="V514" s="35"/>
      <c r="W514" s="35"/>
      <c r="X514" s="35"/>
      <c r="Y514" s="35"/>
      <c r="AC514" s="1771">
        <v>12</v>
      </c>
      <c r="AD514" s="1772"/>
      <c r="AE514" s="1772"/>
      <c r="AF514" s="1772"/>
      <c r="AG514" s="1398" t="s">
        <v>276</v>
      </c>
      <c r="AH514" s="1731">
        <v>2021</v>
      </c>
      <c r="AI514" s="1731"/>
      <c r="AJ514" s="1731"/>
      <c r="AK514" s="173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64"/>
      <c r="C515" s="1865"/>
      <c r="D515" s="1865"/>
      <c r="E515" s="1865"/>
      <c r="F515" s="1865"/>
      <c r="G515" s="1865"/>
      <c r="H515" s="1866"/>
      <c r="I515" s="644" t="s">
        <v>311</v>
      </c>
      <c r="J515" s="94"/>
      <c r="K515" s="94"/>
      <c r="L515" s="2103" t="s">
        <v>622</v>
      </c>
      <c r="M515" s="2088"/>
      <c r="N515" s="2088"/>
      <c r="O515" s="2088"/>
      <c r="P515" s="2088"/>
      <c r="Q515" s="2088"/>
      <c r="R515" s="2088"/>
      <c r="S515" s="2088"/>
      <c r="T515" s="2088"/>
      <c r="U515" s="2088"/>
      <c r="V515" s="2088"/>
      <c r="W515" s="2088"/>
      <c r="X515" s="2088"/>
      <c r="Y515" s="2088"/>
      <c r="Z515" s="2088"/>
      <c r="AA515" s="2088"/>
      <c r="AB515" s="2104"/>
      <c r="AC515" s="2105" t="s">
        <v>136</v>
      </c>
      <c r="AD515" s="1842"/>
      <c r="AE515" s="1842"/>
      <c r="AF515" s="1842"/>
      <c r="AG515" s="1394" t="s">
        <v>276</v>
      </c>
      <c r="AH515" s="1731"/>
      <c r="AI515" s="1731"/>
      <c r="AJ515" s="1731"/>
      <c r="AK515" s="173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64"/>
      <c r="C516" s="1865"/>
      <c r="D516" s="1865"/>
      <c r="E516" s="1865"/>
      <c r="F516" s="1865"/>
      <c r="G516" s="1865"/>
      <c r="H516" s="1866"/>
      <c r="I516" s="1102" t="s">
        <v>2276</v>
      </c>
      <c r="J516" s="35"/>
      <c r="K516" s="35"/>
      <c r="L516" s="35"/>
      <c r="M516" s="35"/>
      <c r="N516" s="35"/>
      <c r="O516" s="35"/>
      <c r="P516" s="35"/>
      <c r="Q516" s="35"/>
      <c r="R516" s="35"/>
      <c r="S516" s="35"/>
      <c r="T516" s="35"/>
      <c r="U516" s="35"/>
      <c r="V516" s="35"/>
      <c r="W516" s="35"/>
      <c r="X516" s="35"/>
      <c r="Y516" s="35"/>
      <c r="AC516" s="2084" t="s">
        <v>119</v>
      </c>
      <c r="AD516" s="2084"/>
      <c r="AE516" s="2084"/>
      <c r="AF516" s="2084"/>
      <c r="AG516" s="1398"/>
      <c r="AH516" s="2097"/>
      <c r="AI516" s="2097"/>
      <c r="AJ516" s="2097"/>
      <c r="AK516" s="209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64"/>
      <c r="C517" s="1865"/>
      <c r="D517" s="1865"/>
      <c r="E517" s="1865"/>
      <c r="F517" s="1865"/>
      <c r="G517" s="1865"/>
      <c r="H517" s="1866"/>
      <c r="I517" s="643" t="s">
        <v>2277</v>
      </c>
      <c r="J517" s="35"/>
      <c r="K517" s="35"/>
      <c r="L517" s="35"/>
      <c r="M517" s="35"/>
      <c r="N517" s="35"/>
      <c r="O517" s="35"/>
      <c r="P517" s="35"/>
      <c r="Q517" s="35"/>
      <c r="R517" s="35"/>
      <c r="S517" s="35"/>
      <c r="T517" s="35"/>
      <c r="U517" s="35"/>
      <c r="V517" s="35"/>
      <c r="W517" s="35"/>
      <c r="X517" s="35"/>
      <c r="Y517" s="35"/>
      <c r="AC517" s="1771">
        <v>3</v>
      </c>
      <c r="AD517" s="1772"/>
      <c r="AE517" s="1772"/>
      <c r="AF517" s="1773"/>
      <c r="AG517" s="1398"/>
      <c r="AH517" s="2097"/>
      <c r="AI517" s="2097"/>
      <c r="AJ517" s="2097"/>
      <c r="AK517" s="209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64"/>
      <c r="C518" s="1865"/>
      <c r="D518" s="1865"/>
      <c r="E518" s="1865"/>
      <c r="F518" s="1865"/>
      <c r="G518" s="1865"/>
      <c r="H518" s="1866"/>
      <c r="I518" s="643" t="s">
        <v>2278</v>
      </c>
      <c r="J518" s="35"/>
      <c r="K518" s="35"/>
      <c r="L518" s="35"/>
      <c r="M518" s="35"/>
      <c r="N518" s="35"/>
      <c r="O518" s="35"/>
      <c r="P518" s="35"/>
      <c r="Q518" s="35"/>
      <c r="R518" s="35"/>
      <c r="S518" s="35"/>
      <c r="T518" s="35"/>
      <c r="U518" s="35"/>
      <c r="V518" s="35"/>
      <c r="W518" s="35"/>
      <c r="X518" s="35"/>
      <c r="Y518" s="35"/>
      <c r="AC518" s="1433"/>
      <c r="AD518" s="1434"/>
      <c r="AE518" s="1434"/>
      <c r="AF518" s="1435"/>
      <c r="AG518" s="1397"/>
      <c r="AH518" s="1400"/>
      <c r="AI518" s="1400"/>
      <c r="AJ518" s="1400"/>
      <c r="AK518" s="143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64"/>
      <c r="C519" s="1865"/>
      <c r="D519" s="1865"/>
      <c r="E519" s="1865"/>
      <c r="F519" s="1865"/>
      <c r="G519" s="1865"/>
      <c r="H519" s="1866"/>
      <c r="I519" s="1437" t="s">
        <v>2279</v>
      </c>
      <c r="J519" s="94"/>
      <c r="K519" s="94"/>
      <c r="L519" s="94"/>
      <c r="M519" s="94"/>
      <c r="N519" s="94"/>
      <c r="O519" s="94"/>
      <c r="P519" s="94"/>
      <c r="Q519" s="94"/>
      <c r="R519" s="94"/>
      <c r="S519" s="94"/>
      <c r="T519" s="94"/>
      <c r="U519" s="94"/>
      <c r="V519" s="94"/>
      <c r="W519" s="94"/>
      <c r="X519" s="94"/>
      <c r="Y519" s="94"/>
      <c r="Z519" s="94"/>
      <c r="AA519" s="94"/>
      <c r="AB519" s="94"/>
      <c r="AC519" s="2099">
        <v>0.6</v>
      </c>
      <c r="AD519" s="2100"/>
      <c r="AE519" s="2100"/>
      <c r="AF519" s="2101"/>
      <c r="AG519" s="1394"/>
      <c r="AH519" s="1997"/>
      <c r="AI519" s="1997"/>
      <c r="AJ519" s="1997"/>
      <c r="AK519" s="199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61" t="s">
        <v>745</v>
      </c>
      <c r="C520" s="1862"/>
      <c r="D520" s="1862"/>
      <c r="E520" s="1862"/>
      <c r="F520" s="1862"/>
      <c r="G520" s="1862"/>
      <c r="H520" s="1863"/>
      <c r="I520" s="86" t="s">
        <v>746</v>
      </c>
      <c r="J520" s="86"/>
      <c r="K520" s="86"/>
      <c r="L520" s="86"/>
      <c r="M520" s="86"/>
      <c r="N520" s="86"/>
      <c r="O520" s="86"/>
      <c r="P520" s="86"/>
      <c r="Q520" s="86"/>
      <c r="R520" s="86"/>
      <c r="S520" s="86"/>
      <c r="T520" s="86"/>
      <c r="U520" s="86"/>
      <c r="V520" s="86"/>
      <c r="W520" s="86"/>
      <c r="X520" s="35"/>
      <c r="Y520" s="35"/>
      <c r="AC520" s="1978">
        <v>6</v>
      </c>
      <c r="AD520" s="1870"/>
      <c r="AE520" s="1870"/>
      <c r="AF520" s="1870"/>
      <c r="AG520" s="89" t="s">
        <v>276</v>
      </c>
      <c r="AH520" s="1731">
        <v>2021</v>
      </c>
      <c r="AI520" s="1731"/>
      <c r="AJ520" s="1731"/>
      <c r="AK520" s="173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64"/>
      <c r="C521" s="1865"/>
      <c r="D521" s="1865"/>
      <c r="E521" s="1865"/>
      <c r="F521" s="1865"/>
      <c r="G521" s="1865"/>
      <c r="H521" s="1866"/>
      <c r="I521" s="35" t="s">
        <v>747</v>
      </c>
      <c r="J521" s="35"/>
      <c r="K521" s="35"/>
      <c r="L521" s="35"/>
      <c r="M521" s="35"/>
      <c r="N521" s="35"/>
      <c r="O521" s="35"/>
      <c r="P521" s="35"/>
      <c r="Q521" s="35"/>
      <c r="R521" s="35"/>
      <c r="S521" s="35"/>
      <c r="T521" s="35"/>
      <c r="U521" s="35"/>
      <c r="V521" s="35"/>
      <c r="W521" s="35"/>
      <c r="X521" s="35"/>
      <c r="Y521" s="35"/>
      <c r="AC521" s="1978">
        <v>6</v>
      </c>
      <c r="AD521" s="1870"/>
      <c r="AE521" s="1870"/>
      <c r="AF521" s="1870"/>
      <c r="AG521" s="89" t="s">
        <v>276</v>
      </c>
      <c r="AH521" s="1731">
        <v>2021</v>
      </c>
      <c r="AI521" s="1731"/>
      <c r="AJ521" s="1731"/>
      <c r="AK521" s="173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64"/>
      <c r="C522" s="1865"/>
      <c r="D522" s="1865"/>
      <c r="E522" s="1865"/>
      <c r="F522" s="1865"/>
      <c r="G522" s="1865"/>
      <c r="H522" s="1866"/>
      <c r="I522" s="94" t="s">
        <v>748</v>
      </c>
      <c r="J522" s="94"/>
      <c r="K522" s="94"/>
      <c r="L522" s="94"/>
      <c r="M522" s="94"/>
      <c r="N522" s="94"/>
      <c r="O522" s="94"/>
      <c r="P522" s="94"/>
      <c r="Q522" s="94"/>
      <c r="R522" s="94"/>
      <c r="S522" s="94"/>
      <c r="T522" s="94"/>
      <c r="U522" s="94"/>
      <c r="V522" s="94"/>
      <c r="W522" s="94"/>
      <c r="X522" s="94"/>
      <c r="Y522" s="94"/>
      <c r="Z522" s="94"/>
      <c r="AA522" s="94"/>
      <c r="AB522" s="94"/>
      <c r="AC522" s="1978">
        <v>12</v>
      </c>
      <c r="AD522" s="1870"/>
      <c r="AE522" s="1870"/>
      <c r="AF522" s="1870"/>
      <c r="AG522" s="79" t="s">
        <v>276</v>
      </c>
      <c r="AH522" s="1731">
        <v>2021</v>
      </c>
      <c r="AI522" s="1731"/>
      <c r="AJ522" s="1731"/>
      <c r="AK522" s="173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61" t="s">
        <v>749</v>
      </c>
      <c r="C523" s="1862"/>
      <c r="D523" s="1862"/>
      <c r="E523" s="1862"/>
      <c r="F523" s="1862"/>
      <c r="G523" s="1862"/>
      <c r="H523" s="1863"/>
      <c r="I523" s="86" t="s">
        <v>746</v>
      </c>
      <c r="J523" s="86"/>
      <c r="K523" s="86"/>
      <c r="L523" s="86"/>
      <c r="M523" s="86"/>
      <c r="N523" s="86"/>
      <c r="O523" s="86"/>
      <c r="P523" s="86"/>
      <c r="Q523" s="86"/>
      <c r="R523" s="86"/>
      <c r="S523" s="86"/>
      <c r="T523" s="86"/>
      <c r="U523" s="86"/>
      <c r="V523" s="86"/>
      <c r="W523" s="86"/>
      <c r="X523" s="86"/>
      <c r="Y523" s="86"/>
      <c r="Z523" s="86"/>
      <c r="AA523" s="86"/>
      <c r="AB523" s="86"/>
      <c r="AC523" s="1825">
        <v>6</v>
      </c>
      <c r="AD523" s="1826"/>
      <c r="AE523" s="1826"/>
      <c r="AF523" s="1826"/>
      <c r="AG523" s="360" t="s">
        <v>276</v>
      </c>
      <c r="AH523" s="1731">
        <v>2021</v>
      </c>
      <c r="AI523" s="1731"/>
      <c r="AJ523" s="1731"/>
      <c r="AK523" s="173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64"/>
      <c r="C524" s="1865"/>
      <c r="D524" s="1865"/>
      <c r="E524" s="1865"/>
      <c r="F524" s="1865"/>
      <c r="G524" s="1865"/>
      <c r="H524" s="1866"/>
      <c r="I524" s="35" t="s">
        <v>747</v>
      </c>
      <c r="J524" s="35"/>
      <c r="K524" s="35"/>
      <c r="L524" s="35"/>
      <c r="M524" s="35"/>
      <c r="N524" s="35"/>
      <c r="O524" s="35"/>
      <c r="P524" s="35"/>
      <c r="Q524" s="35"/>
      <c r="R524" s="35"/>
      <c r="S524" s="35"/>
      <c r="T524" s="35"/>
      <c r="U524" s="35"/>
      <c r="V524" s="35"/>
      <c r="W524" s="35"/>
      <c r="X524" s="35"/>
      <c r="Y524" s="35"/>
      <c r="Z524" s="35"/>
      <c r="AA524" s="35"/>
      <c r="AB524" s="35"/>
      <c r="AC524" s="1978">
        <v>6</v>
      </c>
      <c r="AD524" s="1870"/>
      <c r="AE524" s="1870"/>
      <c r="AF524" s="1870"/>
      <c r="AG524" s="89" t="s">
        <v>276</v>
      </c>
      <c r="AH524" s="1731">
        <v>2021</v>
      </c>
      <c r="AI524" s="1731"/>
      <c r="AJ524" s="1731"/>
      <c r="AK524" s="173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67"/>
      <c r="C525" s="1868"/>
      <c r="D525" s="1868"/>
      <c r="E525" s="1868"/>
      <c r="F525" s="1868"/>
      <c r="G525" s="1868"/>
      <c r="H525" s="1869"/>
      <c r="I525" s="94" t="s">
        <v>748</v>
      </c>
      <c r="J525" s="94"/>
      <c r="K525" s="94"/>
      <c r="L525" s="94"/>
      <c r="M525" s="94"/>
      <c r="N525" s="94"/>
      <c r="O525" s="94"/>
      <c r="P525" s="94"/>
      <c r="Q525" s="94"/>
      <c r="R525" s="94"/>
      <c r="S525" s="94"/>
      <c r="T525" s="94"/>
      <c r="U525" s="94"/>
      <c r="V525" s="94"/>
      <c r="W525" s="94"/>
      <c r="X525" s="94"/>
      <c r="Y525" s="94"/>
      <c r="Z525" s="94"/>
      <c r="AA525" s="94"/>
      <c r="AB525" s="94"/>
      <c r="AC525" s="1978">
        <v>12</v>
      </c>
      <c r="AD525" s="1870"/>
      <c r="AE525" s="1870"/>
      <c r="AF525" s="1870"/>
      <c r="AG525" s="79" t="s">
        <v>276</v>
      </c>
      <c r="AH525" s="1731">
        <v>2021</v>
      </c>
      <c r="AI525" s="1731"/>
      <c r="AJ525" s="1731"/>
      <c r="AK525" s="173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61" t="s">
        <v>750</v>
      </c>
      <c r="C526" s="1862"/>
      <c r="D526" s="1862"/>
      <c r="E526" s="1862"/>
      <c r="F526" s="1862"/>
      <c r="G526" s="1862"/>
      <c r="H526" s="1863"/>
      <c r="I526" s="85" t="s">
        <v>751</v>
      </c>
      <c r="J526" s="86"/>
      <c r="K526" s="86"/>
      <c r="L526" s="86"/>
      <c r="M526" s="86"/>
      <c r="N526" s="86"/>
      <c r="O526" s="1688" t="s">
        <v>2475</v>
      </c>
      <c r="P526" s="1688"/>
      <c r="Q526" s="1688"/>
      <c r="R526" s="1688"/>
      <c r="S526" s="1688"/>
      <c r="T526" s="1688"/>
      <c r="U526" s="1688"/>
      <c r="V526" s="1688"/>
      <c r="W526" s="1688"/>
      <c r="X526" s="1688"/>
      <c r="Y526" s="1688"/>
      <c r="Z526" s="1688"/>
      <c r="AA526" s="1688"/>
      <c r="AB526" s="108"/>
      <c r="AC526" s="1825">
        <v>2</v>
      </c>
      <c r="AD526" s="1826"/>
      <c r="AE526" s="1826"/>
      <c r="AF526" s="1826"/>
      <c r="AG526" s="360" t="s">
        <v>276</v>
      </c>
      <c r="AH526" s="1731">
        <v>2020</v>
      </c>
      <c r="AI526" s="1731"/>
      <c r="AJ526" s="1731"/>
      <c r="AK526" s="173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64"/>
      <c r="C527" s="1865"/>
      <c r="D527" s="1865"/>
      <c r="E527" s="1865"/>
      <c r="F527" s="1865"/>
      <c r="G527" s="1865"/>
      <c r="H527" s="1866"/>
      <c r="I527" s="317" t="s">
        <v>752</v>
      </c>
      <c r="J527" s="35"/>
      <c r="K527" s="35"/>
      <c r="L527" s="35"/>
      <c r="M527" s="35"/>
      <c r="N527" s="35"/>
      <c r="O527" s="35"/>
      <c r="P527" s="35"/>
      <c r="Q527" s="35"/>
      <c r="R527" s="35"/>
      <c r="S527" s="35"/>
      <c r="T527" s="35"/>
      <c r="U527" s="35"/>
      <c r="V527" s="35"/>
      <c r="W527" s="35"/>
      <c r="X527" s="35"/>
      <c r="Y527" s="35"/>
      <c r="Z527" s="35"/>
      <c r="AA527" s="35"/>
      <c r="AB527" s="115"/>
      <c r="AC527" s="1978">
        <v>2</v>
      </c>
      <c r="AD527" s="1870"/>
      <c r="AE527" s="1870"/>
      <c r="AF527" s="1870"/>
      <c r="AG527" s="89" t="s">
        <v>276</v>
      </c>
      <c r="AH527" s="1731">
        <v>2020</v>
      </c>
      <c r="AI527" s="1731"/>
      <c r="AJ527" s="1731"/>
      <c r="AK527" s="173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64"/>
      <c r="C528" s="1865"/>
      <c r="D528" s="1865"/>
      <c r="E528" s="1865"/>
      <c r="F528" s="1865"/>
      <c r="G528" s="1865"/>
      <c r="H528" s="1866"/>
      <c r="I528" s="93" t="s">
        <v>753</v>
      </c>
      <c r="J528" s="94"/>
      <c r="K528" s="94"/>
      <c r="L528" s="94"/>
      <c r="M528" s="94"/>
      <c r="N528" s="94"/>
      <c r="O528" s="94"/>
      <c r="P528" s="94"/>
      <c r="Q528" s="94"/>
      <c r="R528" s="94"/>
      <c r="S528" s="94"/>
      <c r="T528" s="94"/>
      <c r="U528" s="94"/>
      <c r="V528" s="94"/>
      <c r="W528" s="94"/>
      <c r="X528" s="94"/>
      <c r="Y528" s="94"/>
      <c r="Z528" s="94"/>
      <c r="AA528" s="94"/>
      <c r="AB528" s="95"/>
      <c r="AC528" s="1978">
        <v>12</v>
      </c>
      <c r="AD528" s="1870"/>
      <c r="AE528" s="1870"/>
      <c r="AF528" s="1870"/>
      <c r="AG528" s="79" t="s">
        <v>276</v>
      </c>
      <c r="AH528" s="1731">
        <v>2021</v>
      </c>
      <c r="AI528" s="1731"/>
      <c r="AJ528" s="1731"/>
      <c r="AK528" s="173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64"/>
      <c r="C529" s="1865"/>
      <c r="D529" s="1865"/>
      <c r="E529" s="1865"/>
      <c r="F529" s="1865"/>
      <c r="G529" s="1865"/>
      <c r="H529" s="1866"/>
      <c r="I529" s="86" t="s">
        <v>754</v>
      </c>
      <c r="J529" s="86"/>
      <c r="K529" s="86"/>
      <c r="L529" s="86"/>
      <c r="M529" s="86"/>
      <c r="N529" s="86"/>
      <c r="O529" s="1698" t="s">
        <v>2476</v>
      </c>
      <c r="P529" s="1698"/>
      <c r="Q529" s="1698"/>
      <c r="R529" s="1698"/>
      <c r="S529" s="1698"/>
      <c r="T529" s="1698"/>
      <c r="U529" s="1698"/>
      <c r="V529" s="1698"/>
      <c r="W529" s="1698"/>
      <c r="X529" s="1698"/>
      <c r="Y529" s="1698"/>
      <c r="Z529" s="1698"/>
      <c r="AA529" s="1698"/>
      <c r="AC529" s="1978">
        <v>6</v>
      </c>
      <c r="AD529" s="1870"/>
      <c r="AE529" s="1870"/>
      <c r="AF529" s="1870"/>
      <c r="AG529" s="89" t="s">
        <v>276</v>
      </c>
      <c r="AH529" s="1731">
        <v>2020</v>
      </c>
      <c r="AI529" s="1731"/>
      <c r="AJ529" s="1731"/>
      <c r="AK529" s="173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64"/>
      <c r="C530" s="1865"/>
      <c r="D530" s="1865"/>
      <c r="E530" s="1865"/>
      <c r="F530" s="1865"/>
      <c r="G530" s="1865"/>
      <c r="H530" s="1866"/>
      <c r="I530" s="35" t="s">
        <v>752</v>
      </c>
      <c r="J530" s="35"/>
      <c r="K530" s="35"/>
      <c r="L530" s="35"/>
      <c r="M530" s="35"/>
      <c r="N530" s="35"/>
      <c r="O530" s="35"/>
      <c r="P530" s="35"/>
      <c r="Q530" s="35"/>
      <c r="R530" s="35"/>
      <c r="S530" s="35"/>
      <c r="T530" s="35"/>
      <c r="U530" s="35"/>
      <c r="V530" s="35"/>
      <c r="W530" s="35"/>
      <c r="X530" s="35"/>
      <c r="Y530" s="35"/>
      <c r="AC530" s="1978">
        <v>6</v>
      </c>
      <c r="AD530" s="1870"/>
      <c r="AE530" s="1870"/>
      <c r="AF530" s="1870"/>
      <c r="AG530" s="89" t="s">
        <v>276</v>
      </c>
      <c r="AH530" s="1731">
        <v>2020</v>
      </c>
      <c r="AI530" s="1731"/>
      <c r="AJ530" s="1731"/>
      <c r="AK530" s="173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64"/>
      <c r="C531" s="1865"/>
      <c r="D531" s="1865"/>
      <c r="E531" s="1865"/>
      <c r="F531" s="1865"/>
      <c r="G531" s="1865"/>
      <c r="H531" s="1866"/>
      <c r="I531" s="94" t="s">
        <v>753</v>
      </c>
      <c r="J531" s="94"/>
      <c r="K531" s="94"/>
      <c r="L531" s="94"/>
      <c r="M531" s="94"/>
      <c r="N531" s="94"/>
      <c r="O531" s="94"/>
      <c r="P531" s="94"/>
      <c r="Q531" s="94"/>
      <c r="R531" s="94"/>
      <c r="S531" s="94"/>
      <c r="T531" s="94"/>
      <c r="U531" s="94"/>
      <c r="V531" s="94"/>
      <c r="W531" s="94"/>
      <c r="X531" s="94"/>
      <c r="Y531" s="94"/>
      <c r="Z531" s="94"/>
      <c r="AA531" s="94"/>
      <c r="AB531" s="94"/>
      <c r="AC531" s="1978">
        <v>12</v>
      </c>
      <c r="AD531" s="1870"/>
      <c r="AE531" s="1870"/>
      <c r="AF531" s="1870"/>
      <c r="AG531" s="79" t="s">
        <v>276</v>
      </c>
      <c r="AH531" s="1731">
        <v>2021</v>
      </c>
      <c r="AI531" s="1731"/>
      <c r="AJ531" s="1731"/>
      <c r="AK531" s="173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64"/>
      <c r="C532" s="1865"/>
      <c r="D532" s="1865"/>
      <c r="E532" s="1865"/>
      <c r="F532" s="1865"/>
      <c r="G532" s="1865"/>
      <c r="H532" s="1866"/>
      <c r="I532" s="86" t="s">
        <v>754</v>
      </c>
      <c r="J532" s="86"/>
      <c r="K532" s="86"/>
      <c r="L532" s="86"/>
      <c r="M532" s="86"/>
      <c r="N532" s="86"/>
      <c r="O532" s="1698" t="s">
        <v>2477</v>
      </c>
      <c r="P532" s="1698"/>
      <c r="Q532" s="1698"/>
      <c r="R532" s="1698"/>
      <c r="S532" s="1698"/>
      <c r="T532" s="1698"/>
      <c r="U532" s="1698"/>
      <c r="V532" s="1698"/>
      <c r="W532" s="1698"/>
      <c r="X532" s="1698"/>
      <c r="Y532" s="1698"/>
      <c r="Z532" s="1698"/>
      <c r="AA532" s="1698"/>
      <c r="AC532" s="1978">
        <v>6</v>
      </c>
      <c r="AD532" s="1870"/>
      <c r="AE532" s="1870"/>
      <c r="AF532" s="1870"/>
      <c r="AG532" s="89" t="s">
        <v>276</v>
      </c>
      <c r="AH532" s="1731">
        <v>2020</v>
      </c>
      <c r="AI532" s="1731"/>
      <c r="AJ532" s="1731"/>
      <c r="AK532" s="173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64"/>
      <c r="C533" s="1865"/>
      <c r="D533" s="1865"/>
      <c r="E533" s="1865"/>
      <c r="F533" s="1865"/>
      <c r="G533" s="1865"/>
      <c r="H533" s="1866"/>
      <c r="I533" s="35" t="s">
        <v>752</v>
      </c>
      <c r="J533" s="35"/>
      <c r="K533" s="35"/>
      <c r="L533" s="35"/>
      <c r="M533" s="35"/>
      <c r="N533" s="35"/>
      <c r="O533" s="35"/>
      <c r="P533" s="35"/>
      <c r="Q533" s="35"/>
      <c r="R533" s="35"/>
      <c r="S533" s="35"/>
      <c r="T533" s="35"/>
      <c r="U533" s="35"/>
      <c r="V533" s="35"/>
      <c r="W533" s="35"/>
      <c r="X533" s="35"/>
      <c r="Y533" s="35"/>
      <c r="AC533" s="1978">
        <v>6</v>
      </c>
      <c r="AD533" s="1870"/>
      <c r="AE533" s="1870"/>
      <c r="AF533" s="1870"/>
      <c r="AG533" s="89" t="s">
        <v>276</v>
      </c>
      <c r="AH533" s="1731">
        <v>2020</v>
      </c>
      <c r="AI533" s="1731"/>
      <c r="AJ533" s="1731"/>
      <c r="AK533" s="173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64"/>
      <c r="C534" s="1865"/>
      <c r="D534" s="1865"/>
      <c r="E534" s="1865"/>
      <c r="F534" s="1865"/>
      <c r="G534" s="1865"/>
      <c r="H534" s="1866"/>
      <c r="I534" s="94" t="s">
        <v>753</v>
      </c>
      <c r="J534" s="94"/>
      <c r="K534" s="94"/>
      <c r="L534" s="94"/>
      <c r="M534" s="94"/>
      <c r="N534" s="94"/>
      <c r="O534" s="94"/>
      <c r="P534" s="94"/>
      <c r="Q534" s="94"/>
      <c r="R534" s="94"/>
      <c r="S534" s="94"/>
      <c r="T534" s="94"/>
      <c r="U534" s="94"/>
      <c r="V534" s="94"/>
      <c r="W534" s="94"/>
      <c r="X534" s="94"/>
      <c r="Y534" s="94"/>
      <c r="Z534" s="94"/>
      <c r="AA534" s="94"/>
      <c r="AB534" s="94"/>
      <c r="AC534" s="1978">
        <v>3</v>
      </c>
      <c r="AD534" s="1870"/>
      <c r="AE534" s="1870"/>
      <c r="AF534" s="1870"/>
      <c r="AG534" s="79" t="s">
        <v>276</v>
      </c>
      <c r="AH534" s="1731">
        <v>2021</v>
      </c>
      <c r="AI534" s="1731"/>
      <c r="AJ534" s="1731"/>
      <c r="AK534" s="173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64"/>
      <c r="C535" s="1865"/>
      <c r="D535" s="1865"/>
      <c r="E535" s="1865"/>
      <c r="F535" s="1865"/>
      <c r="G535" s="1865"/>
      <c r="H535" s="1866"/>
      <c r="I535" s="86" t="s">
        <v>754</v>
      </c>
      <c r="J535" s="86"/>
      <c r="K535" s="86"/>
      <c r="L535" s="86"/>
      <c r="M535" s="86"/>
      <c r="N535" s="86"/>
      <c r="O535" s="1698" t="s">
        <v>2479</v>
      </c>
      <c r="P535" s="1698"/>
      <c r="Q535" s="1698"/>
      <c r="R535" s="1698"/>
      <c r="S535" s="1698"/>
      <c r="T535" s="1698"/>
      <c r="U535" s="1698"/>
      <c r="V535" s="1698"/>
      <c r="W535" s="1698"/>
      <c r="X535" s="1698"/>
      <c r="Y535" s="1698"/>
      <c r="Z535" s="1698"/>
      <c r="AA535" s="1698"/>
      <c r="AC535" s="1978">
        <v>6</v>
      </c>
      <c r="AD535" s="1870"/>
      <c r="AE535" s="1870"/>
      <c r="AF535" s="1870"/>
      <c r="AG535" s="89" t="s">
        <v>276</v>
      </c>
      <c r="AH535" s="1731">
        <v>2020</v>
      </c>
      <c r="AI535" s="1731"/>
      <c r="AJ535" s="1731"/>
      <c r="AK535" s="173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64"/>
      <c r="C536" s="1865"/>
      <c r="D536" s="1865"/>
      <c r="E536" s="1865"/>
      <c r="F536" s="1865"/>
      <c r="G536" s="1865"/>
      <c r="H536" s="1866"/>
      <c r="I536" s="35" t="s">
        <v>752</v>
      </c>
      <c r="J536" s="35"/>
      <c r="K536" s="35"/>
      <c r="L536" s="35"/>
      <c r="M536" s="35"/>
      <c r="N536" s="35"/>
      <c r="O536" s="35"/>
      <c r="P536" s="35"/>
      <c r="Q536" s="35"/>
      <c r="R536" s="35"/>
      <c r="S536" s="35"/>
      <c r="T536" s="35"/>
      <c r="U536" s="35"/>
      <c r="V536" s="35"/>
      <c r="W536" s="35"/>
      <c r="X536" s="35"/>
      <c r="Y536" s="35"/>
      <c r="AC536" s="1978">
        <v>6</v>
      </c>
      <c r="AD536" s="1870"/>
      <c r="AE536" s="1870"/>
      <c r="AF536" s="1870"/>
      <c r="AG536" s="89" t="s">
        <v>276</v>
      </c>
      <c r="AH536" s="1731">
        <v>2020</v>
      </c>
      <c r="AI536" s="1731"/>
      <c r="AJ536" s="1731"/>
      <c r="AK536" s="173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64"/>
      <c r="C537" s="1865"/>
      <c r="D537" s="1865"/>
      <c r="E537" s="1865"/>
      <c r="F537" s="1865"/>
      <c r="G537" s="1865"/>
      <c r="H537" s="1866"/>
      <c r="I537" s="94" t="s">
        <v>753</v>
      </c>
      <c r="J537" s="94"/>
      <c r="K537" s="94"/>
      <c r="L537" s="94"/>
      <c r="M537" s="94"/>
      <c r="N537" s="94"/>
      <c r="O537" s="94"/>
      <c r="P537" s="94"/>
      <c r="Q537" s="94"/>
      <c r="R537" s="94"/>
      <c r="S537" s="94"/>
      <c r="T537" s="94"/>
      <c r="U537" s="94"/>
      <c r="V537" s="94"/>
      <c r="W537" s="94"/>
      <c r="X537" s="94"/>
      <c r="Y537" s="94"/>
      <c r="Z537" s="94"/>
      <c r="AA537" s="94"/>
      <c r="AB537" s="94"/>
      <c r="AC537" s="1978">
        <v>6</v>
      </c>
      <c r="AD537" s="1870"/>
      <c r="AE537" s="1870"/>
      <c r="AF537" s="1870"/>
      <c r="AG537" s="79" t="s">
        <v>276</v>
      </c>
      <c r="AH537" s="1731">
        <v>2020</v>
      </c>
      <c r="AI537" s="1731"/>
      <c r="AJ537" s="1731"/>
      <c r="AK537" s="173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64"/>
      <c r="C538" s="1865"/>
      <c r="D538" s="1865"/>
      <c r="E538" s="1865"/>
      <c r="F538" s="1865"/>
      <c r="G538" s="1865"/>
      <c r="H538" s="1866"/>
      <c r="I538" s="86" t="s">
        <v>754</v>
      </c>
      <c r="J538" s="86"/>
      <c r="K538" s="86"/>
      <c r="L538" s="86"/>
      <c r="M538" s="86"/>
      <c r="N538" s="86"/>
      <c r="O538" s="1698" t="s">
        <v>2478</v>
      </c>
      <c r="P538" s="1698"/>
      <c r="Q538" s="1698"/>
      <c r="R538" s="1698"/>
      <c r="S538" s="1698"/>
      <c r="T538" s="1698"/>
      <c r="U538" s="1698"/>
      <c r="V538" s="1698"/>
      <c r="W538" s="1698"/>
      <c r="X538" s="1698"/>
      <c r="Y538" s="1698"/>
      <c r="Z538" s="1698"/>
      <c r="AA538" s="1698"/>
      <c r="AC538" s="1978">
        <v>6</v>
      </c>
      <c r="AD538" s="1870"/>
      <c r="AE538" s="1870"/>
      <c r="AF538" s="1870"/>
      <c r="AG538" s="89" t="s">
        <v>276</v>
      </c>
      <c r="AH538" s="1731">
        <v>2019</v>
      </c>
      <c r="AI538" s="1731"/>
      <c r="AJ538" s="1731"/>
      <c r="AK538" s="173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64"/>
      <c r="C539" s="1865"/>
      <c r="D539" s="1865"/>
      <c r="E539" s="1865"/>
      <c r="F539" s="1865"/>
      <c r="G539" s="1865"/>
      <c r="H539" s="1866"/>
      <c r="I539" s="35" t="s">
        <v>752</v>
      </c>
      <c r="J539" s="35"/>
      <c r="K539" s="35"/>
      <c r="L539" s="35"/>
      <c r="M539" s="35"/>
      <c r="N539" s="35"/>
      <c r="O539" s="35"/>
      <c r="P539" s="35"/>
      <c r="Q539" s="35"/>
      <c r="R539" s="35"/>
      <c r="S539" s="35"/>
      <c r="T539" s="35"/>
      <c r="U539" s="35"/>
      <c r="V539" s="35"/>
      <c r="W539" s="35"/>
      <c r="X539" s="35"/>
      <c r="Y539" s="35"/>
      <c r="AC539" s="1978">
        <v>1</v>
      </c>
      <c r="AD539" s="1870"/>
      <c r="AE539" s="1870"/>
      <c r="AF539" s="1870"/>
      <c r="AG539" s="79" t="s">
        <v>276</v>
      </c>
      <c r="AH539" s="1731">
        <v>2019</v>
      </c>
      <c r="AI539" s="1731"/>
      <c r="AJ539" s="1731"/>
      <c r="AK539" s="173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64"/>
      <c r="C540" s="1865"/>
      <c r="D540" s="1865"/>
      <c r="E540" s="1865"/>
      <c r="F540" s="1865"/>
      <c r="G540" s="1865"/>
      <c r="H540" s="1866"/>
      <c r="I540" s="94" t="s">
        <v>753</v>
      </c>
      <c r="J540" s="94"/>
      <c r="K540" s="94"/>
      <c r="L540" s="94"/>
      <c r="M540" s="94"/>
      <c r="N540" s="94"/>
      <c r="O540" s="94"/>
      <c r="P540" s="94"/>
      <c r="Q540" s="94"/>
      <c r="R540" s="94"/>
      <c r="S540" s="94"/>
      <c r="T540" s="94"/>
      <c r="U540" s="94"/>
      <c r="V540" s="94"/>
      <c r="W540" s="94"/>
      <c r="X540" s="94"/>
      <c r="Y540" s="94"/>
      <c r="Z540" s="94"/>
      <c r="AA540" s="94"/>
      <c r="AB540" s="94"/>
      <c r="AC540" s="1978">
        <v>6</v>
      </c>
      <c r="AD540" s="1870"/>
      <c r="AE540" s="1870"/>
      <c r="AF540" s="1870"/>
      <c r="AG540" s="89" t="s">
        <v>276</v>
      </c>
      <c r="AH540" s="1731">
        <v>2021</v>
      </c>
      <c r="AI540" s="1731"/>
      <c r="AJ540" s="1731"/>
      <c r="AK540" s="173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64"/>
      <c r="C541" s="1865"/>
      <c r="D541" s="1865"/>
      <c r="E541" s="1865"/>
      <c r="F541" s="1865"/>
      <c r="G541" s="1865"/>
      <c r="H541" s="1866"/>
      <c r="I541" s="86" t="s">
        <v>754</v>
      </c>
      <c r="J541" s="86"/>
      <c r="K541" s="86"/>
      <c r="L541" s="86"/>
      <c r="M541" s="86"/>
      <c r="N541" s="86"/>
      <c r="O541" s="1698"/>
      <c r="P541" s="1698"/>
      <c r="Q541" s="1698"/>
      <c r="R541" s="1698"/>
      <c r="S541" s="1698"/>
      <c r="T541" s="1698"/>
      <c r="U541" s="1698"/>
      <c r="V541" s="1698"/>
      <c r="W541" s="1698"/>
      <c r="X541" s="1698"/>
      <c r="Y541" s="1698"/>
      <c r="Z541" s="1698"/>
      <c r="AA541" s="1698"/>
      <c r="AC541" s="1978">
        <v>6</v>
      </c>
      <c r="AD541" s="1870"/>
      <c r="AE541" s="1870"/>
      <c r="AF541" s="1870"/>
      <c r="AG541" s="79" t="s">
        <v>276</v>
      </c>
      <c r="AH541" s="1731">
        <v>2021</v>
      </c>
      <c r="AI541" s="1731"/>
      <c r="AJ541" s="1731"/>
      <c r="AK541" s="173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64"/>
      <c r="C542" s="1865"/>
      <c r="D542" s="1865"/>
      <c r="E542" s="1865"/>
      <c r="F542" s="1865"/>
      <c r="G542" s="1865"/>
      <c r="H542" s="1866"/>
      <c r="I542" s="35" t="s">
        <v>752</v>
      </c>
      <c r="J542" s="35"/>
      <c r="K542" s="35"/>
      <c r="L542" s="35"/>
      <c r="M542" s="35"/>
      <c r="N542" s="35"/>
      <c r="O542" s="35"/>
      <c r="P542" s="35"/>
      <c r="Q542" s="35"/>
      <c r="R542" s="35"/>
      <c r="S542" s="35"/>
      <c r="T542" s="35"/>
      <c r="U542" s="35"/>
      <c r="V542" s="35"/>
      <c r="W542" s="35"/>
      <c r="X542" s="35"/>
      <c r="Y542" s="35"/>
      <c r="AC542" s="1978">
        <v>4</v>
      </c>
      <c r="AD542" s="1870"/>
      <c r="AE542" s="1870"/>
      <c r="AF542" s="1870"/>
      <c r="AG542" s="89" t="s">
        <v>276</v>
      </c>
      <c r="AH542" s="1731">
        <v>2021</v>
      </c>
      <c r="AI542" s="1731"/>
      <c r="AJ542" s="1731"/>
      <c r="AK542" s="173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64"/>
      <c r="C543" s="1865"/>
      <c r="D543" s="1865"/>
      <c r="E543" s="1865"/>
      <c r="F543" s="1865"/>
      <c r="G543" s="1865"/>
      <c r="H543" s="1866"/>
      <c r="I543" s="94" t="s">
        <v>753</v>
      </c>
      <c r="J543" s="94"/>
      <c r="K543" s="94"/>
      <c r="L543" s="94"/>
      <c r="M543" s="94"/>
      <c r="N543" s="94"/>
      <c r="O543" s="94"/>
      <c r="P543" s="94"/>
      <c r="Q543" s="94"/>
      <c r="R543" s="94"/>
      <c r="S543" s="94"/>
      <c r="T543" s="94"/>
      <c r="U543" s="94"/>
      <c r="V543" s="94"/>
      <c r="W543" s="94"/>
      <c r="X543" s="94"/>
      <c r="Y543" s="94"/>
      <c r="Z543" s="94"/>
      <c r="AA543" s="94"/>
      <c r="AB543" s="94"/>
      <c r="AC543" s="1978">
        <v>6</v>
      </c>
      <c r="AD543" s="1870"/>
      <c r="AE543" s="1870"/>
      <c r="AF543" s="1870"/>
      <c r="AG543" s="79" t="s">
        <v>276</v>
      </c>
      <c r="AH543" s="1731">
        <v>2021</v>
      </c>
      <c r="AI543" s="1731"/>
      <c r="AJ543" s="1731"/>
      <c r="AK543" s="173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64"/>
      <c r="C544" s="1865"/>
      <c r="D544" s="1865"/>
      <c r="E544" s="1865"/>
      <c r="F544" s="1865"/>
      <c r="G544" s="1865"/>
      <c r="H544" s="1866"/>
      <c r="I544" s="86" t="s">
        <v>802</v>
      </c>
      <c r="J544" s="86"/>
      <c r="K544" s="86"/>
      <c r="L544" s="86"/>
      <c r="M544" s="86"/>
      <c r="N544" s="86"/>
      <c r="O544" s="86"/>
      <c r="P544" s="86"/>
      <c r="Q544" s="86"/>
      <c r="R544" s="86"/>
      <c r="S544" s="86"/>
      <c r="T544" s="86"/>
      <c r="U544" s="86"/>
      <c r="V544" s="86"/>
      <c r="W544" s="86"/>
      <c r="X544" s="35"/>
      <c r="Y544" s="35"/>
      <c r="AC544" s="1978">
        <v>3</v>
      </c>
      <c r="AD544" s="1870"/>
      <c r="AE544" s="1870"/>
      <c r="AF544" s="1870"/>
      <c r="AG544" s="79" t="s">
        <v>276</v>
      </c>
      <c r="AH544" s="1731">
        <v>2022</v>
      </c>
      <c r="AI544" s="1731"/>
      <c r="AJ544" s="1731"/>
      <c r="AK544" s="173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864"/>
      <c r="C545" s="1865"/>
      <c r="D545" s="1865"/>
      <c r="E545" s="1865"/>
      <c r="F545" s="1865"/>
      <c r="G545" s="1865"/>
      <c r="H545" s="1866"/>
      <c r="I545" s="35" t="s">
        <v>803</v>
      </c>
      <c r="J545" s="35"/>
      <c r="K545" s="35"/>
      <c r="L545" s="35"/>
      <c r="M545" s="35"/>
      <c r="N545" s="35"/>
      <c r="O545" s="35"/>
      <c r="P545" s="35"/>
      <c r="Q545" s="35"/>
      <c r="R545" s="35"/>
      <c r="S545" s="35"/>
      <c r="T545" s="35"/>
      <c r="U545" s="35"/>
      <c r="V545" s="35"/>
      <c r="W545" s="35"/>
      <c r="X545" s="35"/>
      <c r="Y545" s="35"/>
      <c r="AC545" s="1978">
        <v>12</v>
      </c>
      <c r="AD545" s="1870"/>
      <c r="AE545" s="1870"/>
      <c r="AF545" s="1870"/>
      <c r="AG545" s="89" t="s">
        <v>276</v>
      </c>
      <c r="AH545" s="1731">
        <v>2021</v>
      </c>
      <c r="AI545" s="1731"/>
      <c r="AJ545" s="1731"/>
      <c r="AK545" s="173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64"/>
      <c r="C546" s="1865"/>
      <c r="D546" s="1865"/>
      <c r="E546" s="1865"/>
      <c r="F546" s="1865"/>
      <c r="G546" s="1865"/>
      <c r="H546" s="1866"/>
      <c r="I546" s="35" t="s">
        <v>804</v>
      </c>
      <c r="J546" s="35"/>
      <c r="K546" s="35"/>
      <c r="L546" s="35"/>
      <c r="M546" s="35"/>
      <c r="N546" s="35"/>
      <c r="O546" s="35"/>
      <c r="P546" s="35"/>
      <c r="Q546" s="35"/>
      <c r="R546" s="35"/>
      <c r="S546" s="35"/>
      <c r="T546" s="35"/>
      <c r="U546" s="35"/>
      <c r="V546" s="35"/>
      <c r="W546" s="35"/>
      <c r="X546" s="35"/>
      <c r="Y546" s="35"/>
      <c r="AC546" s="1978">
        <v>4</v>
      </c>
      <c r="AD546" s="1870"/>
      <c r="AE546" s="1870"/>
      <c r="AF546" s="1870"/>
      <c r="AG546" s="79" t="s">
        <v>276</v>
      </c>
      <c r="AH546" s="1731">
        <v>2023</v>
      </c>
      <c r="AI546" s="1731"/>
      <c r="AJ546" s="1731"/>
      <c r="AK546" s="173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64"/>
      <c r="C547" s="1865"/>
      <c r="D547" s="1865"/>
      <c r="E547" s="1865"/>
      <c r="F547" s="1865"/>
      <c r="G547" s="1865"/>
      <c r="H547" s="1866"/>
      <c r="I547" s="35" t="s">
        <v>805</v>
      </c>
      <c r="J547" s="35"/>
      <c r="K547" s="35"/>
      <c r="L547" s="35"/>
      <c r="M547" s="35"/>
      <c r="N547" s="35"/>
      <c r="O547" s="35"/>
      <c r="P547" s="35"/>
      <c r="Q547" s="35"/>
      <c r="R547" s="35"/>
      <c r="S547" s="35"/>
      <c r="T547" s="35"/>
      <c r="U547" s="35"/>
      <c r="V547" s="35"/>
      <c r="W547" s="35"/>
      <c r="X547" s="35"/>
      <c r="Y547" s="35"/>
      <c r="AC547" s="1978">
        <v>4</v>
      </c>
      <c r="AD547" s="1870"/>
      <c r="AE547" s="1870"/>
      <c r="AF547" s="1870"/>
      <c r="AG547" s="79" t="s">
        <v>276</v>
      </c>
      <c r="AH547" s="1731">
        <v>2023</v>
      </c>
      <c r="AI547" s="1731"/>
      <c r="AJ547" s="1731"/>
      <c r="AK547" s="173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67"/>
      <c r="C548" s="1868"/>
      <c r="D548" s="1868"/>
      <c r="E548" s="1868"/>
      <c r="F548" s="1868"/>
      <c r="G548" s="1868"/>
      <c r="H548" s="1869"/>
      <c r="I548" s="94" t="s">
        <v>1518</v>
      </c>
      <c r="J548" s="94"/>
      <c r="K548" s="94"/>
      <c r="L548" s="94"/>
      <c r="M548" s="94"/>
      <c r="N548" s="94"/>
      <c r="O548" s="94"/>
      <c r="P548" s="94"/>
      <c r="Q548" s="94"/>
      <c r="R548" s="94"/>
      <c r="S548" s="94"/>
      <c r="T548" s="94"/>
      <c r="U548" s="94"/>
      <c r="V548" s="94"/>
      <c r="W548" s="94"/>
      <c r="X548" s="94"/>
      <c r="Y548" s="94"/>
      <c r="Z548" s="94"/>
      <c r="AA548" s="94"/>
      <c r="AB548" s="94"/>
      <c r="AC548" s="1978">
        <v>7</v>
      </c>
      <c r="AD548" s="1870"/>
      <c r="AE548" s="1870"/>
      <c r="AF548" s="1870"/>
      <c r="AG548" s="79" t="s">
        <v>276</v>
      </c>
      <c r="AH548" s="1731">
        <v>2023</v>
      </c>
      <c r="AI548" s="1731"/>
      <c r="AJ548" s="1731"/>
      <c r="AK548" s="173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4" t="s">
        <v>547</v>
      </c>
      <c r="B550" s="1554"/>
      <c r="C550" s="1554"/>
      <c r="D550" s="1554"/>
      <c r="E550" s="1554"/>
      <c r="F550" s="1554"/>
      <c r="G550" s="1554"/>
      <c r="H550" s="1554"/>
      <c r="I550" s="1554"/>
      <c r="J550" s="1554"/>
      <c r="K550" s="1554"/>
      <c r="L550" s="1554"/>
      <c r="M550" s="1554"/>
      <c r="N550" s="1554"/>
      <c r="O550" s="1554"/>
      <c r="P550" s="1554"/>
      <c r="Q550" s="1554"/>
      <c r="R550" s="1554"/>
      <c r="S550" s="1554"/>
      <c r="T550" s="1554"/>
      <c r="U550" s="1554"/>
      <c r="V550" s="1554"/>
      <c r="W550" s="1554"/>
      <c r="X550" s="1554"/>
      <c r="Y550" s="1554"/>
      <c r="Z550" s="1554"/>
      <c r="AA550" s="1554"/>
      <c r="AB550" s="1554"/>
      <c r="AC550" s="1554"/>
      <c r="AD550" s="1554"/>
      <c r="AE550" s="1554"/>
      <c r="AF550" s="1554"/>
      <c r="AG550" s="1554"/>
      <c r="AH550" s="1554"/>
      <c r="AI550" s="1554"/>
      <c r="AJ550" s="1554"/>
      <c r="AK550" s="1554"/>
      <c r="AL550" s="1554"/>
      <c r="AM550" s="1554"/>
      <c r="AN550" s="1554"/>
      <c r="AO550" s="1554"/>
      <c r="AP550" s="1554"/>
      <c r="AQ550" s="1554"/>
      <c r="AR550" s="1554"/>
      <c r="AS550" s="155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54"/>
      <c r="B551" s="1554"/>
      <c r="C551" s="1554"/>
      <c r="D551" s="1554"/>
      <c r="E551" s="1554"/>
      <c r="F551" s="1554"/>
      <c r="G551" s="1554"/>
      <c r="H551" s="1554"/>
      <c r="I551" s="1554"/>
      <c r="J551" s="1554"/>
      <c r="K551" s="1554"/>
      <c r="L551" s="1554"/>
      <c r="M551" s="1554"/>
      <c r="N551" s="1554"/>
      <c r="O551" s="1554"/>
      <c r="P551" s="1554"/>
      <c r="Q551" s="1554"/>
      <c r="R551" s="1554"/>
      <c r="S551" s="1554"/>
      <c r="T551" s="1554"/>
      <c r="U551" s="1554"/>
      <c r="V551" s="1554"/>
      <c r="W551" s="1554"/>
      <c r="X551" s="1554"/>
      <c r="Y551" s="1554"/>
      <c r="Z551" s="1554"/>
      <c r="AA551" s="1554"/>
      <c r="AB551" s="1554"/>
      <c r="AC551" s="1554"/>
      <c r="AD551" s="1554"/>
      <c r="AE551" s="1554"/>
      <c r="AF551" s="1554"/>
      <c r="AG551" s="1554"/>
      <c r="AH551" s="1554"/>
      <c r="AI551" s="1554"/>
      <c r="AJ551" s="1554"/>
      <c r="AK551" s="1554"/>
      <c r="AL551" s="1554"/>
      <c r="AM551" s="1554"/>
      <c r="AN551" s="1554"/>
      <c r="AO551" s="1554"/>
      <c r="AP551" s="1554"/>
      <c r="AQ551" s="1554"/>
      <c r="AR551" s="1554"/>
      <c r="AS551" s="155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38"/>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61" t="s">
        <v>807</v>
      </c>
      <c r="C557" s="1862"/>
      <c r="D557" s="1862"/>
      <c r="E557" s="1862"/>
      <c r="F557" s="1862"/>
      <c r="G557" s="1862"/>
      <c r="H557" s="1862"/>
      <c r="I557" s="1862"/>
      <c r="J557" s="1862"/>
      <c r="K557" s="1862"/>
      <c r="L557" s="1862"/>
      <c r="M557" s="1862"/>
      <c r="N557" s="1862"/>
      <c r="O557" s="1862"/>
      <c r="P557" s="1863"/>
      <c r="Q557" s="1861" t="s">
        <v>489</v>
      </c>
      <c r="R557" s="1862"/>
      <c r="S557" s="1863"/>
      <c r="T557" s="1861" t="s">
        <v>2281</v>
      </c>
      <c r="U557" s="1862"/>
      <c r="V557" s="1863"/>
      <c r="W557" s="1861" t="s">
        <v>808</v>
      </c>
      <c r="X557" s="1862"/>
      <c r="Y557" s="1863"/>
      <c r="Z557" s="1861" t="s">
        <v>2286</v>
      </c>
      <c r="AA557" s="1862"/>
      <c r="AB557" s="1862"/>
      <c r="AC557" s="1862"/>
      <c r="AD557" s="1863"/>
      <c r="AE557" s="1861" t="s">
        <v>2283</v>
      </c>
      <c r="AF557" s="1862"/>
      <c r="AG557" s="1862"/>
      <c r="AH557" s="1863"/>
      <c r="AI557" s="1861" t="s">
        <v>2287</v>
      </c>
      <c r="AJ557" s="1862"/>
      <c r="AK557" s="1862"/>
      <c r="AL557" s="1863"/>
      <c r="AM557" s="1861" t="s">
        <v>809</v>
      </c>
      <c r="AN557" s="1862"/>
      <c r="AO557" s="1862"/>
      <c r="AP557" s="1862"/>
      <c r="AQ557" s="1862"/>
      <c r="AR557" s="1862"/>
      <c r="AS557" s="186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64"/>
      <c r="C558" s="1865"/>
      <c r="D558" s="1865"/>
      <c r="E558" s="1865"/>
      <c r="F558" s="1865"/>
      <c r="G558" s="1865"/>
      <c r="H558" s="1865"/>
      <c r="I558" s="1865"/>
      <c r="J558" s="1865"/>
      <c r="K558" s="1865"/>
      <c r="L558" s="1865"/>
      <c r="M558" s="1865"/>
      <c r="N558" s="1865"/>
      <c r="O558" s="1865"/>
      <c r="P558" s="1866"/>
      <c r="Q558" s="1864"/>
      <c r="R558" s="1865"/>
      <c r="S558" s="1866"/>
      <c r="T558" s="1864"/>
      <c r="U558" s="1865"/>
      <c r="V558" s="1866"/>
      <c r="W558" s="1864"/>
      <c r="X558" s="1865"/>
      <c r="Y558" s="1866"/>
      <c r="Z558" s="1864"/>
      <c r="AA558" s="1865"/>
      <c r="AB558" s="1865"/>
      <c r="AC558" s="1865"/>
      <c r="AD558" s="1866"/>
      <c r="AE558" s="1864"/>
      <c r="AF558" s="1865"/>
      <c r="AG558" s="1865"/>
      <c r="AH558" s="1866"/>
      <c r="AI558" s="1864"/>
      <c r="AJ558" s="1865"/>
      <c r="AK558" s="1865"/>
      <c r="AL558" s="1866"/>
      <c r="AM558" s="1864"/>
      <c r="AN558" s="1865"/>
      <c r="AO558" s="1865"/>
      <c r="AP558" s="1865"/>
      <c r="AQ558" s="1865"/>
      <c r="AR558" s="1865"/>
      <c r="AS558" s="186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67"/>
      <c r="C559" s="1868"/>
      <c r="D559" s="1868"/>
      <c r="E559" s="1868"/>
      <c r="F559" s="1868"/>
      <c r="G559" s="1868"/>
      <c r="H559" s="1868"/>
      <c r="I559" s="1868"/>
      <c r="J559" s="1868"/>
      <c r="K559" s="1868"/>
      <c r="L559" s="1868"/>
      <c r="M559" s="1868"/>
      <c r="N559" s="1868"/>
      <c r="O559" s="1868"/>
      <c r="P559" s="1869"/>
      <c r="Q559" s="1867"/>
      <c r="R559" s="1868"/>
      <c r="S559" s="1869"/>
      <c r="T559" s="1867"/>
      <c r="U559" s="1868"/>
      <c r="V559" s="1869"/>
      <c r="W559" s="1867"/>
      <c r="X559" s="1868"/>
      <c r="Y559" s="1869"/>
      <c r="Z559" s="1867"/>
      <c r="AA559" s="1868"/>
      <c r="AB559" s="1868"/>
      <c r="AC559" s="1868"/>
      <c r="AD559" s="1869"/>
      <c r="AE559" s="1867"/>
      <c r="AF559" s="1868"/>
      <c r="AG559" s="1868"/>
      <c r="AH559" s="1869"/>
      <c r="AI559" s="1867"/>
      <c r="AJ559" s="1868"/>
      <c r="AK559" s="1868"/>
      <c r="AL559" s="1869"/>
      <c r="AM559" s="1867"/>
      <c r="AN559" s="1868"/>
      <c r="AO559" s="1868"/>
      <c r="AP559" s="1868"/>
      <c r="AQ559" s="1868"/>
      <c r="AR559" s="1868"/>
      <c r="AS559" s="186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701" t="s">
        <v>2560</v>
      </c>
      <c r="D560" s="1701"/>
      <c r="E560" s="1701"/>
      <c r="F560" s="1701"/>
      <c r="G560" s="1701"/>
      <c r="H560" s="1701"/>
      <c r="I560" s="1701"/>
      <c r="J560" s="1701"/>
      <c r="K560" s="1701"/>
      <c r="L560" s="1701"/>
      <c r="M560" s="1701"/>
      <c r="N560" s="1701"/>
      <c r="O560" s="1701"/>
      <c r="P560" s="1965"/>
      <c r="Q560" s="1849">
        <v>25</v>
      </c>
      <c r="R560" s="1849"/>
      <c r="S560" s="1967"/>
      <c r="T560" s="1849">
        <v>25</v>
      </c>
      <c r="U560" s="1849"/>
      <c r="V560" s="1967"/>
      <c r="W560" s="2015">
        <v>3.2500000000000001E-2</v>
      </c>
      <c r="X560" s="2016"/>
      <c r="Y560" s="2017"/>
      <c r="Z560" s="2022" t="s">
        <v>2494</v>
      </c>
      <c r="AA560" s="2022"/>
      <c r="AB560" s="2022"/>
      <c r="AC560" s="2022"/>
      <c r="AD560" s="2022"/>
      <c r="AE560" s="2023">
        <v>1</v>
      </c>
      <c r="AF560" s="2024"/>
      <c r="AG560" s="2024"/>
      <c r="AH560" s="2025"/>
      <c r="AI560" s="2018" t="s">
        <v>2570</v>
      </c>
      <c r="AJ560" s="2019"/>
      <c r="AK560" s="2019"/>
      <c r="AL560" s="2020"/>
      <c r="AM560" s="1711">
        <v>27774729</v>
      </c>
      <c r="AN560" s="1712"/>
      <c r="AO560" s="1712"/>
      <c r="AP560" s="1712"/>
      <c r="AQ560" s="1712"/>
      <c r="AR560" s="1712"/>
      <c r="AS560" s="171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701" t="str">
        <f>C632</f>
        <v>Seller Carryback Loan</v>
      </c>
      <c r="D561" s="1701"/>
      <c r="E561" s="1701"/>
      <c r="F561" s="1701"/>
      <c r="G561" s="1701"/>
      <c r="H561" s="1701"/>
      <c r="I561" s="1701"/>
      <c r="J561" s="1701"/>
      <c r="K561" s="1701"/>
      <c r="L561" s="1701"/>
      <c r="M561" s="1701"/>
      <c r="N561" s="1701"/>
      <c r="O561" s="1701"/>
      <c r="P561" s="1965"/>
      <c r="Q561" s="1966">
        <v>25</v>
      </c>
      <c r="R561" s="1849"/>
      <c r="S561" s="1967"/>
      <c r="T561" s="1966">
        <v>25</v>
      </c>
      <c r="U561" s="1849"/>
      <c r="V561" s="1967"/>
      <c r="W561" s="2015">
        <f>U632</f>
        <v>2.06E-2</v>
      </c>
      <c r="X561" s="2016"/>
      <c r="Y561" s="2017"/>
      <c r="Z561" s="2022" t="s">
        <v>2484</v>
      </c>
      <c r="AA561" s="2022"/>
      <c r="AB561" s="2022"/>
      <c r="AC561" s="2022"/>
      <c r="AD561" s="2022"/>
      <c r="AE561" s="2023">
        <v>6</v>
      </c>
      <c r="AF561" s="2024"/>
      <c r="AG561" s="2024"/>
      <c r="AH561" s="2025"/>
      <c r="AI561" s="2018">
        <v>0</v>
      </c>
      <c r="AJ561" s="2019"/>
      <c r="AK561" s="2019"/>
      <c r="AL561" s="2020"/>
      <c r="AM561" s="1711">
        <f>AO632</f>
        <v>4262015</v>
      </c>
      <c r="AN561" s="1712"/>
      <c r="AO561" s="1712"/>
      <c r="AP561" s="1712"/>
      <c r="AQ561" s="1712"/>
      <c r="AR561" s="1712"/>
      <c r="AS561" s="171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701">
        <f>C633</f>
        <v>0</v>
      </c>
      <c r="D562" s="1701"/>
      <c r="E562" s="1701"/>
      <c r="F562" s="1701"/>
      <c r="G562" s="1701"/>
      <c r="H562" s="1701"/>
      <c r="I562" s="1701"/>
      <c r="J562" s="1701"/>
      <c r="K562" s="1701"/>
      <c r="L562" s="1701"/>
      <c r="M562" s="1701"/>
      <c r="N562" s="1701"/>
      <c r="O562" s="1701"/>
      <c r="P562" s="1965"/>
      <c r="Q562" s="1849"/>
      <c r="R562" s="1849"/>
      <c r="S562" s="1967"/>
      <c r="T562" s="1849"/>
      <c r="U562" s="1849"/>
      <c r="V562" s="1967"/>
      <c r="W562" s="2015">
        <f>U633</f>
        <v>0</v>
      </c>
      <c r="X562" s="2016"/>
      <c r="Y562" s="2017"/>
      <c r="Z562" s="2022"/>
      <c r="AA562" s="2022"/>
      <c r="AB562" s="2022"/>
      <c r="AC562" s="2022"/>
      <c r="AD562" s="2022"/>
      <c r="AE562" s="2023"/>
      <c r="AF562" s="2024"/>
      <c r="AG562" s="2024"/>
      <c r="AH562" s="2025"/>
      <c r="AI562" s="2018">
        <v>0</v>
      </c>
      <c r="AJ562" s="2019"/>
      <c r="AK562" s="2019"/>
      <c r="AL562" s="2020"/>
      <c r="AM562" s="1711">
        <f>AO633</f>
        <v>0</v>
      </c>
      <c r="AN562" s="1712"/>
      <c r="AO562" s="1712"/>
      <c r="AP562" s="1712"/>
      <c r="AQ562" s="1712"/>
      <c r="AR562" s="1712"/>
      <c r="AS562" s="171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541" t="str">
        <f>C635</f>
        <v>Sponsor Loan: CDBG-DR</v>
      </c>
      <c r="D563" s="1541"/>
      <c r="E563" s="1541"/>
      <c r="F563" s="1541"/>
      <c r="G563" s="1541"/>
      <c r="H563" s="1541"/>
      <c r="I563" s="1541"/>
      <c r="J563" s="1541"/>
      <c r="K563" s="1541"/>
      <c r="L563" s="1541"/>
      <c r="M563" s="1541"/>
      <c r="N563" s="1541"/>
      <c r="O563" s="1541"/>
      <c r="P563" s="1542"/>
      <c r="Q563" s="1966">
        <v>25</v>
      </c>
      <c r="R563" s="1849"/>
      <c r="S563" s="1967"/>
      <c r="T563" s="1966">
        <v>25</v>
      </c>
      <c r="U563" s="1849"/>
      <c r="V563" s="1967"/>
      <c r="W563" s="2015" t="str">
        <f>U635</f>
        <v>0%</v>
      </c>
      <c r="X563" s="2016"/>
      <c r="Y563" s="2017"/>
      <c r="Z563" s="2022" t="s">
        <v>2484</v>
      </c>
      <c r="AA563" s="2022"/>
      <c r="AB563" s="2022"/>
      <c r="AC563" s="2022"/>
      <c r="AD563" s="2022"/>
      <c r="AE563" s="2023">
        <v>2</v>
      </c>
      <c r="AF563" s="2024"/>
      <c r="AG563" s="2024"/>
      <c r="AH563" s="2025"/>
      <c r="AI563" s="2018" t="s">
        <v>2571</v>
      </c>
      <c r="AJ563" s="2019"/>
      <c r="AK563" s="2019"/>
      <c r="AL563" s="2020"/>
      <c r="AM563" s="1711">
        <f>AO635</f>
        <v>2664774</v>
      </c>
      <c r="AN563" s="1712"/>
      <c r="AO563" s="1712"/>
      <c r="AP563" s="1712"/>
      <c r="AQ563" s="1712"/>
      <c r="AR563" s="1712"/>
      <c r="AS563" s="171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541" t="str">
        <f t="shared" ref="C564:C566" si="0">C636</f>
        <v>City of Napa - HTF Loan</v>
      </c>
      <c r="D564" s="1541"/>
      <c r="E564" s="1541"/>
      <c r="F564" s="1541"/>
      <c r="G564" s="1541"/>
      <c r="H564" s="1541"/>
      <c r="I564" s="1541"/>
      <c r="J564" s="1541"/>
      <c r="K564" s="1541"/>
      <c r="L564" s="1541"/>
      <c r="M564" s="1541"/>
      <c r="N564" s="1541"/>
      <c r="O564" s="1541"/>
      <c r="P564" s="1542"/>
      <c r="Q564" s="1849">
        <v>25</v>
      </c>
      <c r="R564" s="1849"/>
      <c r="S564" s="1967"/>
      <c r="T564" s="1849">
        <v>25</v>
      </c>
      <c r="U564" s="1849"/>
      <c r="V564" s="1967"/>
      <c r="W564" s="2015">
        <f t="shared" ref="W564:W566" si="1">U636</f>
        <v>0.03</v>
      </c>
      <c r="X564" s="2016"/>
      <c r="Y564" s="2017"/>
      <c r="Z564" s="2022" t="s">
        <v>2484</v>
      </c>
      <c r="AA564" s="2022"/>
      <c r="AB564" s="2022"/>
      <c r="AC564" s="2022"/>
      <c r="AD564" s="2022"/>
      <c r="AE564" s="2023">
        <v>3</v>
      </c>
      <c r="AF564" s="2024"/>
      <c r="AG564" s="2024"/>
      <c r="AH564" s="2025"/>
      <c r="AI564" s="2018" t="s">
        <v>2571</v>
      </c>
      <c r="AJ564" s="2019"/>
      <c r="AK564" s="2019"/>
      <c r="AL564" s="2020"/>
      <c r="AM564" s="1711">
        <f t="shared" ref="AM564:AM566" si="2">AO636</f>
        <v>2200000</v>
      </c>
      <c r="AN564" s="1712"/>
      <c r="AO564" s="1712"/>
      <c r="AP564" s="1712"/>
      <c r="AQ564" s="1712"/>
      <c r="AR564" s="1712"/>
      <c r="AS564" s="171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541" t="str">
        <f t="shared" si="0"/>
        <v>County of Napa</v>
      </c>
      <c r="D565" s="1541"/>
      <c r="E565" s="1541"/>
      <c r="F565" s="1541"/>
      <c r="G565" s="1541"/>
      <c r="H565" s="1541"/>
      <c r="I565" s="1541"/>
      <c r="J565" s="1541"/>
      <c r="K565" s="1541"/>
      <c r="L565" s="1541"/>
      <c r="M565" s="1541"/>
      <c r="N565" s="1541"/>
      <c r="O565" s="1541"/>
      <c r="P565" s="1542"/>
      <c r="Q565" s="1966">
        <v>25</v>
      </c>
      <c r="R565" s="1849"/>
      <c r="S565" s="1967"/>
      <c r="T565" s="1966">
        <v>25</v>
      </c>
      <c r="U565" s="1849"/>
      <c r="V565" s="1967"/>
      <c r="W565" s="2015">
        <f t="shared" si="1"/>
        <v>0.03</v>
      </c>
      <c r="X565" s="2016"/>
      <c r="Y565" s="2017"/>
      <c r="Z565" s="2022" t="s">
        <v>2484</v>
      </c>
      <c r="AA565" s="2022"/>
      <c r="AB565" s="2022"/>
      <c r="AC565" s="2022"/>
      <c r="AD565" s="2022"/>
      <c r="AE565" s="2023">
        <v>4</v>
      </c>
      <c r="AF565" s="2024"/>
      <c r="AG565" s="2024"/>
      <c r="AH565" s="2025"/>
      <c r="AI565" s="2018" t="s">
        <v>2571</v>
      </c>
      <c r="AJ565" s="2019"/>
      <c r="AK565" s="2019"/>
      <c r="AL565" s="2020"/>
      <c r="AM565" s="1711">
        <f t="shared" si="2"/>
        <v>1317985</v>
      </c>
      <c r="AN565" s="1712"/>
      <c r="AO565" s="1712"/>
      <c r="AP565" s="1712"/>
      <c r="AQ565" s="1712"/>
      <c r="AR565" s="1712"/>
      <c r="AS565" s="171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541" t="str">
        <f t="shared" si="0"/>
        <v>County of Napa - Whole Person Care</v>
      </c>
      <c r="D566" s="1541"/>
      <c r="E566" s="1541"/>
      <c r="F566" s="1541"/>
      <c r="G566" s="1541"/>
      <c r="H566" s="1541"/>
      <c r="I566" s="1541"/>
      <c r="J566" s="1541"/>
      <c r="K566" s="1541"/>
      <c r="L566" s="1541"/>
      <c r="M566" s="1541"/>
      <c r="N566" s="1541"/>
      <c r="O566" s="1541"/>
      <c r="P566" s="1542"/>
      <c r="Q566" s="1849">
        <v>25</v>
      </c>
      <c r="R566" s="1849"/>
      <c r="S566" s="1967"/>
      <c r="T566" s="1849">
        <v>25</v>
      </c>
      <c r="U566" s="1849"/>
      <c r="V566" s="1967"/>
      <c r="W566" s="2015">
        <f t="shared" si="1"/>
        <v>0.03</v>
      </c>
      <c r="X566" s="2016"/>
      <c r="Y566" s="2017"/>
      <c r="Z566" s="2022" t="s">
        <v>2484</v>
      </c>
      <c r="AA566" s="2022"/>
      <c r="AB566" s="2022"/>
      <c r="AC566" s="2022"/>
      <c r="AD566" s="2022"/>
      <c r="AE566" s="2023">
        <v>5</v>
      </c>
      <c r="AF566" s="2024"/>
      <c r="AG566" s="2024"/>
      <c r="AH566" s="2025"/>
      <c r="AI566" s="2018" t="s">
        <v>2571</v>
      </c>
      <c r="AJ566" s="2019"/>
      <c r="AK566" s="2019"/>
      <c r="AL566" s="2020"/>
      <c r="AM566" s="1711">
        <f t="shared" si="2"/>
        <v>1000000</v>
      </c>
      <c r="AN566" s="1712"/>
      <c r="AO566" s="1712"/>
      <c r="AP566" s="1712"/>
      <c r="AQ566" s="1712"/>
      <c r="AR566" s="1712"/>
      <c r="AS566" s="171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541" t="str">
        <f>C640</f>
        <v>Sponsor Loan (Queen of the Valley)</v>
      </c>
      <c r="D567" s="1541"/>
      <c r="E567" s="1541"/>
      <c r="F567" s="1541"/>
      <c r="G567" s="1541"/>
      <c r="H567" s="1541"/>
      <c r="I567" s="1541"/>
      <c r="J567" s="1541"/>
      <c r="K567" s="1541"/>
      <c r="L567" s="1541"/>
      <c r="M567" s="1541"/>
      <c r="N567" s="1541"/>
      <c r="O567" s="1541"/>
      <c r="P567" s="1542"/>
      <c r="Q567" s="1966">
        <v>25</v>
      </c>
      <c r="R567" s="1849"/>
      <c r="S567" s="1967"/>
      <c r="T567" s="1966">
        <v>25</v>
      </c>
      <c r="U567" s="1849"/>
      <c r="V567" s="1967"/>
      <c r="W567" s="2015" t="str">
        <f>U640</f>
        <v>0%</v>
      </c>
      <c r="X567" s="2016"/>
      <c r="Y567" s="2017"/>
      <c r="Z567" s="2022" t="s">
        <v>2484</v>
      </c>
      <c r="AA567" s="2022"/>
      <c r="AB567" s="2022"/>
      <c r="AC567" s="2022"/>
      <c r="AD567" s="2022"/>
      <c r="AE567" s="2023">
        <v>7</v>
      </c>
      <c r="AF567" s="2024"/>
      <c r="AG567" s="2024"/>
      <c r="AH567" s="2025"/>
      <c r="AI567" s="2018" t="s">
        <v>2571</v>
      </c>
      <c r="AJ567" s="2019"/>
      <c r="AK567" s="2019"/>
      <c r="AL567" s="2020"/>
      <c r="AM567" s="1711">
        <f>AO640</f>
        <v>1000000</v>
      </c>
      <c r="AN567" s="1712"/>
      <c r="AO567" s="1712"/>
      <c r="AP567" s="1712"/>
      <c r="AQ567" s="1712"/>
      <c r="AR567" s="1712"/>
      <c r="AS567" s="171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541" t="str">
        <f t="shared" ref="C568:C569" si="3">C641</f>
        <v>Sponsor Loan: NPLH - Technical Assistance</v>
      </c>
      <c r="D568" s="1541"/>
      <c r="E568" s="1541"/>
      <c r="F568" s="1541"/>
      <c r="G568" s="1541"/>
      <c r="H568" s="1541"/>
      <c r="I568" s="1541"/>
      <c r="J568" s="1541"/>
      <c r="K568" s="1541"/>
      <c r="L568" s="1541"/>
      <c r="M568" s="1541"/>
      <c r="N568" s="1541"/>
      <c r="O568" s="1541"/>
      <c r="P568" s="1542"/>
      <c r="Q568" s="1849">
        <v>25</v>
      </c>
      <c r="R568" s="1849"/>
      <c r="S568" s="1967"/>
      <c r="T568" s="1849">
        <v>25</v>
      </c>
      <c r="U568" s="1849"/>
      <c r="V568" s="1967"/>
      <c r="W568" s="2015" t="str">
        <f>U641</f>
        <v>0%</v>
      </c>
      <c r="X568" s="2016"/>
      <c r="Y568" s="2017"/>
      <c r="Z568" s="2022" t="s">
        <v>2484</v>
      </c>
      <c r="AA568" s="2022"/>
      <c r="AB568" s="2022"/>
      <c r="AC568" s="2022"/>
      <c r="AD568" s="2022"/>
      <c r="AE568" s="2023">
        <v>8</v>
      </c>
      <c r="AF568" s="2024"/>
      <c r="AG568" s="2024"/>
      <c r="AH568" s="2025"/>
      <c r="AI568" s="2018" t="s">
        <v>2571</v>
      </c>
      <c r="AJ568" s="2019"/>
      <c r="AK568" s="2019"/>
      <c r="AL568" s="2020"/>
      <c r="AM568" s="1711">
        <f t="shared" ref="AM568:AM569" si="4">AO641</f>
        <v>75000</v>
      </c>
      <c r="AN568" s="1712"/>
      <c r="AO568" s="1712"/>
      <c r="AP568" s="1712"/>
      <c r="AQ568" s="1712"/>
      <c r="AR568" s="1712"/>
      <c r="AS568" s="171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541" t="str">
        <f t="shared" si="3"/>
        <v>GP Equity: Partnership Health Grant</v>
      </c>
      <c r="D569" s="1541"/>
      <c r="E569" s="1541"/>
      <c r="F569" s="1541"/>
      <c r="G569" s="1541"/>
      <c r="H569" s="1541"/>
      <c r="I569" s="1541"/>
      <c r="J569" s="1541"/>
      <c r="K569" s="1541"/>
      <c r="L569" s="1541"/>
      <c r="M569" s="1541"/>
      <c r="N569" s="1541"/>
      <c r="O569" s="1541"/>
      <c r="P569" s="1542"/>
      <c r="Q569" s="1966"/>
      <c r="R569" s="1849"/>
      <c r="S569" s="1967"/>
      <c r="T569" s="1966"/>
      <c r="U569" s="1849"/>
      <c r="V569" s="1967"/>
      <c r="W569" s="2015"/>
      <c r="X569" s="2016"/>
      <c r="Y569" s="2017"/>
      <c r="Z569" s="2022"/>
      <c r="AA569" s="2022"/>
      <c r="AB569" s="2022"/>
      <c r="AC569" s="2022"/>
      <c r="AD569" s="2022"/>
      <c r="AE569" s="2023"/>
      <c r="AF569" s="2024"/>
      <c r="AG569" s="2024"/>
      <c r="AH569" s="2025"/>
      <c r="AI569" s="2018" t="s">
        <v>136</v>
      </c>
      <c r="AJ569" s="2019"/>
      <c r="AK569" s="2019"/>
      <c r="AL569" s="2020"/>
      <c r="AM569" s="1711">
        <f t="shared" si="4"/>
        <v>1000000</v>
      </c>
      <c r="AN569" s="1712"/>
      <c r="AO569" s="1712"/>
      <c r="AP569" s="1712"/>
      <c r="AQ569" s="1712"/>
      <c r="AR569" s="1712"/>
      <c r="AS569" s="171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541" t="s">
        <v>2492</v>
      </c>
      <c r="D570" s="1541"/>
      <c r="E570" s="1541"/>
      <c r="F570" s="1541"/>
      <c r="G570" s="1541"/>
      <c r="H570" s="1541"/>
      <c r="I570" s="1541"/>
      <c r="J570" s="1541"/>
      <c r="K570" s="1541"/>
      <c r="L570" s="1541"/>
      <c r="M570" s="1541"/>
      <c r="N570" s="1541"/>
      <c r="O570" s="1541"/>
      <c r="P570" s="1542"/>
      <c r="Q570" s="1966"/>
      <c r="R570" s="1849"/>
      <c r="S570" s="1967"/>
      <c r="T570" s="1966"/>
      <c r="U570" s="1849"/>
      <c r="V570" s="1967"/>
      <c r="W570" s="2015"/>
      <c r="X570" s="2016"/>
      <c r="Y570" s="2017"/>
      <c r="Z570" s="2022"/>
      <c r="AA570" s="2022"/>
      <c r="AB570" s="2022"/>
      <c r="AC570" s="2022"/>
      <c r="AD570" s="2022"/>
      <c r="AE570" s="2023"/>
      <c r="AF570" s="2024"/>
      <c r="AG570" s="2024"/>
      <c r="AH570" s="2025"/>
      <c r="AI570" s="2018" t="s">
        <v>136</v>
      </c>
      <c r="AJ570" s="2019"/>
      <c r="AK570" s="2019"/>
      <c r="AL570" s="2020"/>
      <c r="AM570" s="1711">
        <v>4283134</v>
      </c>
      <c r="AN570" s="1712"/>
      <c r="AO570" s="1712"/>
      <c r="AP570" s="1712"/>
      <c r="AQ570" s="1712"/>
      <c r="AR570" s="1712"/>
      <c r="AS570" s="171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701" t="s">
        <v>2491</v>
      </c>
      <c r="D571" s="1701"/>
      <c r="E571" s="1701"/>
      <c r="F571" s="1701"/>
      <c r="G571" s="1701"/>
      <c r="H571" s="1701"/>
      <c r="I571" s="1701"/>
      <c r="J571" s="1701"/>
      <c r="K571" s="1701"/>
      <c r="L571" s="1701"/>
      <c r="M571" s="1701"/>
      <c r="N571" s="1701"/>
      <c r="O571" s="1701"/>
      <c r="P571" s="1965"/>
      <c r="Q571" s="1966"/>
      <c r="R571" s="1849"/>
      <c r="S571" s="1967"/>
      <c r="T571" s="1966"/>
      <c r="U571" s="1849"/>
      <c r="V571" s="1967"/>
      <c r="W571" s="2015"/>
      <c r="X571" s="2016"/>
      <c r="Y571" s="2017"/>
      <c r="Z571" s="2022"/>
      <c r="AA571" s="2022"/>
      <c r="AB571" s="2022"/>
      <c r="AC571" s="2022"/>
      <c r="AD571" s="2022"/>
      <c r="AE571" s="2023"/>
      <c r="AF571" s="2024"/>
      <c r="AG571" s="2024"/>
      <c r="AH571" s="2025"/>
      <c r="AI571" s="2018" t="s">
        <v>136</v>
      </c>
      <c r="AJ571" s="2019"/>
      <c r="AK571" s="2019"/>
      <c r="AL571" s="2020"/>
      <c r="AM571" s="1711">
        <f>2681784-145000</f>
        <v>2536784</v>
      </c>
      <c r="AN571" s="1712"/>
      <c r="AO571" s="1712"/>
      <c r="AP571" s="1712"/>
      <c r="AQ571" s="1712"/>
      <c r="AR571" s="1712"/>
      <c r="AS571" s="171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807" t="s">
        <v>401</v>
      </c>
      <c r="C572" s="1808"/>
      <c r="D572" s="1808"/>
      <c r="E572" s="1808"/>
      <c r="F572" s="1808"/>
      <c r="G572" s="1808"/>
      <c r="H572" s="1808"/>
      <c r="I572" s="1808"/>
      <c r="J572" s="1808"/>
      <c r="K572" s="1808"/>
      <c r="L572" s="1808"/>
      <c r="M572" s="1808"/>
      <c r="N572" s="1808"/>
      <c r="O572" s="1808"/>
      <c r="P572" s="1808"/>
      <c r="Q572" s="1808"/>
      <c r="R572" s="1808"/>
      <c r="S572" s="1808"/>
      <c r="T572" s="1808"/>
      <c r="U572" s="2021"/>
      <c r="V572" s="1808"/>
      <c r="W572" s="1808"/>
      <c r="X572" s="1808"/>
      <c r="Y572" s="1808"/>
      <c r="Z572" s="1808"/>
      <c r="AA572" s="1808"/>
      <c r="AB572" s="1808"/>
      <c r="AC572" s="1808"/>
      <c r="AD572" s="1808"/>
      <c r="AE572" s="1808"/>
      <c r="AF572" s="1808"/>
      <c r="AG572" s="1808"/>
      <c r="AH572" s="1808"/>
      <c r="AI572" s="1808"/>
      <c r="AJ572" s="1808"/>
      <c r="AK572" s="1808"/>
      <c r="AL572" s="1809"/>
      <c r="AM572" s="1718">
        <f>SUM(AM560:AS571)</f>
        <v>48114421</v>
      </c>
      <c r="AN572" s="1719"/>
      <c r="AO572" s="1719"/>
      <c r="AP572" s="1719"/>
      <c r="AQ572" s="1719"/>
      <c r="AR572" s="1719"/>
      <c r="AS572" s="172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5"/>
      <c r="AF573" s="1395"/>
      <c r="AG573" s="1395"/>
      <c r="AH573" s="1395"/>
      <c r="AI573" s="1395"/>
      <c r="AJ573" s="1395"/>
      <c r="AK573" s="1395"/>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44" t="str">
        <f>C560</f>
        <v>US Bank Construction Loan</v>
      </c>
      <c r="H574" s="1844"/>
      <c r="I574" s="1844"/>
      <c r="J574" s="1844"/>
      <c r="K574" s="1844"/>
      <c r="L574" s="1844"/>
      <c r="M574" s="1844"/>
      <c r="N574" s="1844"/>
      <c r="O574" s="1844"/>
      <c r="P574" s="1844"/>
      <c r="Q574" s="1844"/>
      <c r="R574" s="1844"/>
      <c r="S574" s="18"/>
      <c r="T574" s="101" t="s">
        <v>1005</v>
      </c>
      <c r="U574" s="16" t="s">
        <v>93</v>
      </c>
      <c r="Z574" s="1844" t="str">
        <f>C561</f>
        <v>Seller Carryback Loan</v>
      </c>
      <c r="AA574" s="1844"/>
      <c r="AB574" s="1844"/>
      <c r="AC574" s="1844"/>
      <c r="AD574" s="1844"/>
      <c r="AE574" s="1844"/>
      <c r="AF574" s="1844"/>
      <c r="AG574" s="1844"/>
      <c r="AH574" s="1844"/>
      <c r="AI574" s="1844"/>
      <c r="AJ574" s="1844"/>
      <c r="AK574" s="184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698" t="s">
        <v>2526</v>
      </c>
      <c r="H575" s="1698"/>
      <c r="I575" s="1698"/>
      <c r="J575" s="1698"/>
      <c r="K575" s="1698"/>
      <c r="L575" s="1698"/>
      <c r="M575" s="1698"/>
      <c r="N575" s="1698"/>
      <c r="O575" s="1698"/>
      <c r="P575" s="1698"/>
      <c r="Q575" s="1698"/>
      <c r="R575" s="1698"/>
      <c r="S575" s="18"/>
      <c r="T575" s="46"/>
      <c r="U575" s="16" t="s">
        <v>416</v>
      </c>
      <c r="Z575" s="1698" t="s">
        <v>2384</v>
      </c>
      <c r="AA575" s="1698"/>
      <c r="AB575" s="1698"/>
      <c r="AC575" s="1698"/>
      <c r="AD575" s="1698"/>
      <c r="AE575" s="1698"/>
      <c r="AF575" s="1698"/>
      <c r="AG575" s="1698"/>
      <c r="AH575" s="1698"/>
      <c r="AI575" s="1698"/>
      <c r="AJ575" s="1698"/>
      <c r="AK575" s="169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698" t="s">
        <v>2446</v>
      </c>
      <c r="H576" s="1698"/>
      <c r="I576" s="1698"/>
      <c r="J576" s="1698"/>
      <c r="K576" s="1698"/>
      <c r="L576" s="1698"/>
      <c r="M576" s="1698"/>
      <c r="N576" s="1698"/>
      <c r="O576" s="1698"/>
      <c r="P576" s="1698"/>
      <c r="Q576" s="1698"/>
      <c r="R576" s="1698"/>
      <c r="S576" s="102"/>
      <c r="T576" s="46"/>
      <c r="U576" s="16" t="s">
        <v>479</v>
      </c>
      <c r="Z576" s="1688" t="s">
        <v>2398</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698" t="s">
        <v>2447</v>
      </c>
      <c r="H577" s="1698"/>
      <c r="I577" s="1698"/>
      <c r="J577" s="1698"/>
      <c r="K577" s="1698"/>
      <c r="L577" s="1698"/>
      <c r="M577" s="1698"/>
      <c r="N577" s="1698"/>
      <c r="O577" s="1698"/>
      <c r="P577" s="1698"/>
      <c r="Q577" s="1698"/>
      <c r="R577" s="1698"/>
      <c r="S577" s="18"/>
      <c r="T577" s="46"/>
      <c r="U577" s="16" t="s">
        <v>915</v>
      </c>
      <c r="Z577" s="1688" t="s">
        <v>2386</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91" t="s">
        <v>2448</v>
      </c>
      <c r="H578" s="1687"/>
      <c r="I578" s="1687"/>
      <c r="J578" s="1687"/>
      <c r="K578" s="1687"/>
      <c r="L578" s="1687"/>
      <c r="O578" s="149" t="s">
        <v>900</v>
      </c>
      <c r="P578" s="1702"/>
      <c r="Q578" s="1702"/>
      <c r="R578" s="1702"/>
      <c r="S578" s="20"/>
      <c r="T578" s="46"/>
      <c r="U578" s="16" t="s">
        <v>716</v>
      </c>
      <c r="Z578" s="1691" t="s">
        <v>2387</v>
      </c>
      <c r="AA578" s="1687"/>
      <c r="AB578" s="1687"/>
      <c r="AC578" s="1687"/>
      <c r="AD578" s="1687"/>
      <c r="AE578" s="1687"/>
      <c r="AH578" s="149" t="s">
        <v>900</v>
      </c>
      <c r="AI578" s="1702"/>
      <c r="AJ578" s="1702"/>
      <c r="AK578" s="170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8" t="s">
        <v>2493</v>
      </c>
      <c r="I579" s="1698"/>
      <c r="J579" s="1698"/>
      <c r="K579" s="1698"/>
      <c r="L579" s="1698"/>
      <c r="M579" s="1698"/>
      <c r="N579" s="1698"/>
      <c r="O579" s="1698"/>
      <c r="P579" s="1698"/>
      <c r="Q579" s="1698"/>
      <c r="R579" s="1698"/>
      <c r="S579" s="18"/>
      <c r="T579" s="46"/>
      <c r="U579" s="16" t="s">
        <v>916</v>
      </c>
      <c r="AA579" s="1698" t="s">
        <v>2539</v>
      </c>
      <c r="AB579" s="1698"/>
      <c r="AC579" s="1698"/>
      <c r="AD579" s="1698"/>
      <c r="AE579" s="1698"/>
      <c r="AF579" s="1698"/>
      <c r="AG579" s="1698"/>
      <c r="AH579" s="1698"/>
      <c r="AI579" s="1698"/>
      <c r="AJ579" s="1698"/>
      <c r="AK579" s="169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96" t="s">
        <v>119</v>
      </c>
      <c r="O580" s="1696"/>
      <c r="T580" s="46"/>
      <c r="U580" s="16" t="s">
        <v>918</v>
      </c>
      <c r="AG580" s="1696" t="s">
        <v>119</v>
      </c>
      <c r="AH580" s="169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4">
        <f>C562</f>
        <v>0</v>
      </c>
      <c r="H582" s="1844"/>
      <c r="I582" s="1844"/>
      <c r="J582" s="1844"/>
      <c r="K582" s="1844"/>
      <c r="L582" s="1844"/>
      <c r="M582" s="1844"/>
      <c r="N582" s="1844"/>
      <c r="O582" s="1844"/>
      <c r="P582" s="1844"/>
      <c r="Q582" s="1844"/>
      <c r="R582" s="1844"/>
      <c r="T582" s="101" t="s">
        <v>480</v>
      </c>
      <c r="U582" s="16" t="s">
        <v>93</v>
      </c>
      <c r="Z582" s="1844" t="str">
        <f>C563</f>
        <v>Sponsor Loan: CDBG-DR</v>
      </c>
      <c r="AA582" s="1844"/>
      <c r="AB582" s="1844"/>
      <c r="AC582" s="1844"/>
      <c r="AD582" s="1844"/>
      <c r="AE582" s="1844"/>
      <c r="AF582" s="1844"/>
      <c r="AG582" s="1844"/>
      <c r="AH582" s="1844"/>
      <c r="AI582" s="1844"/>
      <c r="AJ582" s="1844"/>
      <c r="AK582" s="184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8"/>
      <c r="H583" s="1698"/>
      <c r="I583" s="1698"/>
      <c r="J583" s="1698"/>
      <c r="K583" s="1698"/>
      <c r="L583" s="1698"/>
      <c r="M583" s="1698"/>
      <c r="N583" s="1698"/>
      <c r="O583" s="1698"/>
      <c r="P583" s="1698"/>
      <c r="Q583" s="1698"/>
      <c r="R583" s="1698"/>
      <c r="T583" s="46"/>
      <c r="U583" s="16" t="s">
        <v>416</v>
      </c>
      <c r="Z583" s="1698" t="s">
        <v>2531</v>
      </c>
      <c r="AA583" s="1698"/>
      <c r="AB583" s="1698"/>
      <c r="AC583" s="1698"/>
      <c r="AD583" s="1698"/>
      <c r="AE583" s="1698"/>
      <c r="AF583" s="1698"/>
      <c r="AG583" s="1698"/>
      <c r="AH583" s="1698"/>
      <c r="AI583" s="1698"/>
      <c r="AJ583" s="1698"/>
      <c r="AK583" s="169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8"/>
      <c r="H584" s="1688"/>
      <c r="I584" s="1688"/>
      <c r="J584" s="1688"/>
      <c r="K584" s="1688"/>
      <c r="L584" s="1688"/>
      <c r="M584" s="1688"/>
      <c r="N584" s="1688"/>
      <c r="O584" s="1688"/>
      <c r="P584" s="1688"/>
      <c r="Q584" s="1688"/>
      <c r="R584" s="1688"/>
      <c r="T584" s="46"/>
      <c r="U584" s="16" t="s">
        <v>479</v>
      </c>
      <c r="Z584" s="1688" t="s">
        <v>2509</v>
      </c>
      <c r="AA584" s="1688"/>
      <c r="AB584" s="1688"/>
      <c r="AC584" s="1688"/>
      <c r="AD584" s="1688"/>
      <c r="AE584" s="1688"/>
      <c r="AF584" s="1688"/>
      <c r="AG584" s="1688"/>
      <c r="AH584" s="1688"/>
      <c r="AI584" s="1688"/>
      <c r="AJ584" s="1688"/>
      <c r="AK584" s="16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8"/>
      <c r="H585" s="1688"/>
      <c r="I585" s="1688"/>
      <c r="J585" s="1688"/>
      <c r="K585" s="1688"/>
      <c r="L585" s="1688"/>
      <c r="M585" s="1688"/>
      <c r="N585" s="1688"/>
      <c r="O585" s="1688"/>
      <c r="P585" s="1688"/>
      <c r="Q585" s="1688"/>
      <c r="R585" s="1688"/>
      <c r="T585" s="46"/>
      <c r="U585" s="16" t="s">
        <v>915</v>
      </c>
      <c r="Z585" s="1688" t="s">
        <v>2532</v>
      </c>
      <c r="AA585" s="1688"/>
      <c r="AB585" s="1688"/>
      <c r="AC585" s="1688"/>
      <c r="AD585" s="1688"/>
      <c r="AE585" s="1688"/>
      <c r="AF585" s="1688"/>
      <c r="AG585" s="1688"/>
      <c r="AH585" s="1688"/>
      <c r="AI585" s="1688"/>
      <c r="AJ585" s="1688"/>
      <c r="AK585" s="16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91"/>
      <c r="H586" s="1687"/>
      <c r="I586" s="1687"/>
      <c r="J586" s="1687"/>
      <c r="K586" s="1687"/>
      <c r="L586" s="1687"/>
      <c r="O586" s="149" t="s">
        <v>900</v>
      </c>
      <c r="P586" s="1702"/>
      <c r="Q586" s="1702"/>
      <c r="R586" s="1702"/>
      <c r="T586" s="46"/>
      <c r="U586" s="16" t="s">
        <v>716</v>
      </c>
      <c r="Z586" s="1691" t="s">
        <v>2533</v>
      </c>
      <c r="AA586" s="1687"/>
      <c r="AB586" s="1687"/>
      <c r="AC586" s="1687"/>
      <c r="AD586" s="1687"/>
      <c r="AE586" s="1687"/>
      <c r="AH586" s="149" t="s">
        <v>900</v>
      </c>
      <c r="AI586" s="1702"/>
      <c r="AJ586" s="1702"/>
      <c r="AK586" s="170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8"/>
      <c r="I587" s="1698"/>
      <c r="J587" s="1698"/>
      <c r="K587" s="1698"/>
      <c r="L587" s="1698"/>
      <c r="M587" s="1698"/>
      <c r="N587" s="1698"/>
      <c r="O587" s="1698"/>
      <c r="P587" s="1698"/>
      <c r="Q587" s="1698"/>
      <c r="R587" s="1698"/>
      <c r="T587" s="46"/>
      <c r="U587" s="16" t="s">
        <v>916</v>
      </c>
      <c r="AA587" s="1698" t="s">
        <v>2530</v>
      </c>
      <c r="AB587" s="1698"/>
      <c r="AC587" s="1698"/>
      <c r="AD587" s="1698"/>
      <c r="AE587" s="1698"/>
      <c r="AF587" s="1698"/>
      <c r="AG587" s="1698"/>
      <c r="AH587" s="1698"/>
      <c r="AI587" s="1698"/>
      <c r="AJ587" s="1698"/>
      <c r="AK587" s="169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31"/>
      <c r="O588" s="1731"/>
      <c r="T588" s="46"/>
      <c r="U588" s="16" t="s">
        <v>918</v>
      </c>
      <c r="AG588" s="1731" t="s">
        <v>119</v>
      </c>
      <c r="AH588" s="173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4" t="str">
        <f>C564</f>
        <v>City of Napa - HTF Loan</v>
      </c>
      <c r="H590" s="1844"/>
      <c r="I590" s="1844"/>
      <c r="J590" s="1844"/>
      <c r="K590" s="1844"/>
      <c r="L590" s="1844"/>
      <c r="M590" s="1844"/>
      <c r="N590" s="1844"/>
      <c r="O590" s="1844"/>
      <c r="P590" s="1844"/>
      <c r="Q590" s="1844"/>
      <c r="R590" s="1844"/>
      <c r="T590" s="101" t="s">
        <v>483</v>
      </c>
      <c r="U590" s="16" t="s">
        <v>93</v>
      </c>
      <c r="Z590" s="1844" t="str">
        <f>C565</f>
        <v>County of Napa</v>
      </c>
      <c r="AA590" s="1844"/>
      <c r="AB590" s="1844"/>
      <c r="AC590" s="1844"/>
      <c r="AD590" s="1844"/>
      <c r="AE590" s="1844"/>
      <c r="AF590" s="1844"/>
      <c r="AG590" s="1844"/>
      <c r="AH590" s="1844"/>
      <c r="AI590" s="1844"/>
      <c r="AJ590" s="1844"/>
      <c r="AK590" s="184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8" t="s">
        <v>2531</v>
      </c>
      <c r="H591" s="1698"/>
      <c r="I591" s="1698"/>
      <c r="J591" s="1698"/>
      <c r="K591" s="1698"/>
      <c r="L591" s="1698"/>
      <c r="M591" s="1698"/>
      <c r="N591" s="1698"/>
      <c r="O591" s="1698"/>
      <c r="P591" s="1698"/>
      <c r="Q591" s="1698"/>
      <c r="R591" s="1698"/>
      <c r="T591" s="46"/>
      <c r="U591" s="16" t="s">
        <v>416</v>
      </c>
      <c r="Z591" s="1698" t="s">
        <v>2534</v>
      </c>
      <c r="AA591" s="1698"/>
      <c r="AB591" s="1698"/>
      <c r="AC591" s="1698"/>
      <c r="AD591" s="1698"/>
      <c r="AE591" s="1698"/>
      <c r="AF591" s="1698"/>
      <c r="AG591" s="1698"/>
      <c r="AH591" s="1698"/>
      <c r="AI591" s="1698"/>
      <c r="AJ591" s="1698"/>
      <c r="AK591" s="169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8" t="s">
        <v>2509</v>
      </c>
      <c r="H592" s="1698"/>
      <c r="I592" s="1698"/>
      <c r="J592" s="1698"/>
      <c r="K592" s="1698"/>
      <c r="L592" s="1698"/>
      <c r="M592" s="1698"/>
      <c r="N592" s="1698"/>
      <c r="O592" s="1698"/>
      <c r="P592" s="1698"/>
      <c r="Q592" s="1698"/>
      <c r="R592" s="1698"/>
      <c r="T592" s="46"/>
      <c r="U592" s="16" t="s">
        <v>479</v>
      </c>
      <c r="Z592" s="1688" t="s">
        <v>2522</v>
      </c>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8" t="s">
        <v>2532</v>
      </c>
      <c r="H593" s="1698"/>
      <c r="I593" s="1698"/>
      <c r="J593" s="1698"/>
      <c r="K593" s="1698"/>
      <c r="L593" s="1698"/>
      <c r="M593" s="1698"/>
      <c r="N593" s="1698"/>
      <c r="O593" s="1698"/>
      <c r="P593" s="1698"/>
      <c r="Q593" s="1698"/>
      <c r="R593" s="1698"/>
      <c r="T593" s="46"/>
      <c r="U593" s="16" t="s">
        <v>915</v>
      </c>
      <c r="Z593" s="1688" t="s">
        <v>2535</v>
      </c>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691" t="s">
        <v>2533</v>
      </c>
      <c r="H594" s="1687"/>
      <c r="I594" s="1687"/>
      <c r="J594" s="1687"/>
      <c r="K594" s="1687"/>
      <c r="L594" s="1687"/>
      <c r="O594" s="149" t="s">
        <v>900</v>
      </c>
      <c r="P594" s="1702"/>
      <c r="Q594" s="1702"/>
      <c r="R594" s="1702"/>
      <c r="T594" s="46"/>
      <c r="U594" s="16" t="s">
        <v>716</v>
      </c>
      <c r="Z594" s="1691" t="s">
        <v>2536</v>
      </c>
      <c r="AA594" s="1687"/>
      <c r="AB594" s="1687"/>
      <c r="AC594" s="1687"/>
      <c r="AD594" s="1687"/>
      <c r="AE594" s="1687"/>
      <c r="AH594" s="149" t="s">
        <v>900</v>
      </c>
      <c r="AI594" s="1702"/>
      <c r="AJ594" s="1702"/>
      <c r="AK594" s="170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698" t="s">
        <v>2530</v>
      </c>
      <c r="I595" s="1698"/>
      <c r="J595" s="1698"/>
      <c r="K595" s="1698"/>
      <c r="L595" s="1698"/>
      <c r="M595" s="1698"/>
      <c r="N595" s="1698"/>
      <c r="O595" s="1698"/>
      <c r="P595" s="1698"/>
      <c r="Q595" s="1698"/>
      <c r="R595" s="1698"/>
      <c r="T595" s="46"/>
      <c r="U595" s="16" t="s">
        <v>916</v>
      </c>
      <c r="AA595" s="1698" t="s">
        <v>2530</v>
      </c>
      <c r="AB595" s="1698"/>
      <c r="AC595" s="1698"/>
      <c r="AD595" s="1698"/>
      <c r="AE595" s="1698"/>
      <c r="AF595" s="1698"/>
      <c r="AG595" s="1698"/>
      <c r="AH595" s="1698"/>
      <c r="AI595" s="1698"/>
      <c r="AJ595" s="1698"/>
      <c r="AK595" s="169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731" t="s">
        <v>119</v>
      </c>
      <c r="O596" s="1731"/>
      <c r="T596" s="46"/>
      <c r="U596" s="16" t="s">
        <v>918</v>
      </c>
      <c r="AG596" s="1731" t="s">
        <v>119</v>
      </c>
      <c r="AH596" s="173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4" t="str">
        <f>C566</f>
        <v>County of Napa - Whole Person Care</v>
      </c>
      <c r="H598" s="1844"/>
      <c r="I598" s="1844"/>
      <c r="J598" s="1844"/>
      <c r="K598" s="1844"/>
      <c r="L598" s="1844"/>
      <c r="M598" s="1844"/>
      <c r="N598" s="1844"/>
      <c r="O598" s="1844"/>
      <c r="P598" s="1844"/>
      <c r="Q598" s="1844"/>
      <c r="R598" s="1844"/>
      <c r="T598" s="101" t="s">
        <v>811</v>
      </c>
      <c r="U598" s="16" t="s">
        <v>93</v>
      </c>
      <c r="Z598" s="1844" t="str">
        <f>C567</f>
        <v>Sponsor Loan (Queen of the Valley)</v>
      </c>
      <c r="AA598" s="1844"/>
      <c r="AB598" s="1844"/>
      <c r="AC598" s="1844"/>
      <c r="AD598" s="1844"/>
      <c r="AE598" s="1844"/>
      <c r="AF598" s="1844"/>
      <c r="AG598" s="1844"/>
      <c r="AH598" s="1844"/>
      <c r="AI598" s="1844"/>
      <c r="AJ598" s="1844"/>
      <c r="AK598" s="184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698" t="s">
        <v>2534</v>
      </c>
      <c r="H599" s="1698"/>
      <c r="I599" s="1698"/>
      <c r="J599" s="1698"/>
      <c r="K599" s="1698"/>
      <c r="L599" s="1698"/>
      <c r="M599" s="1698"/>
      <c r="N599" s="1698"/>
      <c r="O599" s="1698"/>
      <c r="P599" s="1698"/>
      <c r="Q599" s="1698"/>
      <c r="R599" s="1698"/>
      <c r="T599" s="46"/>
      <c r="U599" s="16" t="s">
        <v>416</v>
      </c>
      <c r="Z599" s="1698" t="s">
        <v>2384</v>
      </c>
      <c r="AA599" s="1698"/>
      <c r="AB599" s="1698"/>
      <c r="AC599" s="1698"/>
      <c r="AD599" s="1698"/>
      <c r="AE599" s="1698"/>
      <c r="AF599" s="1698"/>
      <c r="AG599" s="1698"/>
      <c r="AH599" s="1698"/>
      <c r="AI599" s="1698"/>
      <c r="AJ599" s="1698"/>
      <c r="AK599" s="169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8" t="s">
        <v>2522</v>
      </c>
      <c r="H600" s="1698"/>
      <c r="I600" s="1698"/>
      <c r="J600" s="1698"/>
      <c r="K600" s="1698"/>
      <c r="L600" s="1698"/>
      <c r="M600" s="1698"/>
      <c r="N600" s="1698"/>
      <c r="O600" s="1698"/>
      <c r="P600" s="1698"/>
      <c r="Q600" s="1698"/>
      <c r="R600" s="1698"/>
      <c r="S600" s="16"/>
      <c r="T600" s="46"/>
      <c r="U600" s="16" t="s">
        <v>479</v>
      </c>
      <c r="V600" s="16"/>
      <c r="W600" s="16"/>
      <c r="X600" s="16"/>
      <c r="Y600" s="16"/>
      <c r="Z600" s="1688" t="s">
        <v>2398</v>
      </c>
      <c r="AA600" s="1688"/>
      <c r="AB600" s="1688"/>
      <c r="AC600" s="1688"/>
      <c r="AD600" s="1688"/>
      <c r="AE600" s="1688"/>
      <c r="AF600" s="1688"/>
      <c r="AG600" s="1688"/>
      <c r="AH600" s="1688"/>
      <c r="AI600" s="1688"/>
      <c r="AJ600" s="1688"/>
      <c r="AK600" s="168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698" t="s">
        <v>2535</v>
      </c>
      <c r="H601" s="1698"/>
      <c r="I601" s="1698"/>
      <c r="J601" s="1698"/>
      <c r="K601" s="1698"/>
      <c r="L601" s="1698"/>
      <c r="M601" s="1698"/>
      <c r="N601" s="1698"/>
      <c r="O601" s="1698"/>
      <c r="P601" s="1698"/>
      <c r="Q601" s="1698"/>
      <c r="R601" s="1698"/>
      <c r="S601" s="16"/>
      <c r="T601" s="46"/>
      <c r="U601" s="16" t="s">
        <v>915</v>
      </c>
      <c r="V601" s="16"/>
      <c r="W601" s="16"/>
      <c r="X601" s="16"/>
      <c r="Y601" s="16"/>
      <c r="Z601" s="1688" t="s">
        <v>2386</v>
      </c>
      <c r="AA601" s="1688"/>
      <c r="AB601" s="1688"/>
      <c r="AC601" s="1688"/>
      <c r="AD601" s="1688"/>
      <c r="AE601" s="1688"/>
      <c r="AF601" s="1688"/>
      <c r="AG601" s="1688"/>
      <c r="AH601" s="1688"/>
      <c r="AI601" s="1688"/>
      <c r="AJ601" s="1688"/>
      <c r="AK601" s="1688"/>
      <c r="AL601" s="16"/>
      <c r="AM601" s="72"/>
      <c r="AN601" s="72"/>
      <c r="AO601" s="72"/>
      <c r="AP601" s="72"/>
      <c r="AQ601" s="72"/>
      <c r="AR601" s="72"/>
      <c r="AS601" s="72"/>
      <c r="AT601" s="72"/>
      <c r="AU601" s="72"/>
      <c r="AV601" s="72"/>
      <c r="AW601" s="72"/>
      <c r="AX601" s="72"/>
      <c r="AY601" s="72"/>
      <c r="AZ601" s="72"/>
      <c r="BN601" s="1439" t="s">
        <v>468</v>
      </c>
      <c r="BO601" s="1439"/>
      <c r="BP601" s="1439"/>
      <c r="BQ601" s="1440"/>
      <c r="BR601" s="1441"/>
      <c r="BS601" s="1439" t="s">
        <v>491</v>
      </c>
      <c r="BT601" s="1439"/>
      <c r="BU601" s="1439"/>
      <c r="BV601" s="1440"/>
      <c r="BW601" s="1441"/>
      <c r="BX601" s="1441" t="s">
        <v>853</v>
      </c>
      <c r="BY601" s="1439"/>
      <c r="BZ601" s="1439"/>
      <c r="CA601" s="1439"/>
      <c r="CB601" s="1439"/>
      <c r="CC601" s="1439" t="s">
        <v>854</v>
      </c>
      <c r="CD601" s="1439"/>
      <c r="CE601" s="1439"/>
      <c r="CF601" s="1439"/>
      <c r="CG601" s="1439"/>
      <c r="CH601" s="1439" t="s">
        <v>867</v>
      </c>
      <c r="CI601" s="1439"/>
      <c r="CJ601" s="1439"/>
      <c r="CK601" s="1439"/>
      <c r="CL601" s="1439"/>
      <c r="CM601" s="1439" t="s">
        <v>383</v>
      </c>
      <c r="CN601" s="1439"/>
      <c r="CO601" s="1439"/>
      <c r="CP601" s="1440"/>
      <c r="CQ601" s="1441"/>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691" t="s">
        <v>2536</v>
      </c>
      <c r="H602" s="1687"/>
      <c r="I602" s="1687"/>
      <c r="J602" s="1687"/>
      <c r="K602" s="1687"/>
      <c r="L602" s="1687"/>
      <c r="M602" s="16"/>
      <c r="N602" s="16"/>
      <c r="O602" s="149" t="s">
        <v>900</v>
      </c>
      <c r="P602" s="1702"/>
      <c r="Q602" s="1702"/>
      <c r="R602" s="1702"/>
      <c r="S602" s="16"/>
      <c r="T602" s="46"/>
      <c r="U602" s="16" t="s">
        <v>716</v>
      </c>
      <c r="V602" s="16"/>
      <c r="W602" s="16"/>
      <c r="X602" s="16"/>
      <c r="Y602" s="16"/>
      <c r="Z602" s="1691" t="s">
        <v>2387</v>
      </c>
      <c r="AA602" s="1687"/>
      <c r="AB602" s="1687"/>
      <c r="AC602" s="1687"/>
      <c r="AD602" s="1687"/>
      <c r="AE602" s="1687"/>
      <c r="AF602" s="16"/>
      <c r="AG602" s="16"/>
      <c r="AH602" s="149" t="s">
        <v>900</v>
      </c>
      <c r="AI602" s="1702"/>
      <c r="AJ602" s="1702"/>
      <c r="AK602" s="1702"/>
      <c r="AL602" s="16"/>
      <c r="AZ602" s="8" t="s">
        <v>490</v>
      </c>
      <c r="BA602" s="72"/>
      <c r="BB602" s="72"/>
      <c r="BC602" s="72"/>
      <c r="BD602" s="72"/>
      <c r="BE602" s="334" t="s">
        <v>392</v>
      </c>
      <c r="BF602" s="335"/>
      <c r="BG602" s="1788"/>
      <c r="BH602" s="1791"/>
      <c r="BI602" s="334" t="s">
        <v>393</v>
      </c>
      <c r="BJ602" s="335"/>
      <c r="BK602" s="1788"/>
      <c r="BL602" s="1791"/>
      <c r="BN602" s="1788">
        <f t="shared" ref="BN602:BN626" si="5">IF(B706="SRO/Studio",G706,0)</f>
        <v>36</v>
      </c>
      <c r="BO602" s="1789"/>
      <c r="BP602" s="1789"/>
      <c r="BQ602" s="1789"/>
      <c r="BR602" s="1790"/>
      <c r="BS602" s="1788">
        <f t="shared" ref="BS602:BS626" si="6">IF(B706="1 Bedroom",G706,0)</f>
        <v>0</v>
      </c>
      <c r="BT602" s="1789"/>
      <c r="BU602" s="1789"/>
      <c r="BV602" s="1789"/>
      <c r="BW602" s="1791"/>
      <c r="BX602" s="1788">
        <f t="shared" ref="BX602:BX626" si="7">IF(B706="2 Bedrooms",G706,0)</f>
        <v>0</v>
      </c>
      <c r="BY602" s="1789"/>
      <c r="BZ602" s="1789"/>
      <c r="CA602" s="1789"/>
      <c r="CB602" s="1791"/>
      <c r="CC602" s="1788">
        <f t="shared" ref="CC602:CC626" si="8">IF(B706="3 Bedrooms",G706,0)</f>
        <v>0</v>
      </c>
      <c r="CD602" s="1789"/>
      <c r="CE602" s="1789"/>
      <c r="CF602" s="1789"/>
      <c r="CG602" s="1791"/>
      <c r="CH602" s="1788">
        <f t="shared" ref="CH602:CH626" si="9">IF(B706="4 Bedrooms",G706,0)</f>
        <v>0</v>
      </c>
      <c r="CI602" s="1789"/>
      <c r="CJ602" s="1789"/>
      <c r="CK602" s="1789"/>
      <c r="CL602" s="1791"/>
      <c r="CM602" s="2146">
        <f t="shared" ref="CM602:CM626" si="10">IF(B706="5 Bedrooms",G706,0)</f>
        <v>0</v>
      </c>
      <c r="CN602" s="2147"/>
      <c r="CO602" s="2147"/>
      <c r="CP602" s="2147"/>
      <c r="CQ602" s="1790"/>
      <c r="CS602" s="1439" t="s">
        <v>468</v>
      </c>
      <c r="CT602" s="1439"/>
      <c r="CU602" s="1439"/>
      <c r="CV602" s="1439"/>
      <c r="CW602" s="1439"/>
      <c r="CX602" s="1439" t="s">
        <v>491</v>
      </c>
      <c r="CY602" s="1439"/>
      <c r="CZ602" s="1440"/>
      <c r="DA602" s="1442"/>
      <c r="DB602" s="1441"/>
      <c r="DC602" s="1439" t="s">
        <v>853</v>
      </c>
      <c r="DD602" s="1439"/>
      <c r="DE602" s="1439"/>
      <c r="DF602" s="1439"/>
      <c r="DG602" s="1439"/>
      <c r="DH602" s="1439" t="s">
        <v>854</v>
      </c>
      <c r="DI602" s="1439"/>
      <c r="DJ602" s="1439"/>
      <c r="DK602" s="1439"/>
      <c r="DL602" s="1439"/>
      <c r="DM602" s="1439" t="s">
        <v>867</v>
      </c>
      <c r="DN602" s="1439"/>
      <c r="DO602" s="1439"/>
      <c r="DP602" s="1439"/>
      <c r="DQ602" s="1439"/>
      <c r="DR602" s="1439" t="s">
        <v>383</v>
      </c>
      <c r="DS602" s="1439"/>
      <c r="DT602" s="1439"/>
      <c r="DU602" s="1439"/>
      <c r="DV602" s="1439"/>
    </row>
    <row r="603" spans="1:126" s="8" customFormat="1" ht="13.2">
      <c r="A603" s="46"/>
      <c r="B603" s="16" t="s">
        <v>916</v>
      </c>
      <c r="C603" s="16"/>
      <c r="D603" s="16"/>
      <c r="E603" s="16"/>
      <c r="F603" s="16"/>
      <c r="G603" s="16"/>
      <c r="H603" s="1698" t="s">
        <v>2530</v>
      </c>
      <c r="I603" s="1698"/>
      <c r="J603" s="1698"/>
      <c r="K603" s="1698"/>
      <c r="L603" s="1698"/>
      <c r="M603" s="1698"/>
      <c r="N603" s="1698"/>
      <c r="O603" s="1698"/>
      <c r="P603" s="1698"/>
      <c r="Q603" s="1698"/>
      <c r="R603" s="1698"/>
      <c r="S603" s="16"/>
      <c r="T603" s="46"/>
      <c r="U603" s="16" t="s">
        <v>916</v>
      </c>
      <c r="V603" s="16"/>
      <c r="W603" s="16"/>
      <c r="X603" s="16"/>
      <c r="Y603" s="16"/>
      <c r="Z603" s="16"/>
      <c r="AA603" s="1698" t="s">
        <v>2538</v>
      </c>
      <c r="AB603" s="1698"/>
      <c r="AC603" s="1698"/>
      <c r="AD603" s="1698"/>
      <c r="AE603" s="1698"/>
      <c r="AF603" s="1698"/>
      <c r="AG603" s="1698"/>
      <c r="AH603" s="1698"/>
      <c r="AI603" s="1698"/>
      <c r="AJ603" s="1698"/>
      <c r="AK603" s="1698"/>
      <c r="AL603" s="16"/>
      <c r="AZ603" s="8" t="s">
        <v>491</v>
      </c>
      <c r="BA603" s="72"/>
      <c r="BB603" s="72"/>
      <c r="BC603" s="72"/>
      <c r="BD603" s="72"/>
      <c r="BE603" s="1792">
        <f>IF(AND(AH706&lt;=0.5,AH706&gt;=0.36),1,0)</f>
        <v>0</v>
      </c>
      <c r="BF603" s="1793"/>
      <c r="BG603" s="1788">
        <f t="shared" ref="BG603:BG627" si="11">IF(BE603=1,G706,0)</f>
        <v>0</v>
      </c>
      <c r="BH603" s="1791"/>
      <c r="BI603" s="1792">
        <f>IF(AND(AH706&lt;=0.35,AH706&gt;0),1,0)</f>
        <v>1</v>
      </c>
      <c r="BJ603" s="1793"/>
      <c r="BK603" s="1788">
        <f t="shared" ref="BK603:BK627" si="12">IF(BI603=1,G706,0)</f>
        <v>36</v>
      </c>
      <c r="BL603" s="1791"/>
      <c r="BN603" s="1788">
        <f t="shared" si="5"/>
        <v>0</v>
      </c>
      <c r="BO603" s="1789"/>
      <c r="BP603" s="1789"/>
      <c r="BQ603" s="1789"/>
      <c r="BR603" s="1790"/>
      <c r="BS603" s="1788">
        <f t="shared" si="6"/>
        <v>0</v>
      </c>
      <c r="BT603" s="1789"/>
      <c r="BU603" s="1789"/>
      <c r="BV603" s="1789"/>
      <c r="BW603" s="1791"/>
      <c r="BX603" s="1788">
        <f t="shared" si="7"/>
        <v>0</v>
      </c>
      <c r="BY603" s="1789"/>
      <c r="BZ603" s="1789"/>
      <c r="CA603" s="1789"/>
      <c r="CB603" s="1791"/>
      <c r="CC603" s="1788">
        <f t="shared" si="8"/>
        <v>0</v>
      </c>
      <c r="CD603" s="1789"/>
      <c r="CE603" s="1789"/>
      <c r="CF603" s="1789"/>
      <c r="CG603" s="1791"/>
      <c r="CH603" s="1788">
        <f t="shared" si="9"/>
        <v>0</v>
      </c>
      <c r="CI603" s="1789"/>
      <c r="CJ603" s="1789"/>
      <c r="CK603" s="1789"/>
      <c r="CL603" s="1791"/>
      <c r="CM603" s="1788">
        <f t="shared" si="10"/>
        <v>0</v>
      </c>
      <c r="CN603" s="1789"/>
      <c r="CO603" s="1789"/>
      <c r="CP603" s="1789"/>
      <c r="CQ603" s="1791"/>
      <c r="CS603" s="2143">
        <f>IF(AND(B706="SRO/Studio",AH706&lt;=0.3),G706,0)</f>
        <v>36</v>
      </c>
      <c r="CT603" s="2144"/>
      <c r="CU603" s="2144"/>
      <c r="CV603" s="2144"/>
      <c r="CW603" s="2145"/>
      <c r="CX603" s="2143">
        <f>IF(AND(B706="1 Bedroom",AH706&lt;=0.3),G706,0)</f>
        <v>0</v>
      </c>
      <c r="CY603" s="2144"/>
      <c r="CZ603" s="2144"/>
      <c r="DA603" s="2144"/>
      <c r="DB603" s="2145"/>
      <c r="DC603" s="2143">
        <f>IF(AND(B706="2 Bedrooms",AH706&lt;=0.3),G706,0)</f>
        <v>0</v>
      </c>
      <c r="DD603" s="2144"/>
      <c r="DE603" s="2144"/>
      <c r="DF603" s="2144"/>
      <c r="DG603" s="2145"/>
      <c r="DH603" s="2143">
        <f>IF(AND(B706="3 Bedrooms",AH706&lt;=0.3),G706,0)</f>
        <v>0</v>
      </c>
      <c r="DI603" s="2144"/>
      <c r="DJ603" s="2144"/>
      <c r="DK603" s="2144"/>
      <c r="DL603" s="2145"/>
      <c r="DM603" s="2143">
        <f>IF(AND(B706="4 Bedrooms",AH706&lt;=0.3),G706,0)</f>
        <v>0</v>
      </c>
      <c r="DN603" s="2144"/>
      <c r="DO603" s="2144"/>
      <c r="DP603" s="2144"/>
      <c r="DQ603" s="2145"/>
      <c r="DR603" s="2143">
        <f>IF(AND(B706="5 Bedrooms",AH706&lt;=0.3),G706,0)</f>
        <v>0</v>
      </c>
      <c r="DS603" s="2144"/>
      <c r="DT603" s="2144"/>
      <c r="DU603" s="2144"/>
      <c r="DV603" s="2145"/>
    </row>
    <row r="604" spans="1:126" s="8" customFormat="1" ht="13.2">
      <c r="A604" s="46"/>
      <c r="B604" s="16" t="s">
        <v>918</v>
      </c>
      <c r="C604" s="16"/>
      <c r="D604" s="16"/>
      <c r="E604" s="16"/>
      <c r="F604" s="16"/>
      <c r="G604" s="16"/>
      <c r="H604" s="16"/>
      <c r="I604" s="16"/>
      <c r="J604" s="16"/>
      <c r="K604" s="16"/>
      <c r="L604" s="16"/>
      <c r="M604" s="16"/>
      <c r="N604" s="1731" t="s">
        <v>119</v>
      </c>
      <c r="O604" s="1731"/>
      <c r="P604" s="16"/>
      <c r="Q604" s="16"/>
      <c r="R604" s="16"/>
      <c r="S604" s="16"/>
      <c r="T604" s="46"/>
      <c r="U604" s="16" t="s">
        <v>918</v>
      </c>
      <c r="V604" s="16"/>
      <c r="W604" s="16"/>
      <c r="X604" s="16"/>
      <c r="Y604" s="16"/>
      <c r="Z604" s="16"/>
      <c r="AA604" s="16"/>
      <c r="AB604" s="16"/>
      <c r="AC604" s="16"/>
      <c r="AD604" s="16"/>
      <c r="AE604" s="16"/>
      <c r="AF604" s="16"/>
      <c r="AG604" s="1731" t="s">
        <v>119</v>
      </c>
      <c r="AH604" s="1731"/>
      <c r="AI604" s="16"/>
      <c r="AJ604" s="16"/>
      <c r="AK604" s="16"/>
      <c r="AL604" s="16"/>
      <c r="AZ604" s="8" t="s">
        <v>853</v>
      </c>
      <c r="BA604" s="72"/>
      <c r="BB604" s="72"/>
      <c r="BC604" s="72"/>
      <c r="BD604" s="72"/>
      <c r="BE604" s="1792">
        <f t="shared" ref="BE604:BE627" si="13">IF(AND(AH707&lt;=0.5,AH707&gt;=0.36),1,0)</f>
        <v>0</v>
      </c>
      <c r="BF604" s="1793"/>
      <c r="BG604" s="1788">
        <f t="shared" si="11"/>
        <v>0</v>
      </c>
      <c r="BH604" s="1791"/>
      <c r="BI604" s="1792">
        <f t="shared" ref="BI604:BI627" si="14">IF(AND(AH707&lt;=0.35,AH707&gt;0),1,0)</f>
        <v>0</v>
      </c>
      <c r="BJ604" s="1793"/>
      <c r="BK604" s="1788">
        <f t="shared" si="12"/>
        <v>0</v>
      </c>
      <c r="BL604" s="1791"/>
      <c r="BN604" s="1788">
        <f t="shared" si="5"/>
        <v>0</v>
      </c>
      <c r="BO604" s="1789"/>
      <c r="BP604" s="1789"/>
      <c r="BQ604" s="1789"/>
      <c r="BR604" s="1790"/>
      <c r="BS604" s="1788">
        <f t="shared" si="6"/>
        <v>4</v>
      </c>
      <c r="BT604" s="1789"/>
      <c r="BU604" s="1789"/>
      <c r="BV604" s="1789"/>
      <c r="BW604" s="1791"/>
      <c r="BX604" s="1788">
        <f t="shared" si="7"/>
        <v>0</v>
      </c>
      <c r="BY604" s="1789"/>
      <c r="BZ604" s="1789"/>
      <c r="CA604" s="1789"/>
      <c r="CB604" s="1791"/>
      <c r="CC604" s="1788">
        <f t="shared" si="8"/>
        <v>0</v>
      </c>
      <c r="CD604" s="1789"/>
      <c r="CE604" s="1789"/>
      <c r="CF604" s="1789"/>
      <c r="CG604" s="1791"/>
      <c r="CH604" s="1788">
        <f t="shared" si="9"/>
        <v>0</v>
      </c>
      <c r="CI604" s="1789"/>
      <c r="CJ604" s="1789"/>
      <c r="CK604" s="1789"/>
      <c r="CL604" s="1791"/>
      <c r="CM604" s="1788">
        <f t="shared" si="10"/>
        <v>0</v>
      </c>
      <c r="CN604" s="1789"/>
      <c r="CO604" s="1789"/>
      <c r="CP604" s="1789"/>
      <c r="CQ604" s="1791"/>
      <c r="CS604" s="2143">
        <f t="shared" ref="CS604:CS627" si="15">IF(AND(B707="SRO/Studio",AH707&lt;=0.3),G707,0)</f>
        <v>0</v>
      </c>
      <c r="CT604" s="2144"/>
      <c r="CU604" s="2144"/>
      <c r="CV604" s="2144"/>
      <c r="CW604" s="2145"/>
      <c r="CX604" s="2143">
        <f t="shared" ref="CX604:CX627" si="16">IF(AND(B707="1 Bedroom",AH707&lt;=0.3),G707,0)</f>
        <v>0</v>
      </c>
      <c r="CY604" s="2144"/>
      <c r="CZ604" s="2144"/>
      <c r="DA604" s="2144"/>
      <c r="DB604" s="2145"/>
      <c r="DC604" s="2143">
        <f t="shared" ref="DC604:DC627" si="17">IF(AND(B707="2 Bedrooms",AH707&lt;=0.3),G707,0)</f>
        <v>0</v>
      </c>
      <c r="DD604" s="2144"/>
      <c r="DE604" s="2144"/>
      <c r="DF604" s="2144"/>
      <c r="DG604" s="2145"/>
      <c r="DH604" s="2143">
        <f t="shared" ref="DH604:DH627" si="18">IF(AND(B707="3 Bedrooms",AH707&lt;=0.3),G707,0)</f>
        <v>0</v>
      </c>
      <c r="DI604" s="2144"/>
      <c r="DJ604" s="2144"/>
      <c r="DK604" s="2144"/>
      <c r="DL604" s="2145"/>
      <c r="DM604" s="2143">
        <f t="shared" ref="DM604:DM627" si="19">IF(AND(B707="4 Bedrooms",AH707&lt;=0.3),G707,0)</f>
        <v>0</v>
      </c>
      <c r="DN604" s="2144"/>
      <c r="DO604" s="2144"/>
      <c r="DP604" s="2144"/>
      <c r="DQ604" s="2145"/>
      <c r="DR604" s="2143">
        <f t="shared" ref="DR604:DR627" si="20">IF(AND(B707="5 Bedrooms",AH707&lt;=0.3),G707,0)</f>
        <v>0</v>
      </c>
      <c r="DS604" s="2144"/>
      <c r="DT604" s="2144"/>
      <c r="DU604" s="2144"/>
      <c r="DV604" s="2145"/>
    </row>
    <row r="605" spans="1:126" ht="13.2">
      <c r="AZ605" s="8" t="s">
        <v>854</v>
      </c>
      <c r="BA605" s="72"/>
      <c r="BB605" s="72"/>
      <c r="BC605" s="72"/>
      <c r="BD605" s="72"/>
      <c r="BE605" s="1792">
        <f t="shared" si="13"/>
        <v>0</v>
      </c>
      <c r="BF605" s="1793"/>
      <c r="BG605" s="1788">
        <f t="shared" si="11"/>
        <v>0</v>
      </c>
      <c r="BH605" s="1791"/>
      <c r="BI605" s="1792">
        <f t="shared" si="14"/>
        <v>1</v>
      </c>
      <c r="BJ605" s="1793"/>
      <c r="BK605" s="1788">
        <f t="shared" si="12"/>
        <v>4</v>
      </c>
      <c r="BL605" s="1791"/>
      <c r="BN605" s="1788">
        <f t="shared" si="5"/>
        <v>3</v>
      </c>
      <c r="BO605" s="1789"/>
      <c r="BP605" s="1789"/>
      <c r="BQ605" s="1789"/>
      <c r="BR605" s="1790"/>
      <c r="BS605" s="1788">
        <f t="shared" si="6"/>
        <v>0</v>
      </c>
      <c r="BT605" s="1789"/>
      <c r="BU605" s="1789"/>
      <c r="BV605" s="1789"/>
      <c r="BW605" s="1791"/>
      <c r="BX605" s="1788">
        <f t="shared" si="7"/>
        <v>0</v>
      </c>
      <c r="BY605" s="1789"/>
      <c r="BZ605" s="1789"/>
      <c r="CA605" s="1789"/>
      <c r="CB605" s="1791"/>
      <c r="CC605" s="1788">
        <f t="shared" si="8"/>
        <v>0</v>
      </c>
      <c r="CD605" s="1789"/>
      <c r="CE605" s="1789"/>
      <c r="CF605" s="1789"/>
      <c r="CG605" s="1791"/>
      <c r="CH605" s="1788">
        <f t="shared" si="9"/>
        <v>0</v>
      </c>
      <c r="CI605" s="1789"/>
      <c r="CJ605" s="1789"/>
      <c r="CK605" s="1789"/>
      <c r="CL605" s="1791"/>
      <c r="CM605" s="1788">
        <f t="shared" si="10"/>
        <v>0</v>
      </c>
      <c r="CN605" s="1789"/>
      <c r="CO605" s="1789"/>
      <c r="CP605" s="1789"/>
      <c r="CQ605" s="1791"/>
      <c r="CS605" s="2143">
        <f t="shared" si="15"/>
        <v>0</v>
      </c>
      <c r="CT605" s="2144"/>
      <c r="CU605" s="2144"/>
      <c r="CV605" s="2144"/>
      <c r="CW605" s="2145"/>
      <c r="CX605" s="2143">
        <f t="shared" si="16"/>
        <v>4</v>
      </c>
      <c r="CY605" s="2144"/>
      <c r="CZ605" s="2144"/>
      <c r="DA605" s="2144"/>
      <c r="DB605" s="2145"/>
      <c r="DC605" s="2143">
        <f t="shared" si="17"/>
        <v>0</v>
      </c>
      <c r="DD605" s="2144"/>
      <c r="DE605" s="2144"/>
      <c r="DF605" s="2144"/>
      <c r="DG605" s="2145"/>
      <c r="DH605" s="2143">
        <f t="shared" si="18"/>
        <v>0</v>
      </c>
      <c r="DI605" s="2144"/>
      <c r="DJ605" s="2144"/>
      <c r="DK605" s="2144"/>
      <c r="DL605" s="2145"/>
      <c r="DM605" s="2143">
        <f t="shared" si="19"/>
        <v>0</v>
      </c>
      <c r="DN605" s="2144"/>
      <c r="DO605" s="2144"/>
      <c r="DP605" s="2144"/>
      <c r="DQ605" s="2145"/>
      <c r="DR605" s="2143">
        <f t="shared" si="20"/>
        <v>0</v>
      </c>
      <c r="DS605" s="2144"/>
      <c r="DT605" s="2144"/>
      <c r="DU605" s="2144"/>
      <c r="DV605" s="2145"/>
    </row>
    <row r="606" spans="1:126" ht="13.2">
      <c r="A606" s="101" t="s">
        <v>606</v>
      </c>
      <c r="B606" s="16" t="s">
        <v>93</v>
      </c>
      <c r="G606" s="1844" t="str">
        <f>C568</f>
        <v>Sponsor Loan: NPLH - Technical Assistance</v>
      </c>
      <c r="H606" s="1844"/>
      <c r="I606" s="1844"/>
      <c r="J606" s="1844"/>
      <c r="K606" s="1844"/>
      <c r="L606" s="1844"/>
      <c r="M606" s="1844"/>
      <c r="N606" s="1844"/>
      <c r="O606" s="1844"/>
      <c r="P606" s="1844"/>
      <c r="Q606" s="1844"/>
      <c r="R606" s="1844"/>
      <c r="T606" s="101" t="s">
        <v>191</v>
      </c>
      <c r="U606" s="16" t="s">
        <v>93</v>
      </c>
      <c r="Z606" s="1844" t="str">
        <f>C569</f>
        <v>GP Equity: Partnership Health Grant</v>
      </c>
      <c r="AA606" s="1844"/>
      <c r="AB606" s="1844"/>
      <c r="AC606" s="1844"/>
      <c r="AD606" s="1844"/>
      <c r="AE606" s="1844"/>
      <c r="AF606" s="1844"/>
      <c r="AG606" s="1844"/>
      <c r="AH606" s="1844"/>
      <c r="AI606" s="1844"/>
      <c r="AJ606" s="1844"/>
      <c r="AK606" s="1844"/>
      <c r="AZ606" s="8" t="s">
        <v>855</v>
      </c>
      <c r="BA606" s="72"/>
      <c r="BB606" s="72"/>
      <c r="BC606" s="72"/>
      <c r="BD606" s="72"/>
      <c r="BE606" s="1792">
        <f t="shared" si="13"/>
        <v>0</v>
      </c>
      <c r="BF606" s="1793"/>
      <c r="BG606" s="1788">
        <f t="shared" si="11"/>
        <v>0</v>
      </c>
      <c r="BH606" s="1791"/>
      <c r="BI606" s="1792">
        <f t="shared" si="14"/>
        <v>1</v>
      </c>
      <c r="BJ606" s="1793"/>
      <c r="BK606" s="1788">
        <f t="shared" si="12"/>
        <v>3</v>
      </c>
      <c r="BL606" s="1791"/>
      <c r="BN606" s="1788">
        <f t="shared" si="5"/>
        <v>0</v>
      </c>
      <c r="BO606" s="1789"/>
      <c r="BP606" s="1789"/>
      <c r="BQ606" s="1789"/>
      <c r="BR606" s="1790"/>
      <c r="BS606" s="1788">
        <f t="shared" si="6"/>
        <v>3</v>
      </c>
      <c r="BT606" s="1789"/>
      <c r="BU606" s="1789"/>
      <c r="BV606" s="1789"/>
      <c r="BW606" s="1791"/>
      <c r="BX606" s="1788">
        <f t="shared" si="7"/>
        <v>0</v>
      </c>
      <c r="BY606" s="1789"/>
      <c r="BZ606" s="1789"/>
      <c r="CA606" s="1789"/>
      <c r="CB606" s="1791"/>
      <c r="CC606" s="1788">
        <f t="shared" si="8"/>
        <v>0</v>
      </c>
      <c r="CD606" s="1789"/>
      <c r="CE606" s="1789"/>
      <c r="CF606" s="1789"/>
      <c r="CG606" s="1791"/>
      <c r="CH606" s="1788">
        <f t="shared" si="9"/>
        <v>0</v>
      </c>
      <c r="CI606" s="1789"/>
      <c r="CJ606" s="1789"/>
      <c r="CK606" s="1789"/>
      <c r="CL606" s="1791"/>
      <c r="CM606" s="1788">
        <f t="shared" si="10"/>
        <v>0</v>
      </c>
      <c r="CN606" s="1789"/>
      <c r="CO606" s="1789"/>
      <c r="CP606" s="1789"/>
      <c r="CQ606" s="1791"/>
      <c r="CS606" s="2143">
        <f t="shared" si="15"/>
        <v>3</v>
      </c>
      <c r="CT606" s="2144"/>
      <c r="CU606" s="2144"/>
      <c r="CV606" s="2144"/>
      <c r="CW606" s="2145"/>
      <c r="CX606" s="2143">
        <f t="shared" si="16"/>
        <v>0</v>
      </c>
      <c r="CY606" s="2144"/>
      <c r="CZ606" s="2144"/>
      <c r="DA606" s="2144"/>
      <c r="DB606" s="2145"/>
      <c r="DC606" s="2143">
        <f t="shared" si="17"/>
        <v>0</v>
      </c>
      <c r="DD606" s="2144"/>
      <c r="DE606" s="2144"/>
      <c r="DF606" s="2144"/>
      <c r="DG606" s="2145"/>
      <c r="DH606" s="2143">
        <f t="shared" si="18"/>
        <v>0</v>
      </c>
      <c r="DI606" s="2144"/>
      <c r="DJ606" s="2144"/>
      <c r="DK606" s="2144"/>
      <c r="DL606" s="2145"/>
      <c r="DM606" s="2143">
        <f t="shared" si="19"/>
        <v>0</v>
      </c>
      <c r="DN606" s="2144"/>
      <c r="DO606" s="2144"/>
      <c r="DP606" s="2144"/>
      <c r="DQ606" s="2145"/>
      <c r="DR606" s="2143">
        <f t="shared" si="20"/>
        <v>0</v>
      </c>
      <c r="DS606" s="2144"/>
      <c r="DT606" s="2144"/>
      <c r="DU606" s="2144"/>
      <c r="DV606" s="2145"/>
    </row>
    <row r="607" spans="1:126" ht="13.2">
      <c r="A607" s="46"/>
      <c r="B607" s="16" t="s">
        <v>416</v>
      </c>
      <c r="G607" s="1698" t="s">
        <v>2527</v>
      </c>
      <c r="H607" s="1698"/>
      <c r="I607" s="1698"/>
      <c r="J607" s="1698"/>
      <c r="K607" s="1698"/>
      <c r="L607" s="1698"/>
      <c r="M607" s="1698"/>
      <c r="N607" s="1698"/>
      <c r="O607" s="1698"/>
      <c r="P607" s="1698"/>
      <c r="Q607" s="1698"/>
      <c r="R607" s="1698"/>
      <c r="T607" s="46"/>
      <c r="U607" s="16" t="s">
        <v>416</v>
      </c>
      <c r="Z607" s="1698" t="s">
        <v>2384</v>
      </c>
      <c r="AA607" s="1698"/>
      <c r="AB607" s="1698"/>
      <c r="AC607" s="1698"/>
      <c r="AD607" s="1698"/>
      <c r="AE607" s="1698"/>
      <c r="AF607" s="1698"/>
      <c r="AG607" s="1698"/>
      <c r="AH607" s="1698"/>
      <c r="AI607" s="1698"/>
      <c r="AJ607" s="1698"/>
      <c r="AK607" s="1698"/>
      <c r="AZ607" s="8" t="s">
        <v>383</v>
      </c>
      <c r="BA607" s="72"/>
      <c r="BB607" s="72"/>
      <c r="BC607" s="72"/>
      <c r="BD607" s="72"/>
      <c r="BE607" s="1792">
        <f t="shared" si="13"/>
        <v>0</v>
      </c>
      <c r="BF607" s="1793"/>
      <c r="BG607" s="1788">
        <f t="shared" si="11"/>
        <v>0</v>
      </c>
      <c r="BH607" s="1791"/>
      <c r="BI607" s="1792">
        <f t="shared" si="14"/>
        <v>1</v>
      </c>
      <c r="BJ607" s="1793"/>
      <c r="BK607" s="1788">
        <f t="shared" si="12"/>
        <v>3</v>
      </c>
      <c r="BL607" s="1791"/>
      <c r="BN607" s="1788">
        <f t="shared" si="5"/>
        <v>3</v>
      </c>
      <c r="BO607" s="1789"/>
      <c r="BP607" s="1789"/>
      <c r="BQ607" s="1789"/>
      <c r="BR607" s="1790"/>
      <c r="BS607" s="1788">
        <f t="shared" si="6"/>
        <v>0</v>
      </c>
      <c r="BT607" s="1789"/>
      <c r="BU607" s="1789"/>
      <c r="BV607" s="1789"/>
      <c r="BW607" s="1791"/>
      <c r="BX607" s="1788">
        <f t="shared" si="7"/>
        <v>0</v>
      </c>
      <c r="BY607" s="1789"/>
      <c r="BZ607" s="1789"/>
      <c r="CA607" s="1789"/>
      <c r="CB607" s="1791"/>
      <c r="CC607" s="1788">
        <f t="shared" si="8"/>
        <v>0</v>
      </c>
      <c r="CD607" s="1789"/>
      <c r="CE607" s="1789"/>
      <c r="CF607" s="1789"/>
      <c r="CG607" s="1791"/>
      <c r="CH607" s="1788">
        <f t="shared" si="9"/>
        <v>0</v>
      </c>
      <c r="CI607" s="1789"/>
      <c r="CJ607" s="1789"/>
      <c r="CK607" s="1789"/>
      <c r="CL607" s="1791"/>
      <c r="CM607" s="1788">
        <f t="shared" si="10"/>
        <v>0</v>
      </c>
      <c r="CN607" s="1789"/>
      <c r="CO607" s="1789"/>
      <c r="CP607" s="1789"/>
      <c r="CQ607" s="1791"/>
      <c r="CS607" s="2143">
        <f t="shared" si="15"/>
        <v>0</v>
      </c>
      <c r="CT607" s="2144"/>
      <c r="CU607" s="2144"/>
      <c r="CV607" s="2144"/>
      <c r="CW607" s="2145"/>
      <c r="CX607" s="2143">
        <f t="shared" si="16"/>
        <v>3</v>
      </c>
      <c r="CY607" s="2144"/>
      <c r="CZ607" s="2144"/>
      <c r="DA607" s="2144"/>
      <c r="DB607" s="2145"/>
      <c r="DC607" s="2143">
        <f t="shared" si="17"/>
        <v>0</v>
      </c>
      <c r="DD607" s="2144"/>
      <c r="DE607" s="2144"/>
      <c r="DF607" s="2144"/>
      <c r="DG607" s="2145"/>
      <c r="DH607" s="2143">
        <f t="shared" si="18"/>
        <v>0</v>
      </c>
      <c r="DI607" s="2144"/>
      <c r="DJ607" s="2144"/>
      <c r="DK607" s="2144"/>
      <c r="DL607" s="2145"/>
      <c r="DM607" s="2143">
        <f t="shared" si="19"/>
        <v>0</v>
      </c>
      <c r="DN607" s="2144"/>
      <c r="DO607" s="2144"/>
      <c r="DP607" s="2144"/>
      <c r="DQ607" s="2145"/>
      <c r="DR607" s="2143">
        <f t="shared" si="20"/>
        <v>0</v>
      </c>
      <c r="DS607" s="2144"/>
      <c r="DT607" s="2144"/>
      <c r="DU607" s="2144"/>
      <c r="DV607" s="2145"/>
    </row>
    <row r="608" spans="1:126" ht="13.2">
      <c r="A608" s="46"/>
      <c r="B608" s="16" t="s">
        <v>479</v>
      </c>
      <c r="G608" s="1698" t="s">
        <v>2528</v>
      </c>
      <c r="H608" s="1698"/>
      <c r="I608" s="1698"/>
      <c r="J608" s="1698"/>
      <c r="K608" s="1698"/>
      <c r="L608" s="1698"/>
      <c r="M608" s="1698"/>
      <c r="N608" s="1698"/>
      <c r="O608" s="1698"/>
      <c r="P608" s="1698"/>
      <c r="Q608" s="1698"/>
      <c r="R608" s="1698"/>
      <c r="T608" s="46"/>
      <c r="U608" s="16" t="s">
        <v>479</v>
      </c>
      <c r="Z608" s="1688" t="s">
        <v>2398</v>
      </c>
      <c r="AA608" s="1688"/>
      <c r="AB608" s="1688"/>
      <c r="AC608" s="1688"/>
      <c r="AD608" s="1688"/>
      <c r="AE608" s="1688"/>
      <c r="AF608" s="1688"/>
      <c r="AG608" s="1688"/>
      <c r="AH608" s="1688"/>
      <c r="AI608" s="1688"/>
      <c r="AJ608" s="1688"/>
      <c r="AK608" s="1688"/>
      <c r="AZ608" s="72"/>
      <c r="BA608" s="72"/>
      <c r="BB608" s="72"/>
      <c r="BC608" s="72"/>
      <c r="BD608" s="72"/>
      <c r="BE608" s="1792">
        <f t="shared" si="13"/>
        <v>1</v>
      </c>
      <c r="BF608" s="1793"/>
      <c r="BG608" s="1788">
        <f t="shared" si="11"/>
        <v>3</v>
      </c>
      <c r="BH608" s="1791"/>
      <c r="BI608" s="1792">
        <f t="shared" si="14"/>
        <v>0</v>
      </c>
      <c r="BJ608" s="1793"/>
      <c r="BK608" s="1788">
        <f t="shared" si="12"/>
        <v>0</v>
      </c>
      <c r="BL608" s="1791"/>
      <c r="BN608" s="1788">
        <f t="shared" si="5"/>
        <v>8</v>
      </c>
      <c r="BO608" s="1789"/>
      <c r="BP608" s="1789"/>
      <c r="BQ608" s="1789"/>
      <c r="BR608" s="1790"/>
      <c r="BS608" s="1788">
        <f t="shared" si="6"/>
        <v>0</v>
      </c>
      <c r="BT608" s="1789"/>
      <c r="BU608" s="1789"/>
      <c r="BV608" s="1789"/>
      <c r="BW608" s="1791"/>
      <c r="BX608" s="1788">
        <f t="shared" si="7"/>
        <v>0</v>
      </c>
      <c r="BY608" s="1789"/>
      <c r="BZ608" s="1789"/>
      <c r="CA608" s="1789"/>
      <c r="CB608" s="1791"/>
      <c r="CC608" s="1788">
        <f t="shared" si="8"/>
        <v>0</v>
      </c>
      <c r="CD608" s="1789"/>
      <c r="CE608" s="1789"/>
      <c r="CF608" s="1789"/>
      <c r="CG608" s="1791"/>
      <c r="CH608" s="1788">
        <f t="shared" si="9"/>
        <v>0</v>
      </c>
      <c r="CI608" s="1789"/>
      <c r="CJ608" s="1789"/>
      <c r="CK608" s="1789"/>
      <c r="CL608" s="1791"/>
      <c r="CM608" s="1788">
        <f t="shared" si="10"/>
        <v>0</v>
      </c>
      <c r="CN608" s="1789"/>
      <c r="CO608" s="1789"/>
      <c r="CP608" s="1789"/>
      <c r="CQ608" s="1791"/>
      <c r="CS608" s="2143">
        <f t="shared" si="15"/>
        <v>0</v>
      </c>
      <c r="CT608" s="2144"/>
      <c r="CU608" s="2144"/>
      <c r="CV608" s="2144"/>
      <c r="CW608" s="2145"/>
      <c r="CX608" s="2143">
        <f t="shared" si="16"/>
        <v>0</v>
      </c>
      <c r="CY608" s="2144"/>
      <c r="CZ608" s="2144"/>
      <c r="DA608" s="2144"/>
      <c r="DB608" s="2145"/>
      <c r="DC608" s="2143">
        <f t="shared" si="17"/>
        <v>0</v>
      </c>
      <c r="DD608" s="2144"/>
      <c r="DE608" s="2144"/>
      <c r="DF608" s="2144"/>
      <c r="DG608" s="2145"/>
      <c r="DH608" s="2143">
        <f t="shared" si="18"/>
        <v>0</v>
      </c>
      <c r="DI608" s="2144"/>
      <c r="DJ608" s="2144"/>
      <c r="DK608" s="2144"/>
      <c r="DL608" s="2145"/>
      <c r="DM608" s="2143">
        <f t="shared" si="19"/>
        <v>0</v>
      </c>
      <c r="DN608" s="2144"/>
      <c r="DO608" s="2144"/>
      <c r="DP608" s="2144"/>
      <c r="DQ608" s="2145"/>
      <c r="DR608" s="2143">
        <f t="shared" si="20"/>
        <v>0</v>
      </c>
      <c r="DS608" s="2144"/>
      <c r="DT608" s="2144"/>
      <c r="DU608" s="2144"/>
      <c r="DV608" s="2145"/>
    </row>
    <row r="609" spans="1:126" ht="13.2">
      <c r="A609" s="46"/>
      <c r="B609" s="16" t="s">
        <v>915</v>
      </c>
      <c r="G609" s="1698" t="s">
        <v>2537</v>
      </c>
      <c r="H609" s="1698"/>
      <c r="I609" s="1698"/>
      <c r="J609" s="1698"/>
      <c r="K609" s="1698"/>
      <c r="L609" s="1698"/>
      <c r="M609" s="1698"/>
      <c r="N609" s="1698"/>
      <c r="O609" s="1698"/>
      <c r="P609" s="1698"/>
      <c r="Q609" s="1698"/>
      <c r="R609" s="1698"/>
      <c r="T609" s="46"/>
      <c r="U609" s="16" t="s">
        <v>915</v>
      </c>
      <c r="Z609" s="1688" t="s">
        <v>2386</v>
      </c>
      <c r="AA609" s="1688"/>
      <c r="AB609" s="1688"/>
      <c r="AC609" s="1688"/>
      <c r="AD609" s="1688"/>
      <c r="AE609" s="1688"/>
      <c r="AF609" s="1688"/>
      <c r="AG609" s="1688"/>
      <c r="AH609" s="1688"/>
      <c r="AI609" s="1688"/>
      <c r="AJ609" s="1688"/>
      <c r="AK609" s="1688"/>
      <c r="AZ609" s="72"/>
      <c r="BA609" s="72"/>
      <c r="BB609" s="72"/>
      <c r="BC609" s="72"/>
      <c r="BD609" s="72"/>
      <c r="BE609" s="1792">
        <f t="shared" si="13"/>
        <v>1</v>
      </c>
      <c r="BF609" s="1793"/>
      <c r="BG609" s="1788">
        <f t="shared" si="11"/>
        <v>8</v>
      </c>
      <c r="BH609" s="1791"/>
      <c r="BI609" s="1792">
        <f t="shared" si="14"/>
        <v>0</v>
      </c>
      <c r="BJ609" s="1793"/>
      <c r="BK609" s="1788">
        <f t="shared" si="12"/>
        <v>0</v>
      </c>
      <c r="BL609" s="1791"/>
      <c r="BN609" s="1788">
        <f t="shared" si="5"/>
        <v>8</v>
      </c>
      <c r="BO609" s="1789"/>
      <c r="BP609" s="1789"/>
      <c r="BQ609" s="1789"/>
      <c r="BR609" s="1790"/>
      <c r="BS609" s="1788">
        <f t="shared" si="6"/>
        <v>0</v>
      </c>
      <c r="BT609" s="1789"/>
      <c r="BU609" s="1789"/>
      <c r="BV609" s="1789"/>
      <c r="BW609" s="1791"/>
      <c r="BX609" s="1788">
        <f t="shared" si="7"/>
        <v>0</v>
      </c>
      <c r="BY609" s="1789"/>
      <c r="BZ609" s="1789"/>
      <c r="CA609" s="1789"/>
      <c r="CB609" s="1791"/>
      <c r="CC609" s="1788">
        <f t="shared" si="8"/>
        <v>0</v>
      </c>
      <c r="CD609" s="1789"/>
      <c r="CE609" s="1789"/>
      <c r="CF609" s="1789"/>
      <c r="CG609" s="1791"/>
      <c r="CH609" s="1788">
        <f t="shared" si="9"/>
        <v>0</v>
      </c>
      <c r="CI609" s="1789"/>
      <c r="CJ609" s="1789"/>
      <c r="CK609" s="1789"/>
      <c r="CL609" s="1791"/>
      <c r="CM609" s="1788">
        <f t="shared" si="10"/>
        <v>0</v>
      </c>
      <c r="CN609" s="1789"/>
      <c r="CO609" s="1789"/>
      <c r="CP609" s="1789"/>
      <c r="CQ609" s="1791"/>
      <c r="CS609" s="2143">
        <f t="shared" si="15"/>
        <v>0</v>
      </c>
      <c r="CT609" s="2144"/>
      <c r="CU609" s="2144"/>
      <c r="CV609" s="2144"/>
      <c r="CW609" s="2145"/>
      <c r="CX609" s="2143">
        <f t="shared" si="16"/>
        <v>0</v>
      </c>
      <c r="CY609" s="2144"/>
      <c r="CZ609" s="2144"/>
      <c r="DA609" s="2144"/>
      <c r="DB609" s="2145"/>
      <c r="DC609" s="2143">
        <f t="shared" si="17"/>
        <v>0</v>
      </c>
      <c r="DD609" s="2144"/>
      <c r="DE609" s="2144"/>
      <c r="DF609" s="2144"/>
      <c r="DG609" s="2145"/>
      <c r="DH609" s="2143">
        <f t="shared" si="18"/>
        <v>0</v>
      </c>
      <c r="DI609" s="2144"/>
      <c r="DJ609" s="2144"/>
      <c r="DK609" s="2144"/>
      <c r="DL609" s="2145"/>
      <c r="DM609" s="2143">
        <f t="shared" si="19"/>
        <v>0</v>
      </c>
      <c r="DN609" s="2144"/>
      <c r="DO609" s="2144"/>
      <c r="DP609" s="2144"/>
      <c r="DQ609" s="2145"/>
      <c r="DR609" s="2143">
        <f t="shared" si="20"/>
        <v>0</v>
      </c>
      <c r="DS609" s="2144"/>
      <c r="DT609" s="2144"/>
      <c r="DU609" s="2144"/>
      <c r="DV609" s="2145"/>
    </row>
    <row r="610" spans="1:126" ht="13.2">
      <c r="A610" s="46"/>
      <c r="B610" s="16" t="s">
        <v>716</v>
      </c>
      <c r="G610" s="1691" t="s">
        <v>2529</v>
      </c>
      <c r="H610" s="1687"/>
      <c r="I610" s="1687"/>
      <c r="J610" s="1687"/>
      <c r="K610" s="1687"/>
      <c r="L610" s="1687"/>
      <c r="O610" s="149" t="s">
        <v>900</v>
      </c>
      <c r="P610" s="1702"/>
      <c r="Q610" s="1702"/>
      <c r="R610" s="1702"/>
      <c r="T610" s="46"/>
      <c r="U610" s="16" t="s">
        <v>716</v>
      </c>
      <c r="Z610" s="1691" t="s">
        <v>2387</v>
      </c>
      <c r="AA610" s="1687"/>
      <c r="AB610" s="1687"/>
      <c r="AC610" s="1687"/>
      <c r="AD610" s="1687"/>
      <c r="AE610" s="1687"/>
      <c r="AH610" s="149" t="s">
        <v>900</v>
      </c>
      <c r="AI610" s="1702"/>
      <c r="AJ610" s="1702"/>
      <c r="AK610" s="1702"/>
      <c r="AZ610" s="72"/>
      <c r="BA610" s="72"/>
      <c r="BB610" s="72"/>
      <c r="BC610" s="72"/>
      <c r="BD610" s="72"/>
      <c r="BE610" s="1792">
        <f t="shared" si="13"/>
        <v>0</v>
      </c>
      <c r="BF610" s="1793"/>
      <c r="BG610" s="1788">
        <f t="shared" si="11"/>
        <v>0</v>
      </c>
      <c r="BH610" s="1791"/>
      <c r="BI610" s="1792">
        <f t="shared" si="14"/>
        <v>0</v>
      </c>
      <c r="BJ610" s="1793"/>
      <c r="BK610" s="1788">
        <f t="shared" si="12"/>
        <v>0</v>
      </c>
      <c r="BL610" s="1791"/>
      <c r="BN610" s="1788">
        <f t="shared" si="5"/>
        <v>0</v>
      </c>
      <c r="BO610" s="1789"/>
      <c r="BP610" s="1789"/>
      <c r="BQ610" s="1789"/>
      <c r="BR610" s="1790"/>
      <c r="BS610" s="1788">
        <f t="shared" si="6"/>
        <v>4</v>
      </c>
      <c r="BT610" s="1789"/>
      <c r="BU610" s="1789"/>
      <c r="BV610" s="1789"/>
      <c r="BW610" s="1791"/>
      <c r="BX610" s="1788">
        <f t="shared" si="7"/>
        <v>0</v>
      </c>
      <c r="BY610" s="1789"/>
      <c r="BZ610" s="1789"/>
      <c r="CA610" s="1789"/>
      <c r="CB610" s="1791"/>
      <c r="CC610" s="1788">
        <f t="shared" si="8"/>
        <v>0</v>
      </c>
      <c r="CD610" s="1789"/>
      <c r="CE610" s="1789"/>
      <c r="CF610" s="1789"/>
      <c r="CG610" s="1791"/>
      <c r="CH610" s="1788">
        <f t="shared" si="9"/>
        <v>0</v>
      </c>
      <c r="CI610" s="1789"/>
      <c r="CJ610" s="1789"/>
      <c r="CK610" s="1789"/>
      <c r="CL610" s="1791"/>
      <c r="CM610" s="1788">
        <f t="shared" si="10"/>
        <v>0</v>
      </c>
      <c r="CN610" s="1789"/>
      <c r="CO610" s="1789"/>
      <c r="CP610" s="1789"/>
      <c r="CQ610" s="1791"/>
      <c r="CS610" s="2143">
        <f t="shared" si="15"/>
        <v>0</v>
      </c>
      <c r="CT610" s="2144"/>
      <c r="CU610" s="2144"/>
      <c r="CV610" s="2144"/>
      <c r="CW610" s="2145"/>
      <c r="CX610" s="2143">
        <f t="shared" si="16"/>
        <v>0</v>
      </c>
      <c r="CY610" s="2144"/>
      <c r="CZ610" s="2144"/>
      <c r="DA610" s="2144"/>
      <c r="DB610" s="2145"/>
      <c r="DC610" s="2143">
        <f t="shared" si="17"/>
        <v>0</v>
      </c>
      <c r="DD610" s="2144"/>
      <c r="DE610" s="2144"/>
      <c r="DF610" s="2144"/>
      <c r="DG610" s="2145"/>
      <c r="DH610" s="2143">
        <f t="shared" si="18"/>
        <v>0</v>
      </c>
      <c r="DI610" s="2144"/>
      <c r="DJ610" s="2144"/>
      <c r="DK610" s="2144"/>
      <c r="DL610" s="2145"/>
      <c r="DM610" s="2143">
        <f t="shared" si="19"/>
        <v>0</v>
      </c>
      <c r="DN610" s="2144"/>
      <c r="DO610" s="2144"/>
      <c r="DP610" s="2144"/>
      <c r="DQ610" s="2145"/>
      <c r="DR610" s="2143">
        <f t="shared" si="20"/>
        <v>0</v>
      </c>
      <c r="DS610" s="2144"/>
      <c r="DT610" s="2144"/>
      <c r="DU610" s="2144"/>
      <c r="DV610" s="2145"/>
    </row>
    <row r="611" spans="1:126" s="8" customFormat="1" ht="13.2">
      <c r="A611" s="46"/>
      <c r="B611" s="16" t="s">
        <v>916</v>
      </c>
      <c r="C611" s="16"/>
      <c r="D611" s="16"/>
      <c r="E611" s="16"/>
      <c r="F611" s="16"/>
      <c r="G611" s="16"/>
      <c r="H611" s="1698" t="s">
        <v>2530</v>
      </c>
      <c r="I611" s="1698"/>
      <c r="J611" s="1698"/>
      <c r="K611" s="1698"/>
      <c r="L611" s="1698"/>
      <c r="M611" s="1698"/>
      <c r="N611" s="1698"/>
      <c r="O611" s="1698"/>
      <c r="P611" s="1698"/>
      <c r="Q611" s="1698"/>
      <c r="R611" s="1698"/>
      <c r="S611" s="16"/>
      <c r="T611" s="46"/>
      <c r="U611" s="16" t="s">
        <v>916</v>
      </c>
      <c r="V611" s="16"/>
      <c r="W611" s="16"/>
      <c r="X611" s="16"/>
      <c r="Y611" s="16"/>
      <c r="Z611" s="16"/>
      <c r="AA611" s="1698" t="s">
        <v>2540</v>
      </c>
      <c r="AB611" s="1698"/>
      <c r="AC611" s="1698"/>
      <c r="AD611" s="1698"/>
      <c r="AE611" s="1698"/>
      <c r="AF611" s="1698"/>
      <c r="AG611" s="1698"/>
      <c r="AH611" s="1698"/>
      <c r="AI611" s="1698"/>
      <c r="AJ611" s="1698"/>
      <c r="AK611" s="1698"/>
      <c r="AL611" s="16"/>
      <c r="AZ611" s="72"/>
      <c r="BA611" s="72"/>
      <c r="BB611" s="72"/>
      <c r="BC611" s="72"/>
      <c r="BD611" s="72"/>
      <c r="BE611" s="1792">
        <f t="shared" si="13"/>
        <v>0</v>
      </c>
      <c r="BF611" s="1793"/>
      <c r="BG611" s="1788">
        <f t="shared" si="11"/>
        <v>0</v>
      </c>
      <c r="BH611" s="1791"/>
      <c r="BI611" s="1792">
        <f t="shared" si="14"/>
        <v>1</v>
      </c>
      <c r="BJ611" s="1793"/>
      <c r="BK611" s="1788">
        <f t="shared" si="12"/>
        <v>4</v>
      </c>
      <c r="BL611" s="1791"/>
      <c r="BN611" s="1788">
        <f t="shared" si="5"/>
        <v>0</v>
      </c>
      <c r="BO611" s="1789"/>
      <c r="BP611" s="1789"/>
      <c r="BQ611" s="1789"/>
      <c r="BR611" s="1790"/>
      <c r="BS611" s="1788">
        <f t="shared" si="6"/>
        <v>2</v>
      </c>
      <c r="BT611" s="1789"/>
      <c r="BU611" s="1789"/>
      <c r="BV611" s="1789"/>
      <c r="BW611" s="1791"/>
      <c r="BX611" s="1788">
        <f t="shared" si="7"/>
        <v>0</v>
      </c>
      <c r="BY611" s="1789"/>
      <c r="BZ611" s="1789"/>
      <c r="CA611" s="1789"/>
      <c r="CB611" s="1791"/>
      <c r="CC611" s="1788">
        <f t="shared" si="8"/>
        <v>0</v>
      </c>
      <c r="CD611" s="1789"/>
      <c r="CE611" s="1789"/>
      <c r="CF611" s="1789"/>
      <c r="CG611" s="1791"/>
      <c r="CH611" s="1788">
        <f t="shared" si="9"/>
        <v>0</v>
      </c>
      <c r="CI611" s="1789"/>
      <c r="CJ611" s="1789"/>
      <c r="CK611" s="1789"/>
      <c r="CL611" s="1791"/>
      <c r="CM611" s="1788">
        <f t="shared" si="10"/>
        <v>0</v>
      </c>
      <c r="CN611" s="1789"/>
      <c r="CO611" s="1789"/>
      <c r="CP611" s="1789"/>
      <c r="CQ611" s="1791"/>
      <c r="CS611" s="2143">
        <f t="shared" si="15"/>
        <v>0</v>
      </c>
      <c r="CT611" s="2144"/>
      <c r="CU611" s="2144"/>
      <c r="CV611" s="2144"/>
      <c r="CW611" s="2145"/>
      <c r="CX611" s="2143">
        <f t="shared" si="16"/>
        <v>4</v>
      </c>
      <c r="CY611" s="2144"/>
      <c r="CZ611" s="2144"/>
      <c r="DA611" s="2144"/>
      <c r="DB611" s="2145"/>
      <c r="DC611" s="2143">
        <f t="shared" si="17"/>
        <v>0</v>
      </c>
      <c r="DD611" s="2144"/>
      <c r="DE611" s="2144"/>
      <c r="DF611" s="2144"/>
      <c r="DG611" s="2145"/>
      <c r="DH611" s="2143">
        <f t="shared" si="18"/>
        <v>0</v>
      </c>
      <c r="DI611" s="2144"/>
      <c r="DJ611" s="2144"/>
      <c r="DK611" s="2144"/>
      <c r="DL611" s="2145"/>
      <c r="DM611" s="2143">
        <f t="shared" si="19"/>
        <v>0</v>
      </c>
      <c r="DN611" s="2144"/>
      <c r="DO611" s="2144"/>
      <c r="DP611" s="2144"/>
      <c r="DQ611" s="2145"/>
      <c r="DR611" s="2143">
        <f t="shared" si="20"/>
        <v>0</v>
      </c>
      <c r="DS611" s="2144"/>
      <c r="DT611" s="2144"/>
      <c r="DU611" s="2144"/>
      <c r="DV611" s="2145"/>
    </row>
    <row r="612" spans="1:126" s="8" customFormat="1" ht="13.2">
      <c r="A612" s="46"/>
      <c r="B612" s="16" t="s">
        <v>918</v>
      </c>
      <c r="C612" s="16"/>
      <c r="D612" s="16"/>
      <c r="E612" s="16"/>
      <c r="F612" s="16"/>
      <c r="G612" s="16"/>
      <c r="H612" s="16"/>
      <c r="I612" s="16"/>
      <c r="J612" s="16"/>
      <c r="K612" s="16"/>
      <c r="L612" s="16"/>
      <c r="M612" s="16"/>
      <c r="N612" s="1731" t="s">
        <v>119</v>
      </c>
      <c r="O612" s="1731"/>
      <c r="P612" s="16"/>
      <c r="Q612" s="16"/>
      <c r="R612" s="16"/>
      <c r="S612" s="16"/>
      <c r="T612" s="46"/>
      <c r="U612" s="16" t="s">
        <v>918</v>
      </c>
      <c r="V612" s="16"/>
      <c r="W612" s="16"/>
      <c r="X612" s="16"/>
      <c r="Y612" s="16"/>
      <c r="Z612" s="16"/>
      <c r="AA612" s="16"/>
      <c r="AB612" s="16"/>
      <c r="AC612" s="16"/>
      <c r="AD612" s="16"/>
      <c r="AE612" s="16"/>
      <c r="AF612" s="16"/>
      <c r="AG612" s="1731" t="s">
        <v>119</v>
      </c>
      <c r="AH612" s="1731"/>
      <c r="AI612" s="16"/>
      <c r="AJ612" s="16"/>
      <c r="AK612" s="16"/>
      <c r="AL612" s="16"/>
      <c r="AZ612" s="72"/>
      <c r="BA612" s="72"/>
      <c r="BB612" s="72"/>
      <c r="BC612" s="72"/>
      <c r="BD612" s="72"/>
      <c r="BE612" s="1792">
        <f t="shared" si="13"/>
        <v>0</v>
      </c>
      <c r="BF612" s="1793"/>
      <c r="BG612" s="1788">
        <f t="shared" si="11"/>
        <v>0</v>
      </c>
      <c r="BH612" s="1791"/>
      <c r="BI612" s="1792">
        <f t="shared" si="14"/>
        <v>1</v>
      </c>
      <c r="BJ612" s="1793"/>
      <c r="BK612" s="1788">
        <f t="shared" si="12"/>
        <v>2</v>
      </c>
      <c r="BL612" s="1791"/>
      <c r="BN612" s="1788">
        <f t="shared" si="5"/>
        <v>0</v>
      </c>
      <c r="BO612" s="1789"/>
      <c r="BP612" s="1789"/>
      <c r="BQ612" s="1789"/>
      <c r="BR612" s="1790"/>
      <c r="BS612" s="1788">
        <f t="shared" si="6"/>
        <v>0</v>
      </c>
      <c r="BT612" s="1789"/>
      <c r="BU612" s="1789"/>
      <c r="BV612" s="1789"/>
      <c r="BW612" s="1791"/>
      <c r="BX612" s="1788">
        <f t="shared" si="7"/>
        <v>1</v>
      </c>
      <c r="BY612" s="1789"/>
      <c r="BZ612" s="1789"/>
      <c r="CA612" s="1789"/>
      <c r="CB612" s="1791"/>
      <c r="CC612" s="1788">
        <f t="shared" si="8"/>
        <v>0</v>
      </c>
      <c r="CD612" s="1789"/>
      <c r="CE612" s="1789"/>
      <c r="CF612" s="1789"/>
      <c r="CG612" s="1791"/>
      <c r="CH612" s="1788">
        <f t="shared" si="9"/>
        <v>0</v>
      </c>
      <c r="CI612" s="1789"/>
      <c r="CJ612" s="1789"/>
      <c r="CK612" s="1789"/>
      <c r="CL612" s="1791"/>
      <c r="CM612" s="1788">
        <f t="shared" si="10"/>
        <v>0</v>
      </c>
      <c r="CN612" s="1789"/>
      <c r="CO612" s="1789"/>
      <c r="CP612" s="1789"/>
      <c r="CQ612" s="1791"/>
      <c r="CS612" s="2143">
        <f t="shared" si="15"/>
        <v>0</v>
      </c>
      <c r="CT612" s="2144"/>
      <c r="CU612" s="2144"/>
      <c r="CV612" s="2144"/>
      <c r="CW612" s="2145"/>
      <c r="CX612" s="2143">
        <f t="shared" si="16"/>
        <v>2</v>
      </c>
      <c r="CY612" s="2144"/>
      <c r="CZ612" s="2144"/>
      <c r="DA612" s="2144"/>
      <c r="DB612" s="2145"/>
      <c r="DC612" s="2143">
        <f t="shared" si="17"/>
        <v>0</v>
      </c>
      <c r="DD612" s="2144"/>
      <c r="DE612" s="2144"/>
      <c r="DF612" s="2144"/>
      <c r="DG612" s="2145"/>
      <c r="DH612" s="2143">
        <f t="shared" si="18"/>
        <v>0</v>
      </c>
      <c r="DI612" s="2144"/>
      <c r="DJ612" s="2144"/>
      <c r="DK612" s="2144"/>
      <c r="DL612" s="2145"/>
      <c r="DM612" s="2143">
        <f t="shared" si="19"/>
        <v>0</v>
      </c>
      <c r="DN612" s="2144"/>
      <c r="DO612" s="2144"/>
      <c r="DP612" s="2144"/>
      <c r="DQ612" s="2145"/>
      <c r="DR612" s="2143">
        <f t="shared" si="20"/>
        <v>0</v>
      </c>
      <c r="DS612" s="2144"/>
      <c r="DT612" s="2144"/>
      <c r="DU612" s="2144"/>
      <c r="DV612" s="2145"/>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2">
        <f t="shared" si="13"/>
        <v>0</v>
      </c>
      <c r="BF613" s="1793"/>
      <c r="BG613" s="1788">
        <f t="shared" si="11"/>
        <v>0</v>
      </c>
      <c r="BH613" s="1791"/>
      <c r="BI613" s="1792">
        <f t="shared" si="14"/>
        <v>1</v>
      </c>
      <c r="BJ613" s="1793"/>
      <c r="BK613" s="1788">
        <f t="shared" si="12"/>
        <v>1</v>
      </c>
      <c r="BL613" s="1791"/>
      <c r="BN613" s="1788">
        <f t="shared" si="5"/>
        <v>0</v>
      </c>
      <c r="BO613" s="1789"/>
      <c r="BP613" s="1789"/>
      <c r="BQ613" s="1789"/>
      <c r="BR613" s="1790"/>
      <c r="BS613" s="1788">
        <f t="shared" si="6"/>
        <v>0</v>
      </c>
      <c r="BT613" s="1789"/>
      <c r="BU613" s="1789"/>
      <c r="BV613" s="1789"/>
      <c r="BW613" s="1791"/>
      <c r="BX613" s="1788">
        <f t="shared" si="7"/>
        <v>0</v>
      </c>
      <c r="BY613" s="1789"/>
      <c r="BZ613" s="1789"/>
      <c r="CA613" s="1789"/>
      <c r="CB613" s="1791"/>
      <c r="CC613" s="1788">
        <f t="shared" si="8"/>
        <v>1</v>
      </c>
      <c r="CD613" s="1789"/>
      <c r="CE613" s="1789"/>
      <c r="CF613" s="1789"/>
      <c r="CG613" s="1791"/>
      <c r="CH613" s="1788">
        <f t="shared" si="9"/>
        <v>0</v>
      </c>
      <c r="CI613" s="1789"/>
      <c r="CJ613" s="1789"/>
      <c r="CK613" s="1789"/>
      <c r="CL613" s="1791"/>
      <c r="CM613" s="1788">
        <f t="shared" si="10"/>
        <v>0</v>
      </c>
      <c r="CN613" s="1789"/>
      <c r="CO613" s="1789"/>
      <c r="CP613" s="1789"/>
      <c r="CQ613" s="1791"/>
      <c r="CS613" s="2143">
        <f t="shared" si="15"/>
        <v>0</v>
      </c>
      <c r="CT613" s="2144"/>
      <c r="CU613" s="2144"/>
      <c r="CV613" s="2144"/>
      <c r="CW613" s="2145"/>
      <c r="CX613" s="2143">
        <f t="shared" si="16"/>
        <v>0</v>
      </c>
      <c r="CY613" s="2144"/>
      <c r="CZ613" s="2144"/>
      <c r="DA613" s="2144"/>
      <c r="DB613" s="2145"/>
      <c r="DC613" s="2143">
        <f t="shared" si="17"/>
        <v>1</v>
      </c>
      <c r="DD613" s="2144"/>
      <c r="DE613" s="2144"/>
      <c r="DF613" s="2144"/>
      <c r="DG613" s="2145"/>
      <c r="DH613" s="2143">
        <f t="shared" si="18"/>
        <v>0</v>
      </c>
      <c r="DI613" s="2144"/>
      <c r="DJ613" s="2144"/>
      <c r="DK613" s="2144"/>
      <c r="DL613" s="2145"/>
      <c r="DM613" s="2143">
        <f t="shared" si="19"/>
        <v>0</v>
      </c>
      <c r="DN613" s="2144"/>
      <c r="DO613" s="2144"/>
      <c r="DP613" s="2144"/>
      <c r="DQ613" s="2145"/>
      <c r="DR613" s="2143">
        <f t="shared" si="20"/>
        <v>0</v>
      </c>
      <c r="DS613" s="2144"/>
      <c r="DT613" s="2144"/>
      <c r="DU613" s="2144"/>
      <c r="DV613" s="2145"/>
    </row>
    <row r="614" spans="1:126" ht="13.2">
      <c r="A614" s="101" t="s">
        <v>37</v>
      </c>
      <c r="B614" s="16" t="s">
        <v>93</v>
      </c>
      <c r="G614" s="1844" t="str">
        <f>C570</f>
        <v>Costs Deferred Until Conversion</v>
      </c>
      <c r="H614" s="1844"/>
      <c r="I614" s="1844"/>
      <c r="J614" s="1844"/>
      <c r="K614" s="1844"/>
      <c r="L614" s="1844"/>
      <c r="M614" s="1844"/>
      <c r="N614" s="1844"/>
      <c r="O614" s="1844"/>
      <c r="P614" s="1844"/>
      <c r="Q614" s="1844"/>
      <c r="R614" s="1844"/>
      <c r="T614" s="101" t="s">
        <v>38</v>
      </c>
      <c r="U614" s="16" t="s">
        <v>93</v>
      </c>
      <c r="Z614" s="1844" t="str">
        <f>C571</f>
        <v>LP Equity During Construction</v>
      </c>
      <c r="AA614" s="1844"/>
      <c r="AB614" s="1844"/>
      <c r="AC614" s="1844"/>
      <c r="AD614" s="1844"/>
      <c r="AE614" s="1844"/>
      <c r="AF614" s="1844"/>
      <c r="AG614" s="1844"/>
      <c r="AH614" s="1844"/>
      <c r="AI614" s="1844"/>
      <c r="AJ614" s="1844"/>
      <c r="AK614" s="1844"/>
      <c r="AZ614" s="72"/>
      <c r="BA614" s="72"/>
      <c r="BB614" s="72"/>
      <c r="BC614" s="72"/>
      <c r="BD614" s="72"/>
      <c r="BE614" s="1792">
        <f t="shared" si="13"/>
        <v>0</v>
      </c>
      <c r="BF614" s="1793"/>
      <c r="BG614" s="1788">
        <f t="shared" si="11"/>
        <v>0</v>
      </c>
      <c r="BH614" s="1791"/>
      <c r="BI614" s="1792">
        <f t="shared" si="14"/>
        <v>1</v>
      </c>
      <c r="BJ614" s="1793"/>
      <c r="BK614" s="1788">
        <f t="shared" si="12"/>
        <v>1</v>
      </c>
      <c r="BL614" s="1791"/>
      <c r="BN614" s="1788">
        <f t="shared" si="5"/>
        <v>0</v>
      </c>
      <c r="BO614" s="1789"/>
      <c r="BP614" s="1789"/>
      <c r="BQ614" s="1789"/>
      <c r="BR614" s="1790"/>
      <c r="BS614" s="1788">
        <f t="shared" si="6"/>
        <v>2</v>
      </c>
      <c r="BT614" s="1789"/>
      <c r="BU614" s="1789"/>
      <c r="BV614" s="1789"/>
      <c r="BW614" s="1791"/>
      <c r="BX614" s="1788">
        <f t="shared" si="7"/>
        <v>0</v>
      </c>
      <c r="BY614" s="1789"/>
      <c r="BZ614" s="1789"/>
      <c r="CA614" s="1789"/>
      <c r="CB614" s="1791"/>
      <c r="CC614" s="1788">
        <f t="shared" si="8"/>
        <v>0</v>
      </c>
      <c r="CD614" s="1789"/>
      <c r="CE614" s="1789"/>
      <c r="CF614" s="1789"/>
      <c r="CG614" s="1791"/>
      <c r="CH614" s="1788">
        <f t="shared" si="9"/>
        <v>0</v>
      </c>
      <c r="CI614" s="1789"/>
      <c r="CJ614" s="1789"/>
      <c r="CK614" s="1789"/>
      <c r="CL614" s="1791"/>
      <c r="CM614" s="1788">
        <f t="shared" si="10"/>
        <v>0</v>
      </c>
      <c r="CN614" s="1789"/>
      <c r="CO614" s="1789"/>
      <c r="CP614" s="1789"/>
      <c r="CQ614" s="1791"/>
      <c r="CS614" s="2143">
        <f t="shared" si="15"/>
        <v>0</v>
      </c>
      <c r="CT614" s="2144"/>
      <c r="CU614" s="2144"/>
      <c r="CV614" s="2144"/>
      <c r="CW614" s="2145"/>
      <c r="CX614" s="2143">
        <f t="shared" si="16"/>
        <v>0</v>
      </c>
      <c r="CY614" s="2144"/>
      <c r="CZ614" s="2144"/>
      <c r="DA614" s="2144"/>
      <c r="DB614" s="2145"/>
      <c r="DC614" s="2143">
        <f t="shared" si="17"/>
        <v>0</v>
      </c>
      <c r="DD614" s="2144"/>
      <c r="DE614" s="2144"/>
      <c r="DF614" s="2144"/>
      <c r="DG614" s="2145"/>
      <c r="DH614" s="2143">
        <f t="shared" si="18"/>
        <v>1</v>
      </c>
      <c r="DI614" s="2144"/>
      <c r="DJ614" s="2144"/>
      <c r="DK614" s="2144"/>
      <c r="DL614" s="2145"/>
      <c r="DM614" s="2143">
        <f t="shared" si="19"/>
        <v>0</v>
      </c>
      <c r="DN614" s="2144"/>
      <c r="DO614" s="2144"/>
      <c r="DP614" s="2144"/>
      <c r="DQ614" s="2145"/>
      <c r="DR614" s="2143">
        <f t="shared" si="20"/>
        <v>0</v>
      </c>
      <c r="DS614" s="2144"/>
      <c r="DT614" s="2144"/>
      <c r="DU614" s="2144"/>
      <c r="DV614" s="2145"/>
    </row>
    <row r="615" spans="1:126" ht="13.2">
      <c r="B615" s="16" t="s">
        <v>416</v>
      </c>
      <c r="G615" s="1698" t="s">
        <v>2384</v>
      </c>
      <c r="H615" s="1698"/>
      <c r="I615" s="1698"/>
      <c r="J615" s="1698"/>
      <c r="K615" s="1698"/>
      <c r="L615" s="1698"/>
      <c r="M615" s="1698"/>
      <c r="N615" s="1698"/>
      <c r="O615" s="1698"/>
      <c r="P615" s="1698"/>
      <c r="Q615" s="1698"/>
      <c r="R615" s="1698"/>
      <c r="U615" s="16" t="s">
        <v>416</v>
      </c>
      <c r="Z615" s="1698" t="s">
        <v>2526</v>
      </c>
      <c r="AA615" s="1698"/>
      <c r="AB615" s="1698"/>
      <c r="AC615" s="1698"/>
      <c r="AD615" s="1698"/>
      <c r="AE615" s="1698"/>
      <c r="AF615" s="1698"/>
      <c r="AG615" s="1698"/>
      <c r="AH615" s="1698"/>
      <c r="AI615" s="1698"/>
      <c r="AJ615" s="1698"/>
      <c r="AK615" s="1698"/>
      <c r="AL615" s="35"/>
      <c r="AZ615" s="72"/>
      <c r="BA615" s="72"/>
      <c r="BB615" s="72"/>
      <c r="BC615" s="72"/>
      <c r="BD615" s="72"/>
      <c r="BE615" s="1792">
        <f t="shared" si="13"/>
        <v>1</v>
      </c>
      <c r="BF615" s="1793"/>
      <c r="BG615" s="1788">
        <f t="shared" si="11"/>
        <v>2</v>
      </c>
      <c r="BH615" s="1791"/>
      <c r="BI615" s="1792">
        <f t="shared" si="14"/>
        <v>0</v>
      </c>
      <c r="BJ615" s="1793"/>
      <c r="BK615" s="1788">
        <f t="shared" si="12"/>
        <v>0</v>
      </c>
      <c r="BL615" s="1791"/>
      <c r="BN615" s="1788">
        <f t="shared" si="5"/>
        <v>0</v>
      </c>
      <c r="BO615" s="1789"/>
      <c r="BP615" s="1789"/>
      <c r="BQ615" s="1789"/>
      <c r="BR615" s="1790"/>
      <c r="BS615" s="1788">
        <f t="shared" si="6"/>
        <v>4</v>
      </c>
      <c r="BT615" s="1789"/>
      <c r="BU615" s="1789"/>
      <c r="BV615" s="1789"/>
      <c r="BW615" s="1791"/>
      <c r="BX615" s="1788">
        <f t="shared" si="7"/>
        <v>0</v>
      </c>
      <c r="BY615" s="1789"/>
      <c r="BZ615" s="1789"/>
      <c r="CA615" s="1789"/>
      <c r="CB615" s="1791"/>
      <c r="CC615" s="1788">
        <f t="shared" si="8"/>
        <v>0</v>
      </c>
      <c r="CD615" s="1789"/>
      <c r="CE615" s="1789"/>
      <c r="CF615" s="1789"/>
      <c r="CG615" s="1791"/>
      <c r="CH615" s="1788">
        <f t="shared" si="9"/>
        <v>0</v>
      </c>
      <c r="CI615" s="1789"/>
      <c r="CJ615" s="1789"/>
      <c r="CK615" s="1789"/>
      <c r="CL615" s="1791"/>
      <c r="CM615" s="1788">
        <f t="shared" si="10"/>
        <v>0</v>
      </c>
      <c r="CN615" s="1789"/>
      <c r="CO615" s="1789"/>
      <c r="CP615" s="1789"/>
      <c r="CQ615" s="1791"/>
      <c r="CS615" s="2143">
        <f t="shared" si="15"/>
        <v>0</v>
      </c>
      <c r="CT615" s="2144"/>
      <c r="CU615" s="2144"/>
      <c r="CV615" s="2144"/>
      <c r="CW615" s="2145"/>
      <c r="CX615" s="2143">
        <f t="shared" si="16"/>
        <v>0</v>
      </c>
      <c r="CY615" s="2144"/>
      <c r="CZ615" s="2144"/>
      <c r="DA615" s="2144"/>
      <c r="DB615" s="2145"/>
      <c r="DC615" s="2143">
        <f t="shared" si="17"/>
        <v>0</v>
      </c>
      <c r="DD615" s="2144"/>
      <c r="DE615" s="2144"/>
      <c r="DF615" s="2144"/>
      <c r="DG615" s="2145"/>
      <c r="DH615" s="2143">
        <f t="shared" si="18"/>
        <v>0</v>
      </c>
      <c r="DI615" s="2144"/>
      <c r="DJ615" s="2144"/>
      <c r="DK615" s="2144"/>
      <c r="DL615" s="2145"/>
      <c r="DM615" s="2143">
        <f t="shared" si="19"/>
        <v>0</v>
      </c>
      <c r="DN615" s="2144"/>
      <c r="DO615" s="2144"/>
      <c r="DP615" s="2144"/>
      <c r="DQ615" s="2145"/>
      <c r="DR615" s="2143">
        <f t="shared" si="20"/>
        <v>0</v>
      </c>
      <c r="DS615" s="2144"/>
      <c r="DT615" s="2144"/>
      <c r="DU615" s="2144"/>
      <c r="DV615" s="2145"/>
    </row>
    <row r="616" spans="1:126" ht="13.2">
      <c r="B616" s="16" t="s">
        <v>479</v>
      </c>
      <c r="G616" s="1698" t="s">
        <v>2398</v>
      </c>
      <c r="H616" s="1698"/>
      <c r="I616" s="1698"/>
      <c r="J616" s="1698"/>
      <c r="K616" s="1698"/>
      <c r="L616" s="1698"/>
      <c r="M616" s="1698"/>
      <c r="N616" s="1698"/>
      <c r="O616" s="1698"/>
      <c r="P616" s="1698"/>
      <c r="Q616" s="1698"/>
      <c r="R616" s="1698"/>
      <c r="U616" s="16" t="s">
        <v>479</v>
      </c>
      <c r="Z616" s="1688" t="s">
        <v>2446</v>
      </c>
      <c r="AA616" s="1688"/>
      <c r="AB616" s="1688"/>
      <c r="AC616" s="1688"/>
      <c r="AD616" s="1688"/>
      <c r="AE616" s="1688"/>
      <c r="AF616" s="1688"/>
      <c r="AG616" s="1688"/>
      <c r="AH616" s="1688"/>
      <c r="AI616" s="1688"/>
      <c r="AJ616" s="1688"/>
      <c r="AK616" s="1688"/>
      <c r="AL616" s="488"/>
      <c r="BA616" s="72"/>
      <c r="BB616" s="72"/>
      <c r="BC616" s="72"/>
      <c r="BD616" s="72"/>
      <c r="BE616" s="1792">
        <f t="shared" si="13"/>
        <v>0</v>
      </c>
      <c r="BF616" s="1793"/>
      <c r="BG616" s="1788">
        <f t="shared" si="11"/>
        <v>0</v>
      </c>
      <c r="BH616" s="1791"/>
      <c r="BI616" s="1792">
        <f t="shared" si="14"/>
        <v>0</v>
      </c>
      <c r="BJ616" s="1793"/>
      <c r="BK616" s="1788">
        <f t="shared" si="12"/>
        <v>0</v>
      </c>
      <c r="BL616" s="1791"/>
      <c r="BN616" s="1788">
        <f t="shared" si="5"/>
        <v>0</v>
      </c>
      <c r="BO616" s="1789"/>
      <c r="BP616" s="1789"/>
      <c r="BQ616" s="1789"/>
      <c r="BR616" s="1790"/>
      <c r="BS616" s="1788">
        <f t="shared" si="6"/>
        <v>0</v>
      </c>
      <c r="BT616" s="1789"/>
      <c r="BU616" s="1789"/>
      <c r="BV616" s="1789"/>
      <c r="BW616" s="1791"/>
      <c r="BX616" s="1788">
        <f t="shared" si="7"/>
        <v>5</v>
      </c>
      <c r="BY616" s="1789"/>
      <c r="BZ616" s="1789"/>
      <c r="CA616" s="1789"/>
      <c r="CB616" s="1791"/>
      <c r="CC616" s="1788">
        <f t="shared" si="8"/>
        <v>0</v>
      </c>
      <c r="CD616" s="1789"/>
      <c r="CE616" s="1789"/>
      <c r="CF616" s="1789"/>
      <c r="CG616" s="1791"/>
      <c r="CH616" s="1788">
        <f t="shared" si="9"/>
        <v>0</v>
      </c>
      <c r="CI616" s="1789"/>
      <c r="CJ616" s="1789"/>
      <c r="CK616" s="1789"/>
      <c r="CL616" s="1791"/>
      <c r="CM616" s="1788">
        <f t="shared" si="10"/>
        <v>0</v>
      </c>
      <c r="CN616" s="1789"/>
      <c r="CO616" s="1789"/>
      <c r="CP616" s="1789"/>
      <c r="CQ616" s="1791"/>
      <c r="CS616" s="2143">
        <f t="shared" si="15"/>
        <v>0</v>
      </c>
      <c r="CT616" s="2144"/>
      <c r="CU616" s="2144"/>
      <c r="CV616" s="2144"/>
      <c r="CW616" s="2145"/>
      <c r="CX616" s="2143">
        <f t="shared" si="16"/>
        <v>0</v>
      </c>
      <c r="CY616" s="2144"/>
      <c r="CZ616" s="2144"/>
      <c r="DA616" s="2144"/>
      <c r="DB616" s="2145"/>
      <c r="DC616" s="2143">
        <f t="shared" si="17"/>
        <v>0</v>
      </c>
      <c r="DD616" s="2144"/>
      <c r="DE616" s="2144"/>
      <c r="DF616" s="2144"/>
      <c r="DG616" s="2145"/>
      <c r="DH616" s="2143">
        <f t="shared" si="18"/>
        <v>0</v>
      </c>
      <c r="DI616" s="2144"/>
      <c r="DJ616" s="2144"/>
      <c r="DK616" s="2144"/>
      <c r="DL616" s="2145"/>
      <c r="DM616" s="2143">
        <f t="shared" si="19"/>
        <v>0</v>
      </c>
      <c r="DN616" s="2144"/>
      <c r="DO616" s="2144"/>
      <c r="DP616" s="2144"/>
      <c r="DQ616" s="2145"/>
      <c r="DR616" s="2143">
        <f t="shared" si="20"/>
        <v>0</v>
      </c>
      <c r="DS616" s="2144"/>
      <c r="DT616" s="2144"/>
      <c r="DU616" s="2144"/>
      <c r="DV616" s="2145"/>
    </row>
    <row r="617" spans="1:126" ht="13.2">
      <c r="B617" s="16" t="s">
        <v>915</v>
      </c>
      <c r="G617" s="1698" t="s">
        <v>2386</v>
      </c>
      <c r="H617" s="1698"/>
      <c r="I617" s="1698"/>
      <c r="J617" s="1698"/>
      <c r="K617" s="1698"/>
      <c r="L617" s="1698"/>
      <c r="M617" s="1698"/>
      <c r="N617" s="1698"/>
      <c r="O617" s="1698"/>
      <c r="P617" s="1698"/>
      <c r="Q617" s="1698"/>
      <c r="R617" s="1698"/>
      <c r="U617" s="16" t="s">
        <v>915</v>
      </c>
      <c r="Z617" s="1688" t="s">
        <v>2447</v>
      </c>
      <c r="AA617" s="1688"/>
      <c r="AB617" s="1688"/>
      <c r="AC617" s="1688"/>
      <c r="AD617" s="1688"/>
      <c r="AE617" s="1688"/>
      <c r="AF617" s="1688"/>
      <c r="AG617" s="1688"/>
      <c r="AH617" s="1688"/>
      <c r="AI617" s="1688"/>
      <c r="AJ617" s="1688"/>
      <c r="AK617" s="1688"/>
      <c r="AL617" s="488"/>
      <c r="BA617" s="72"/>
      <c r="BB617" s="72"/>
      <c r="BC617" s="72"/>
      <c r="BD617" s="72"/>
      <c r="BE617" s="1792">
        <f t="shared" si="13"/>
        <v>0</v>
      </c>
      <c r="BF617" s="1793"/>
      <c r="BG617" s="1788">
        <f t="shared" si="11"/>
        <v>0</v>
      </c>
      <c r="BH617" s="1791"/>
      <c r="BI617" s="1792">
        <f t="shared" si="14"/>
        <v>0</v>
      </c>
      <c r="BJ617" s="1793"/>
      <c r="BK617" s="1788">
        <f t="shared" si="12"/>
        <v>0</v>
      </c>
      <c r="BL617" s="1791"/>
      <c r="BN617" s="1788">
        <f t="shared" si="5"/>
        <v>0</v>
      </c>
      <c r="BO617" s="1789"/>
      <c r="BP617" s="1789"/>
      <c r="BQ617" s="1789"/>
      <c r="BR617" s="1790"/>
      <c r="BS617" s="1788">
        <f t="shared" si="6"/>
        <v>0</v>
      </c>
      <c r="BT617" s="1789"/>
      <c r="BU617" s="1789"/>
      <c r="BV617" s="1789"/>
      <c r="BW617" s="1791"/>
      <c r="BX617" s="1788">
        <f t="shared" si="7"/>
        <v>0</v>
      </c>
      <c r="BY617" s="1789"/>
      <c r="BZ617" s="1789"/>
      <c r="CA617" s="1789"/>
      <c r="CB617" s="1791"/>
      <c r="CC617" s="1788">
        <f t="shared" si="8"/>
        <v>4</v>
      </c>
      <c r="CD617" s="1789"/>
      <c r="CE617" s="1789"/>
      <c r="CF617" s="1789"/>
      <c r="CG617" s="1791"/>
      <c r="CH617" s="1788">
        <f t="shared" si="9"/>
        <v>0</v>
      </c>
      <c r="CI617" s="1789"/>
      <c r="CJ617" s="1789"/>
      <c r="CK617" s="1789"/>
      <c r="CL617" s="1791"/>
      <c r="CM617" s="1788">
        <f t="shared" si="10"/>
        <v>0</v>
      </c>
      <c r="CN617" s="1789"/>
      <c r="CO617" s="1789"/>
      <c r="CP617" s="1789"/>
      <c r="CQ617" s="1791"/>
      <c r="CS617" s="2143">
        <f t="shared" si="15"/>
        <v>0</v>
      </c>
      <c r="CT617" s="2144"/>
      <c r="CU617" s="2144"/>
      <c r="CV617" s="2144"/>
      <c r="CW617" s="2145"/>
      <c r="CX617" s="2143">
        <f t="shared" si="16"/>
        <v>0</v>
      </c>
      <c r="CY617" s="2144"/>
      <c r="CZ617" s="2144"/>
      <c r="DA617" s="2144"/>
      <c r="DB617" s="2145"/>
      <c r="DC617" s="2143">
        <f t="shared" si="17"/>
        <v>0</v>
      </c>
      <c r="DD617" s="2144"/>
      <c r="DE617" s="2144"/>
      <c r="DF617" s="2144"/>
      <c r="DG617" s="2145"/>
      <c r="DH617" s="2143">
        <f t="shared" si="18"/>
        <v>0</v>
      </c>
      <c r="DI617" s="2144"/>
      <c r="DJ617" s="2144"/>
      <c r="DK617" s="2144"/>
      <c r="DL617" s="2145"/>
      <c r="DM617" s="2143">
        <f t="shared" si="19"/>
        <v>0</v>
      </c>
      <c r="DN617" s="2144"/>
      <c r="DO617" s="2144"/>
      <c r="DP617" s="2144"/>
      <c r="DQ617" s="2145"/>
      <c r="DR617" s="2143">
        <f t="shared" si="20"/>
        <v>0</v>
      </c>
      <c r="DS617" s="2144"/>
      <c r="DT617" s="2144"/>
      <c r="DU617" s="2144"/>
      <c r="DV617" s="2145"/>
    </row>
    <row r="618" spans="1:126" ht="13.2">
      <c r="B618" s="16" t="s">
        <v>716</v>
      </c>
      <c r="G618" s="1691" t="s">
        <v>2387</v>
      </c>
      <c r="H618" s="1687"/>
      <c r="I618" s="1687"/>
      <c r="J618" s="1687"/>
      <c r="K618" s="1687"/>
      <c r="L618" s="1687"/>
      <c r="O618" s="149" t="s">
        <v>900</v>
      </c>
      <c r="P618" s="1702"/>
      <c r="Q618" s="1702"/>
      <c r="R618" s="1702"/>
      <c r="U618" s="16" t="s">
        <v>716</v>
      </c>
      <c r="Z618" s="1691" t="s">
        <v>2448</v>
      </c>
      <c r="AA618" s="1687"/>
      <c r="AB618" s="1687"/>
      <c r="AC618" s="1687"/>
      <c r="AD618" s="1687"/>
      <c r="AE618" s="1687"/>
      <c r="AH618" s="149" t="s">
        <v>900</v>
      </c>
      <c r="AI618" s="1702"/>
      <c r="AJ618" s="1702"/>
      <c r="AK618" s="1702"/>
      <c r="AL618" s="3"/>
      <c r="AZ618" s="72"/>
      <c r="BA618" s="72"/>
      <c r="BB618" s="72"/>
      <c r="BC618" s="72"/>
      <c r="BD618" s="72"/>
      <c r="BE618" s="1792">
        <f t="shared" si="13"/>
        <v>0</v>
      </c>
      <c r="BF618" s="1793"/>
      <c r="BG618" s="1788">
        <f t="shared" si="11"/>
        <v>0</v>
      </c>
      <c r="BH618" s="1791"/>
      <c r="BI618" s="1792">
        <f t="shared" si="14"/>
        <v>0</v>
      </c>
      <c r="BJ618" s="1793"/>
      <c r="BK618" s="1788">
        <f t="shared" si="12"/>
        <v>0</v>
      </c>
      <c r="BL618" s="1791"/>
      <c r="BN618" s="1788">
        <f t="shared" si="5"/>
        <v>0</v>
      </c>
      <c r="BO618" s="1789"/>
      <c r="BP618" s="1789"/>
      <c r="BQ618" s="1789"/>
      <c r="BR618" s="1790"/>
      <c r="BS618" s="1788">
        <f t="shared" si="6"/>
        <v>0</v>
      </c>
      <c r="BT618" s="1789"/>
      <c r="BU618" s="1789"/>
      <c r="BV618" s="1789"/>
      <c r="BW618" s="1791"/>
      <c r="BX618" s="1788">
        <f t="shared" si="7"/>
        <v>0</v>
      </c>
      <c r="BY618" s="1789"/>
      <c r="BZ618" s="1789"/>
      <c r="CA618" s="1789"/>
      <c r="CB618" s="1791"/>
      <c r="CC618" s="1788">
        <f t="shared" si="8"/>
        <v>0</v>
      </c>
      <c r="CD618" s="1789"/>
      <c r="CE618" s="1789"/>
      <c r="CF618" s="1789"/>
      <c r="CG618" s="1791"/>
      <c r="CH618" s="1788">
        <f t="shared" si="9"/>
        <v>0</v>
      </c>
      <c r="CI618" s="1789"/>
      <c r="CJ618" s="1789"/>
      <c r="CK618" s="1789"/>
      <c r="CL618" s="1791"/>
      <c r="CM618" s="1788">
        <f t="shared" si="10"/>
        <v>0</v>
      </c>
      <c r="CN618" s="1789"/>
      <c r="CO618" s="1789"/>
      <c r="CP618" s="1789"/>
      <c r="CQ618" s="1791"/>
      <c r="CS618" s="2143">
        <f t="shared" si="15"/>
        <v>0</v>
      </c>
      <c r="CT618" s="2144"/>
      <c r="CU618" s="2144"/>
      <c r="CV618" s="2144"/>
      <c r="CW618" s="2145"/>
      <c r="CX618" s="2143">
        <f t="shared" si="16"/>
        <v>0</v>
      </c>
      <c r="CY618" s="2144"/>
      <c r="CZ618" s="2144"/>
      <c r="DA618" s="2144"/>
      <c r="DB618" s="2145"/>
      <c r="DC618" s="2143">
        <f t="shared" si="17"/>
        <v>0</v>
      </c>
      <c r="DD618" s="2144"/>
      <c r="DE618" s="2144"/>
      <c r="DF618" s="2144"/>
      <c r="DG618" s="2145"/>
      <c r="DH618" s="2143">
        <f t="shared" si="18"/>
        <v>0</v>
      </c>
      <c r="DI618" s="2144"/>
      <c r="DJ618" s="2144"/>
      <c r="DK618" s="2144"/>
      <c r="DL618" s="2145"/>
      <c r="DM618" s="2143">
        <f t="shared" si="19"/>
        <v>0</v>
      </c>
      <c r="DN618" s="2144"/>
      <c r="DO618" s="2144"/>
      <c r="DP618" s="2144"/>
      <c r="DQ618" s="2145"/>
      <c r="DR618" s="2143">
        <f t="shared" si="20"/>
        <v>0</v>
      </c>
      <c r="DS618" s="2144"/>
      <c r="DT618" s="2144"/>
      <c r="DU618" s="2144"/>
      <c r="DV618" s="2145"/>
    </row>
    <row r="619" spans="1:126" ht="13.2">
      <c r="B619" s="16" t="s">
        <v>916</v>
      </c>
      <c r="H619" s="1698" t="s">
        <v>2542</v>
      </c>
      <c r="I619" s="1698"/>
      <c r="J619" s="1698"/>
      <c r="K619" s="1698"/>
      <c r="L619" s="1698"/>
      <c r="M619" s="1698"/>
      <c r="N619" s="1698"/>
      <c r="O619" s="1698"/>
      <c r="P619" s="1698"/>
      <c r="Q619" s="1698"/>
      <c r="R619" s="1698"/>
      <c r="U619" s="16" t="s">
        <v>916</v>
      </c>
      <c r="AA619" s="1698" t="s">
        <v>2541</v>
      </c>
      <c r="AB619" s="1698"/>
      <c r="AC619" s="1698"/>
      <c r="AD619" s="1698"/>
      <c r="AE619" s="1698"/>
      <c r="AF619" s="1698"/>
      <c r="AG619" s="1698"/>
      <c r="AH619" s="1698"/>
      <c r="AI619" s="1698"/>
      <c r="AJ619" s="1698"/>
      <c r="AK619" s="1698"/>
      <c r="AL619" s="3"/>
      <c r="AZ619" s="72"/>
      <c r="BA619" s="72"/>
      <c r="BB619" s="72"/>
      <c r="BC619" s="72"/>
      <c r="BD619" s="72"/>
      <c r="BE619" s="1792">
        <f t="shared" si="13"/>
        <v>0</v>
      </c>
      <c r="BF619" s="1793"/>
      <c r="BG619" s="1788">
        <f t="shared" si="11"/>
        <v>0</v>
      </c>
      <c r="BH619" s="1791"/>
      <c r="BI619" s="1792">
        <f t="shared" si="14"/>
        <v>0</v>
      </c>
      <c r="BJ619" s="1793"/>
      <c r="BK619" s="1788">
        <f t="shared" si="12"/>
        <v>0</v>
      </c>
      <c r="BL619" s="1791"/>
      <c r="BN619" s="1788">
        <f t="shared" si="5"/>
        <v>0</v>
      </c>
      <c r="BO619" s="1789"/>
      <c r="BP619" s="1789"/>
      <c r="BQ619" s="1789"/>
      <c r="BR619" s="1790"/>
      <c r="BS619" s="1788">
        <f t="shared" si="6"/>
        <v>0</v>
      </c>
      <c r="BT619" s="1789"/>
      <c r="BU619" s="1789"/>
      <c r="BV619" s="1789"/>
      <c r="BW619" s="1791"/>
      <c r="BX619" s="1788">
        <f t="shared" si="7"/>
        <v>0</v>
      </c>
      <c r="BY619" s="1789"/>
      <c r="BZ619" s="1789"/>
      <c r="CA619" s="1789"/>
      <c r="CB619" s="1791"/>
      <c r="CC619" s="1788">
        <f t="shared" si="8"/>
        <v>0</v>
      </c>
      <c r="CD619" s="1789"/>
      <c r="CE619" s="1789"/>
      <c r="CF619" s="1789"/>
      <c r="CG619" s="1791"/>
      <c r="CH619" s="1788">
        <f t="shared" si="9"/>
        <v>0</v>
      </c>
      <c r="CI619" s="1789"/>
      <c r="CJ619" s="1789"/>
      <c r="CK619" s="1789"/>
      <c r="CL619" s="1791"/>
      <c r="CM619" s="1788">
        <f t="shared" si="10"/>
        <v>0</v>
      </c>
      <c r="CN619" s="1789"/>
      <c r="CO619" s="1789"/>
      <c r="CP619" s="1789"/>
      <c r="CQ619" s="1791"/>
      <c r="CS619" s="2143">
        <f t="shared" si="15"/>
        <v>0</v>
      </c>
      <c r="CT619" s="2144"/>
      <c r="CU619" s="2144"/>
      <c r="CV619" s="2144"/>
      <c r="CW619" s="2145"/>
      <c r="CX619" s="2143">
        <f t="shared" si="16"/>
        <v>0</v>
      </c>
      <c r="CY619" s="2144"/>
      <c r="CZ619" s="2144"/>
      <c r="DA619" s="2144"/>
      <c r="DB619" s="2145"/>
      <c r="DC619" s="2143">
        <f t="shared" si="17"/>
        <v>0</v>
      </c>
      <c r="DD619" s="2144"/>
      <c r="DE619" s="2144"/>
      <c r="DF619" s="2144"/>
      <c r="DG619" s="2145"/>
      <c r="DH619" s="2143">
        <f t="shared" si="18"/>
        <v>0</v>
      </c>
      <c r="DI619" s="2144"/>
      <c r="DJ619" s="2144"/>
      <c r="DK619" s="2144"/>
      <c r="DL619" s="2145"/>
      <c r="DM619" s="2143">
        <f t="shared" si="19"/>
        <v>0</v>
      </c>
      <c r="DN619" s="2144"/>
      <c r="DO619" s="2144"/>
      <c r="DP619" s="2144"/>
      <c r="DQ619" s="2145"/>
      <c r="DR619" s="2143">
        <f t="shared" si="20"/>
        <v>0</v>
      </c>
      <c r="DS619" s="2144"/>
      <c r="DT619" s="2144"/>
      <c r="DU619" s="2144"/>
      <c r="DV619" s="2145"/>
    </row>
    <row r="620" spans="1:126" ht="12.75" customHeight="1">
      <c r="B620" s="16" t="s">
        <v>918</v>
      </c>
      <c r="N620" s="1696" t="s">
        <v>119</v>
      </c>
      <c r="O620" s="1696"/>
      <c r="U620" s="16" t="s">
        <v>918</v>
      </c>
      <c r="AG620" s="1696" t="s">
        <v>119</v>
      </c>
      <c r="AH620" s="1696"/>
      <c r="AL620" s="3"/>
      <c r="AZ620" s="72"/>
      <c r="BA620" s="72"/>
      <c r="BB620" s="72"/>
      <c r="BC620" s="72"/>
      <c r="BD620" s="72"/>
      <c r="BE620" s="1792">
        <f t="shared" si="13"/>
        <v>0</v>
      </c>
      <c r="BF620" s="1793"/>
      <c r="BG620" s="1788">
        <f t="shared" si="11"/>
        <v>0</v>
      </c>
      <c r="BH620" s="1791"/>
      <c r="BI620" s="1792">
        <f t="shared" si="14"/>
        <v>0</v>
      </c>
      <c r="BJ620" s="1793"/>
      <c r="BK620" s="1788">
        <f t="shared" si="12"/>
        <v>0</v>
      </c>
      <c r="BL620" s="1791"/>
      <c r="BN620" s="1788">
        <f t="shared" si="5"/>
        <v>0</v>
      </c>
      <c r="BO620" s="1789"/>
      <c r="BP620" s="1789"/>
      <c r="BQ620" s="1789"/>
      <c r="BR620" s="1790"/>
      <c r="BS620" s="1788">
        <f t="shared" si="6"/>
        <v>0</v>
      </c>
      <c r="BT620" s="1789"/>
      <c r="BU620" s="1789"/>
      <c r="BV620" s="1789"/>
      <c r="BW620" s="1791"/>
      <c r="BX620" s="1788">
        <f t="shared" si="7"/>
        <v>0</v>
      </c>
      <c r="BY620" s="1789"/>
      <c r="BZ620" s="1789"/>
      <c r="CA620" s="1789"/>
      <c r="CB620" s="1791"/>
      <c r="CC620" s="1788">
        <f t="shared" si="8"/>
        <v>0</v>
      </c>
      <c r="CD620" s="1789"/>
      <c r="CE620" s="1789"/>
      <c r="CF620" s="1789"/>
      <c r="CG620" s="1791"/>
      <c r="CH620" s="1788">
        <f t="shared" si="9"/>
        <v>0</v>
      </c>
      <c r="CI620" s="1789"/>
      <c r="CJ620" s="1789"/>
      <c r="CK620" s="1789"/>
      <c r="CL620" s="1791"/>
      <c r="CM620" s="1788">
        <f t="shared" si="10"/>
        <v>0</v>
      </c>
      <c r="CN620" s="1789"/>
      <c r="CO620" s="1789"/>
      <c r="CP620" s="1789"/>
      <c r="CQ620" s="1791"/>
      <c r="CS620" s="2143">
        <f t="shared" si="15"/>
        <v>0</v>
      </c>
      <c r="CT620" s="2144"/>
      <c r="CU620" s="2144"/>
      <c r="CV620" s="2144"/>
      <c r="CW620" s="2145"/>
      <c r="CX620" s="2143">
        <f t="shared" si="16"/>
        <v>0</v>
      </c>
      <c r="CY620" s="2144"/>
      <c r="CZ620" s="2144"/>
      <c r="DA620" s="2144"/>
      <c r="DB620" s="2145"/>
      <c r="DC620" s="2143">
        <f t="shared" si="17"/>
        <v>0</v>
      </c>
      <c r="DD620" s="2144"/>
      <c r="DE620" s="2144"/>
      <c r="DF620" s="2144"/>
      <c r="DG620" s="2145"/>
      <c r="DH620" s="2143">
        <f t="shared" si="18"/>
        <v>0</v>
      </c>
      <c r="DI620" s="2144"/>
      <c r="DJ620" s="2144"/>
      <c r="DK620" s="2144"/>
      <c r="DL620" s="2145"/>
      <c r="DM620" s="2143">
        <f t="shared" si="19"/>
        <v>0</v>
      </c>
      <c r="DN620" s="2144"/>
      <c r="DO620" s="2144"/>
      <c r="DP620" s="2144"/>
      <c r="DQ620" s="2145"/>
      <c r="DR620" s="2143">
        <f t="shared" si="20"/>
        <v>0</v>
      </c>
      <c r="DS620" s="2144"/>
      <c r="DT620" s="2144"/>
      <c r="DU620" s="2144"/>
      <c r="DV620" s="2145"/>
    </row>
    <row r="621" spans="1:126" ht="13.2">
      <c r="AZ621" s="72"/>
      <c r="BA621" s="72"/>
      <c r="BB621" s="72"/>
      <c r="BC621" s="72"/>
      <c r="BD621" s="72"/>
      <c r="BE621" s="1792">
        <f t="shared" si="13"/>
        <v>0</v>
      </c>
      <c r="BF621" s="1793"/>
      <c r="BG621" s="1788">
        <f t="shared" si="11"/>
        <v>0</v>
      </c>
      <c r="BH621" s="1791"/>
      <c r="BI621" s="1792">
        <f t="shared" si="14"/>
        <v>0</v>
      </c>
      <c r="BJ621" s="1793"/>
      <c r="BK621" s="1788">
        <f t="shared" si="12"/>
        <v>0</v>
      </c>
      <c r="BL621" s="1791"/>
      <c r="BN621" s="1788">
        <f t="shared" si="5"/>
        <v>0</v>
      </c>
      <c r="BO621" s="1789"/>
      <c r="BP621" s="1789"/>
      <c r="BQ621" s="1789"/>
      <c r="BR621" s="1790"/>
      <c r="BS621" s="1788">
        <f t="shared" si="6"/>
        <v>0</v>
      </c>
      <c r="BT621" s="1789"/>
      <c r="BU621" s="1789"/>
      <c r="BV621" s="1789"/>
      <c r="BW621" s="1791"/>
      <c r="BX621" s="1788">
        <f t="shared" si="7"/>
        <v>0</v>
      </c>
      <c r="BY621" s="1789"/>
      <c r="BZ621" s="1789"/>
      <c r="CA621" s="1789"/>
      <c r="CB621" s="1791"/>
      <c r="CC621" s="1788">
        <f t="shared" si="8"/>
        <v>0</v>
      </c>
      <c r="CD621" s="1789"/>
      <c r="CE621" s="1789"/>
      <c r="CF621" s="1789"/>
      <c r="CG621" s="1791"/>
      <c r="CH621" s="1788">
        <f t="shared" si="9"/>
        <v>0</v>
      </c>
      <c r="CI621" s="1789"/>
      <c r="CJ621" s="1789"/>
      <c r="CK621" s="1789"/>
      <c r="CL621" s="1791"/>
      <c r="CM621" s="1788">
        <f t="shared" si="10"/>
        <v>0</v>
      </c>
      <c r="CN621" s="1789"/>
      <c r="CO621" s="1789"/>
      <c r="CP621" s="1789"/>
      <c r="CQ621" s="1791"/>
      <c r="CS621" s="2143">
        <f t="shared" si="15"/>
        <v>0</v>
      </c>
      <c r="CT621" s="2144"/>
      <c r="CU621" s="2144"/>
      <c r="CV621" s="2144"/>
      <c r="CW621" s="2145"/>
      <c r="CX621" s="2143">
        <f t="shared" si="16"/>
        <v>0</v>
      </c>
      <c r="CY621" s="2144"/>
      <c r="CZ621" s="2144"/>
      <c r="DA621" s="2144"/>
      <c r="DB621" s="2145"/>
      <c r="DC621" s="2143">
        <f t="shared" si="17"/>
        <v>0</v>
      </c>
      <c r="DD621" s="2144"/>
      <c r="DE621" s="2144"/>
      <c r="DF621" s="2144"/>
      <c r="DG621" s="2145"/>
      <c r="DH621" s="2143">
        <f t="shared" si="18"/>
        <v>0</v>
      </c>
      <c r="DI621" s="2144"/>
      <c r="DJ621" s="2144"/>
      <c r="DK621" s="2144"/>
      <c r="DL621" s="2145"/>
      <c r="DM621" s="2143">
        <f t="shared" si="19"/>
        <v>0</v>
      </c>
      <c r="DN621" s="2144"/>
      <c r="DO621" s="2144"/>
      <c r="DP621" s="2144"/>
      <c r="DQ621" s="2145"/>
      <c r="DR621" s="2143">
        <f t="shared" si="20"/>
        <v>0</v>
      </c>
      <c r="DS621" s="2144"/>
      <c r="DT621" s="2144"/>
      <c r="DU621" s="2144"/>
      <c r="DV621" s="2145"/>
    </row>
    <row r="622" spans="1:126" ht="12.75" customHeight="1">
      <c r="A622" s="1554" t="s">
        <v>138</v>
      </c>
      <c r="B622" s="1554"/>
      <c r="C622" s="1554"/>
      <c r="D622" s="1554"/>
      <c r="E622" s="1554"/>
      <c r="F622" s="1554"/>
      <c r="G622" s="1554"/>
      <c r="H622" s="1554"/>
      <c r="I622" s="1554"/>
      <c r="J622" s="1554"/>
      <c r="K622" s="1554"/>
      <c r="L622" s="1554"/>
      <c r="M622" s="1554"/>
      <c r="N622" s="1554"/>
      <c r="O622" s="1554"/>
      <c r="P622" s="1554"/>
      <c r="Q622" s="1554"/>
      <c r="R622" s="1554"/>
      <c r="S622" s="1554"/>
      <c r="T622" s="1554"/>
      <c r="U622" s="1554"/>
      <c r="V622" s="1554"/>
      <c r="W622" s="1554"/>
      <c r="X622" s="1554"/>
      <c r="Y622" s="1554"/>
      <c r="Z622" s="1554"/>
      <c r="AA622" s="1554"/>
      <c r="AB622" s="1554"/>
      <c r="AC622" s="1554"/>
      <c r="AD622" s="1554"/>
      <c r="AE622" s="1554"/>
      <c r="AF622" s="1554"/>
      <c r="AG622" s="1554"/>
      <c r="AH622" s="1554"/>
      <c r="AI622" s="1554"/>
      <c r="AJ622" s="1554"/>
      <c r="AK622" s="1554"/>
      <c r="AL622" s="1554"/>
      <c r="AM622" s="1554"/>
      <c r="AN622" s="1554"/>
      <c r="AO622" s="1554"/>
      <c r="AP622" s="1554"/>
      <c r="AQ622" s="1554"/>
      <c r="AR622" s="1554"/>
      <c r="AS622" s="1554"/>
      <c r="AZ622" s="72"/>
      <c r="BA622" s="72"/>
      <c r="BB622" s="72"/>
      <c r="BC622" s="72"/>
      <c r="BD622" s="72"/>
      <c r="BE622" s="1792">
        <f t="shared" si="13"/>
        <v>0</v>
      </c>
      <c r="BF622" s="1793"/>
      <c r="BG622" s="1788">
        <f t="shared" si="11"/>
        <v>0</v>
      </c>
      <c r="BH622" s="1791"/>
      <c r="BI622" s="1792">
        <f t="shared" si="14"/>
        <v>0</v>
      </c>
      <c r="BJ622" s="1793"/>
      <c r="BK622" s="1788">
        <f t="shared" si="12"/>
        <v>0</v>
      </c>
      <c r="BL622" s="1791"/>
      <c r="BN622" s="1788">
        <f t="shared" si="5"/>
        <v>0</v>
      </c>
      <c r="BO622" s="1789"/>
      <c r="BP622" s="1789"/>
      <c r="BQ622" s="1789"/>
      <c r="BR622" s="1790"/>
      <c r="BS622" s="1788">
        <f t="shared" si="6"/>
        <v>0</v>
      </c>
      <c r="BT622" s="1789"/>
      <c r="BU622" s="1789"/>
      <c r="BV622" s="1789"/>
      <c r="BW622" s="1791"/>
      <c r="BX622" s="1788">
        <f t="shared" si="7"/>
        <v>0</v>
      </c>
      <c r="BY622" s="1789"/>
      <c r="BZ622" s="1789"/>
      <c r="CA622" s="1789"/>
      <c r="CB622" s="1791"/>
      <c r="CC622" s="1788">
        <f t="shared" si="8"/>
        <v>0</v>
      </c>
      <c r="CD622" s="1789"/>
      <c r="CE622" s="1789"/>
      <c r="CF622" s="1789"/>
      <c r="CG622" s="1791"/>
      <c r="CH622" s="1788">
        <f t="shared" si="9"/>
        <v>0</v>
      </c>
      <c r="CI622" s="1789"/>
      <c r="CJ622" s="1789"/>
      <c r="CK622" s="1789"/>
      <c r="CL622" s="1791"/>
      <c r="CM622" s="1788">
        <f t="shared" si="10"/>
        <v>0</v>
      </c>
      <c r="CN622" s="1789"/>
      <c r="CO622" s="1789"/>
      <c r="CP622" s="1789"/>
      <c r="CQ622" s="1791"/>
      <c r="CS622" s="2143">
        <f t="shared" si="15"/>
        <v>0</v>
      </c>
      <c r="CT622" s="2144"/>
      <c r="CU622" s="2144"/>
      <c r="CV622" s="2144"/>
      <c r="CW622" s="2145"/>
      <c r="CX622" s="2143">
        <f t="shared" si="16"/>
        <v>0</v>
      </c>
      <c r="CY622" s="2144"/>
      <c r="CZ622" s="2144"/>
      <c r="DA622" s="2144"/>
      <c r="DB622" s="2145"/>
      <c r="DC622" s="2143">
        <f t="shared" si="17"/>
        <v>0</v>
      </c>
      <c r="DD622" s="2144"/>
      <c r="DE622" s="2144"/>
      <c r="DF622" s="2144"/>
      <c r="DG622" s="2145"/>
      <c r="DH622" s="2143">
        <f t="shared" si="18"/>
        <v>0</v>
      </c>
      <c r="DI622" s="2144"/>
      <c r="DJ622" s="2144"/>
      <c r="DK622" s="2144"/>
      <c r="DL622" s="2145"/>
      <c r="DM622" s="2143">
        <f t="shared" si="19"/>
        <v>0</v>
      </c>
      <c r="DN622" s="2144"/>
      <c r="DO622" s="2144"/>
      <c r="DP622" s="2144"/>
      <c r="DQ622" s="2145"/>
      <c r="DR622" s="2143">
        <f t="shared" si="20"/>
        <v>0</v>
      </c>
      <c r="DS622" s="2144"/>
      <c r="DT622" s="2144"/>
      <c r="DU622" s="2144"/>
      <c r="DV622" s="2145"/>
    </row>
    <row r="623" spans="1:126" ht="13.2">
      <c r="A623" s="1554"/>
      <c r="B623" s="1554"/>
      <c r="C623" s="1554"/>
      <c r="D623" s="1554"/>
      <c r="E623" s="1554"/>
      <c r="F623" s="1554"/>
      <c r="G623" s="1554"/>
      <c r="H623" s="1554"/>
      <c r="I623" s="1554"/>
      <c r="J623" s="1554"/>
      <c r="K623" s="1554"/>
      <c r="L623" s="1554"/>
      <c r="M623" s="1554"/>
      <c r="N623" s="1554"/>
      <c r="O623" s="1554"/>
      <c r="P623" s="1554"/>
      <c r="Q623" s="1554"/>
      <c r="R623" s="1554"/>
      <c r="S623" s="1554"/>
      <c r="T623" s="1554"/>
      <c r="U623" s="1554"/>
      <c r="V623" s="1554"/>
      <c r="W623" s="1554"/>
      <c r="X623" s="1554"/>
      <c r="Y623" s="1554"/>
      <c r="Z623" s="1554"/>
      <c r="AA623" s="1554"/>
      <c r="AB623" s="1554"/>
      <c r="AC623" s="1554"/>
      <c r="AD623" s="1554"/>
      <c r="AE623" s="1554"/>
      <c r="AF623" s="1554"/>
      <c r="AG623" s="1554"/>
      <c r="AH623" s="1554"/>
      <c r="AI623" s="1554"/>
      <c r="AJ623" s="1554"/>
      <c r="AK623" s="1554"/>
      <c r="AL623" s="1554"/>
      <c r="AM623" s="1554"/>
      <c r="AN623" s="1554"/>
      <c r="AO623" s="1554"/>
      <c r="AP623" s="1554"/>
      <c r="AQ623" s="1554"/>
      <c r="AR623" s="1554"/>
      <c r="AS623" s="1554"/>
      <c r="AZ623" s="72"/>
      <c r="BA623" s="72"/>
      <c r="BB623" s="72"/>
      <c r="BC623" s="72"/>
      <c r="BD623" s="72"/>
      <c r="BE623" s="1792">
        <f t="shared" si="13"/>
        <v>0</v>
      </c>
      <c r="BF623" s="1793"/>
      <c r="BG623" s="1788">
        <f t="shared" si="11"/>
        <v>0</v>
      </c>
      <c r="BH623" s="1791"/>
      <c r="BI623" s="1792">
        <f t="shared" si="14"/>
        <v>0</v>
      </c>
      <c r="BJ623" s="1793"/>
      <c r="BK623" s="1788">
        <f t="shared" si="12"/>
        <v>0</v>
      </c>
      <c r="BL623" s="1791"/>
      <c r="BN623" s="1788">
        <f t="shared" si="5"/>
        <v>0</v>
      </c>
      <c r="BO623" s="1789"/>
      <c r="BP623" s="1789"/>
      <c r="BQ623" s="1789"/>
      <c r="BR623" s="1790"/>
      <c r="BS623" s="1788">
        <f t="shared" si="6"/>
        <v>0</v>
      </c>
      <c r="BT623" s="1789"/>
      <c r="BU623" s="1789"/>
      <c r="BV623" s="1789"/>
      <c r="BW623" s="1791"/>
      <c r="BX623" s="1788">
        <f t="shared" si="7"/>
        <v>0</v>
      </c>
      <c r="BY623" s="1789"/>
      <c r="BZ623" s="1789"/>
      <c r="CA623" s="1789"/>
      <c r="CB623" s="1791"/>
      <c r="CC623" s="1788">
        <f t="shared" si="8"/>
        <v>0</v>
      </c>
      <c r="CD623" s="1789"/>
      <c r="CE623" s="1789"/>
      <c r="CF623" s="1789"/>
      <c r="CG623" s="1791"/>
      <c r="CH623" s="1788">
        <f t="shared" si="9"/>
        <v>0</v>
      </c>
      <c r="CI623" s="1789"/>
      <c r="CJ623" s="1789"/>
      <c r="CK623" s="1789"/>
      <c r="CL623" s="1791"/>
      <c r="CM623" s="1788">
        <f t="shared" si="10"/>
        <v>0</v>
      </c>
      <c r="CN623" s="1789"/>
      <c r="CO623" s="1789"/>
      <c r="CP623" s="1789"/>
      <c r="CQ623" s="1791"/>
      <c r="CS623" s="2143">
        <f t="shared" si="15"/>
        <v>0</v>
      </c>
      <c r="CT623" s="2144"/>
      <c r="CU623" s="2144"/>
      <c r="CV623" s="2144"/>
      <c r="CW623" s="2145"/>
      <c r="CX623" s="2143">
        <f t="shared" si="16"/>
        <v>0</v>
      </c>
      <c r="CY623" s="2144"/>
      <c r="CZ623" s="2144"/>
      <c r="DA623" s="2144"/>
      <c r="DB623" s="2145"/>
      <c r="DC623" s="2143">
        <f t="shared" si="17"/>
        <v>0</v>
      </c>
      <c r="DD623" s="2144"/>
      <c r="DE623" s="2144"/>
      <c r="DF623" s="2144"/>
      <c r="DG623" s="2145"/>
      <c r="DH623" s="2143">
        <f t="shared" si="18"/>
        <v>0</v>
      </c>
      <c r="DI623" s="2144"/>
      <c r="DJ623" s="2144"/>
      <c r="DK623" s="2144"/>
      <c r="DL623" s="2145"/>
      <c r="DM623" s="2143">
        <f t="shared" si="19"/>
        <v>0</v>
      </c>
      <c r="DN623" s="2144"/>
      <c r="DO623" s="2144"/>
      <c r="DP623" s="2144"/>
      <c r="DQ623" s="2145"/>
      <c r="DR623" s="2143">
        <f t="shared" si="20"/>
        <v>0</v>
      </c>
      <c r="DS623" s="2144"/>
      <c r="DT623" s="2144"/>
      <c r="DU623" s="2144"/>
      <c r="DV623" s="2145"/>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792">
        <f t="shared" si="13"/>
        <v>0</v>
      </c>
      <c r="BF624" s="1793"/>
      <c r="BG624" s="1788">
        <f t="shared" si="11"/>
        <v>0</v>
      </c>
      <c r="BH624" s="1791"/>
      <c r="BI624" s="1792">
        <f t="shared" si="14"/>
        <v>0</v>
      </c>
      <c r="BJ624" s="1793"/>
      <c r="BK624" s="1788">
        <f t="shared" si="12"/>
        <v>0</v>
      </c>
      <c r="BL624" s="1791"/>
      <c r="BN624" s="1788">
        <f t="shared" si="5"/>
        <v>0</v>
      </c>
      <c r="BO624" s="1789"/>
      <c r="BP624" s="1789"/>
      <c r="BQ624" s="1789"/>
      <c r="BR624" s="1790"/>
      <c r="BS624" s="1788">
        <f t="shared" si="6"/>
        <v>0</v>
      </c>
      <c r="BT624" s="1789"/>
      <c r="BU624" s="1789"/>
      <c r="BV624" s="1789"/>
      <c r="BW624" s="1791"/>
      <c r="BX624" s="1788">
        <f t="shared" si="7"/>
        <v>0</v>
      </c>
      <c r="BY624" s="1789"/>
      <c r="BZ624" s="1789"/>
      <c r="CA624" s="1789"/>
      <c r="CB624" s="1791"/>
      <c r="CC624" s="1788">
        <f t="shared" si="8"/>
        <v>0</v>
      </c>
      <c r="CD624" s="1789"/>
      <c r="CE624" s="1789"/>
      <c r="CF624" s="1789"/>
      <c r="CG624" s="1791"/>
      <c r="CH624" s="1788">
        <f t="shared" si="9"/>
        <v>0</v>
      </c>
      <c r="CI624" s="1789"/>
      <c r="CJ624" s="1789"/>
      <c r="CK624" s="1789"/>
      <c r="CL624" s="1791"/>
      <c r="CM624" s="1788">
        <f t="shared" si="10"/>
        <v>0</v>
      </c>
      <c r="CN624" s="1789"/>
      <c r="CO624" s="1789"/>
      <c r="CP624" s="1789"/>
      <c r="CQ624" s="1791"/>
      <c r="CS624" s="2143">
        <f t="shared" si="15"/>
        <v>0</v>
      </c>
      <c r="CT624" s="2144"/>
      <c r="CU624" s="2144"/>
      <c r="CV624" s="2144"/>
      <c r="CW624" s="2145"/>
      <c r="CX624" s="2143">
        <f t="shared" si="16"/>
        <v>0</v>
      </c>
      <c r="CY624" s="2144"/>
      <c r="CZ624" s="2144"/>
      <c r="DA624" s="2144"/>
      <c r="DB624" s="2145"/>
      <c r="DC624" s="2143">
        <f t="shared" si="17"/>
        <v>0</v>
      </c>
      <c r="DD624" s="2144"/>
      <c r="DE624" s="2144"/>
      <c r="DF624" s="2144"/>
      <c r="DG624" s="2145"/>
      <c r="DH624" s="2143">
        <f t="shared" si="18"/>
        <v>0</v>
      </c>
      <c r="DI624" s="2144"/>
      <c r="DJ624" s="2144"/>
      <c r="DK624" s="2144"/>
      <c r="DL624" s="2145"/>
      <c r="DM624" s="2143">
        <f t="shared" si="19"/>
        <v>0</v>
      </c>
      <c r="DN624" s="2144"/>
      <c r="DO624" s="2144"/>
      <c r="DP624" s="2144"/>
      <c r="DQ624" s="2145"/>
      <c r="DR624" s="2143">
        <f t="shared" si="20"/>
        <v>0</v>
      </c>
      <c r="DS624" s="2144"/>
      <c r="DT624" s="2144"/>
      <c r="DU624" s="2144"/>
      <c r="DV624" s="2145"/>
    </row>
    <row r="625" spans="1:126" ht="13.2">
      <c r="A625" s="63" t="s">
        <v>719</v>
      </c>
      <c r="B625" s="63"/>
      <c r="C625" s="63" t="s">
        <v>919</v>
      </c>
      <c r="AM625" s="50"/>
      <c r="AN625" s="50"/>
      <c r="AO625" s="50"/>
      <c r="AP625" s="50"/>
      <c r="AQ625" s="50"/>
      <c r="AR625" s="50"/>
      <c r="AS625" s="50"/>
      <c r="AZ625" s="72"/>
      <c r="BA625" s="72"/>
      <c r="BB625" s="72"/>
      <c r="BC625" s="72"/>
      <c r="BD625" s="72"/>
      <c r="BE625" s="1792">
        <f t="shared" si="13"/>
        <v>0</v>
      </c>
      <c r="BF625" s="1793"/>
      <c r="BG625" s="1788">
        <f t="shared" si="11"/>
        <v>0</v>
      </c>
      <c r="BH625" s="1791"/>
      <c r="BI625" s="1792">
        <f t="shared" si="14"/>
        <v>0</v>
      </c>
      <c r="BJ625" s="1793"/>
      <c r="BK625" s="1788">
        <f t="shared" si="12"/>
        <v>0</v>
      </c>
      <c r="BL625" s="1791"/>
      <c r="BN625" s="1788">
        <f t="shared" si="5"/>
        <v>0</v>
      </c>
      <c r="BO625" s="1789"/>
      <c r="BP625" s="1789"/>
      <c r="BQ625" s="1789"/>
      <c r="BR625" s="1790"/>
      <c r="BS625" s="1788">
        <f t="shared" si="6"/>
        <v>0</v>
      </c>
      <c r="BT625" s="1789"/>
      <c r="BU625" s="1789"/>
      <c r="BV625" s="1789"/>
      <c r="BW625" s="1791"/>
      <c r="BX625" s="1788">
        <f t="shared" si="7"/>
        <v>0</v>
      </c>
      <c r="BY625" s="1789"/>
      <c r="BZ625" s="1789"/>
      <c r="CA625" s="1789"/>
      <c r="CB625" s="1791"/>
      <c r="CC625" s="1788">
        <f t="shared" si="8"/>
        <v>0</v>
      </c>
      <c r="CD625" s="1789"/>
      <c r="CE625" s="1789"/>
      <c r="CF625" s="1789"/>
      <c r="CG625" s="1791"/>
      <c r="CH625" s="1788">
        <f t="shared" si="9"/>
        <v>0</v>
      </c>
      <c r="CI625" s="1789"/>
      <c r="CJ625" s="1789"/>
      <c r="CK625" s="1789"/>
      <c r="CL625" s="1791"/>
      <c r="CM625" s="1788">
        <f t="shared" si="10"/>
        <v>0</v>
      </c>
      <c r="CN625" s="1789"/>
      <c r="CO625" s="1789"/>
      <c r="CP625" s="1789"/>
      <c r="CQ625" s="1791"/>
      <c r="CS625" s="2143">
        <f t="shared" si="15"/>
        <v>0</v>
      </c>
      <c r="CT625" s="2144"/>
      <c r="CU625" s="2144"/>
      <c r="CV625" s="2144"/>
      <c r="CW625" s="2145"/>
      <c r="CX625" s="2143">
        <f t="shared" si="16"/>
        <v>0</v>
      </c>
      <c r="CY625" s="2144"/>
      <c r="CZ625" s="2144"/>
      <c r="DA625" s="2144"/>
      <c r="DB625" s="2145"/>
      <c r="DC625" s="2143">
        <f t="shared" si="17"/>
        <v>0</v>
      </c>
      <c r="DD625" s="2144"/>
      <c r="DE625" s="2144"/>
      <c r="DF625" s="2144"/>
      <c r="DG625" s="2145"/>
      <c r="DH625" s="2143">
        <f t="shared" si="18"/>
        <v>0</v>
      </c>
      <c r="DI625" s="2144"/>
      <c r="DJ625" s="2144"/>
      <c r="DK625" s="2144"/>
      <c r="DL625" s="2145"/>
      <c r="DM625" s="2143">
        <f t="shared" si="19"/>
        <v>0</v>
      </c>
      <c r="DN625" s="2144"/>
      <c r="DO625" s="2144"/>
      <c r="DP625" s="2144"/>
      <c r="DQ625" s="2145"/>
      <c r="DR625" s="2143">
        <f t="shared" si="20"/>
        <v>0</v>
      </c>
      <c r="DS625" s="2144"/>
      <c r="DT625" s="2144"/>
      <c r="DU625" s="2144"/>
      <c r="DV625" s="2145"/>
    </row>
    <row r="626" spans="1:126" ht="13.2">
      <c r="A626" s="63"/>
      <c r="B626" s="63"/>
      <c r="C626" s="63"/>
      <c r="AM626" s="50"/>
      <c r="AN626" s="50"/>
      <c r="AO626" s="50"/>
      <c r="AP626" s="50"/>
      <c r="AQ626" s="50"/>
      <c r="AR626" s="50"/>
      <c r="AS626" s="50"/>
      <c r="AZ626" s="72"/>
      <c r="BA626" s="72"/>
      <c r="BB626" s="72"/>
      <c r="BC626" s="72"/>
      <c r="BD626" s="72"/>
      <c r="BE626" s="1792">
        <f t="shared" si="13"/>
        <v>0</v>
      </c>
      <c r="BF626" s="1793"/>
      <c r="BG626" s="1788">
        <f t="shared" si="11"/>
        <v>0</v>
      </c>
      <c r="BH626" s="1791"/>
      <c r="BI626" s="1792">
        <f t="shared" si="14"/>
        <v>0</v>
      </c>
      <c r="BJ626" s="1793"/>
      <c r="BK626" s="1788">
        <f t="shared" si="12"/>
        <v>0</v>
      </c>
      <c r="BL626" s="1791"/>
      <c r="BN626" s="1788">
        <f t="shared" si="5"/>
        <v>0</v>
      </c>
      <c r="BO626" s="1789"/>
      <c r="BP626" s="1789"/>
      <c r="BQ626" s="1789"/>
      <c r="BR626" s="1790"/>
      <c r="BS626" s="1788">
        <f t="shared" si="6"/>
        <v>0</v>
      </c>
      <c r="BT626" s="1789"/>
      <c r="BU626" s="1789"/>
      <c r="BV626" s="1789"/>
      <c r="BW626" s="1791"/>
      <c r="BX626" s="1788">
        <f t="shared" si="7"/>
        <v>0</v>
      </c>
      <c r="BY626" s="1789"/>
      <c r="BZ626" s="1789"/>
      <c r="CA626" s="1789"/>
      <c r="CB626" s="1791"/>
      <c r="CC626" s="1788">
        <f t="shared" si="8"/>
        <v>0</v>
      </c>
      <c r="CD626" s="1789"/>
      <c r="CE626" s="1789"/>
      <c r="CF626" s="1789"/>
      <c r="CG626" s="1791"/>
      <c r="CH626" s="1788">
        <f t="shared" si="9"/>
        <v>0</v>
      </c>
      <c r="CI626" s="1789"/>
      <c r="CJ626" s="1789"/>
      <c r="CK626" s="1789"/>
      <c r="CL626" s="1791"/>
      <c r="CM626" s="1788">
        <f t="shared" si="10"/>
        <v>0</v>
      </c>
      <c r="CN626" s="1789"/>
      <c r="CO626" s="1789"/>
      <c r="CP626" s="1789"/>
      <c r="CQ626" s="1791"/>
      <c r="CS626" s="2143">
        <f t="shared" si="15"/>
        <v>0</v>
      </c>
      <c r="CT626" s="2144"/>
      <c r="CU626" s="2144"/>
      <c r="CV626" s="2144"/>
      <c r="CW626" s="2145"/>
      <c r="CX626" s="2143">
        <f t="shared" si="16"/>
        <v>0</v>
      </c>
      <c r="CY626" s="2144"/>
      <c r="CZ626" s="2144"/>
      <c r="DA626" s="2144"/>
      <c r="DB626" s="2145"/>
      <c r="DC626" s="2143">
        <f t="shared" si="17"/>
        <v>0</v>
      </c>
      <c r="DD626" s="2144"/>
      <c r="DE626" s="2144"/>
      <c r="DF626" s="2144"/>
      <c r="DG626" s="2145"/>
      <c r="DH626" s="2143">
        <f t="shared" si="18"/>
        <v>0</v>
      </c>
      <c r="DI626" s="2144"/>
      <c r="DJ626" s="2144"/>
      <c r="DK626" s="2144"/>
      <c r="DL626" s="2145"/>
      <c r="DM626" s="2143">
        <f t="shared" si="19"/>
        <v>0</v>
      </c>
      <c r="DN626" s="2144"/>
      <c r="DO626" s="2144"/>
      <c r="DP626" s="2144"/>
      <c r="DQ626" s="2145"/>
      <c r="DR626" s="2143">
        <f t="shared" si="20"/>
        <v>0</v>
      </c>
      <c r="DS626" s="2144"/>
      <c r="DT626" s="2144"/>
      <c r="DU626" s="2144"/>
      <c r="DV626" s="2145"/>
    </row>
    <row r="627" spans="1:126" ht="13.2">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2">
        <f t="shared" si="13"/>
        <v>0</v>
      </c>
      <c r="BF627" s="1793"/>
      <c r="BG627" s="1788">
        <f t="shared" si="11"/>
        <v>0</v>
      </c>
      <c r="BH627" s="1791"/>
      <c r="BI627" s="1792">
        <f t="shared" si="14"/>
        <v>0</v>
      </c>
      <c r="BJ627" s="1793"/>
      <c r="BK627" s="1788">
        <f t="shared" si="12"/>
        <v>0</v>
      </c>
      <c r="BL627" s="1791"/>
      <c r="BN627" s="1792">
        <f>SUM(BN602:BR626)</f>
        <v>58</v>
      </c>
      <c r="BO627" s="2148"/>
      <c r="BP627" s="2148"/>
      <c r="BQ627" s="2148"/>
      <c r="BR627" s="1793"/>
      <c r="BS627" s="1792">
        <f>SUM(BS602:BW626)</f>
        <v>19</v>
      </c>
      <c r="BT627" s="2148"/>
      <c r="BU627" s="2148"/>
      <c r="BV627" s="2148"/>
      <c r="BW627" s="1793"/>
      <c r="BX627" s="1792">
        <f>SUM(BX602:CB626)</f>
        <v>6</v>
      </c>
      <c r="BY627" s="2148"/>
      <c r="BZ627" s="2148"/>
      <c r="CA627" s="2148"/>
      <c r="CB627" s="1793"/>
      <c r="CC627" s="1792">
        <f>SUM(CC602:CG626)</f>
        <v>5</v>
      </c>
      <c r="CD627" s="2148"/>
      <c r="CE627" s="2148"/>
      <c r="CF627" s="2148"/>
      <c r="CG627" s="1793"/>
      <c r="CH627" s="1792">
        <f>SUM(CH602:CL626)</f>
        <v>0</v>
      </c>
      <c r="CI627" s="2148"/>
      <c r="CJ627" s="2148"/>
      <c r="CK627" s="2148"/>
      <c r="CL627" s="1793"/>
      <c r="CM627" s="1792">
        <f>SUM(CM602:CQ626)</f>
        <v>0</v>
      </c>
      <c r="CN627" s="2148"/>
      <c r="CO627" s="2148"/>
      <c r="CP627" s="2148"/>
      <c r="CQ627" s="1793"/>
      <c r="CS627" s="2143">
        <f t="shared" si="15"/>
        <v>0</v>
      </c>
      <c r="CT627" s="2144"/>
      <c r="CU627" s="2144"/>
      <c r="CV627" s="2144"/>
      <c r="CW627" s="2145"/>
      <c r="CX627" s="2143">
        <f t="shared" si="16"/>
        <v>0</v>
      </c>
      <c r="CY627" s="2144"/>
      <c r="CZ627" s="2144"/>
      <c r="DA627" s="2144"/>
      <c r="DB627" s="2145"/>
      <c r="DC627" s="2143">
        <f t="shared" si="17"/>
        <v>0</v>
      </c>
      <c r="DD627" s="2144"/>
      <c r="DE627" s="2144"/>
      <c r="DF627" s="2144"/>
      <c r="DG627" s="2145"/>
      <c r="DH627" s="2143">
        <f t="shared" si="18"/>
        <v>0</v>
      </c>
      <c r="DI627" s="2144"/>
      <c r="DJ627" s="2144"/>
      <c r="DK627" s="2144"/>
      <c r="DL627" s="2145"/>
      <c r="DM627" s="2143">
        <f t="shared" si="19"/>
        <v>0</v>
      </c>
      <c r="DN627" s="2144"/>
      <c r="DO627" s="2144"/>
      <c r="DP627" s="2144"/>
      <c r="DQ627" s="2145"/>
      <c r="DR627" s="2143">
        <f t="shared" si="20"/>
        <v>0</v>
      </c>
      <c r="DS627" s="2144"/>
      <c r="DT627" s="2144"/>
      <c r="DU627" s="2144"/>
      <c r="DV627" s="2145"/>
    </row>
    <row r="628" spans="1:126" ht="13.8" thickBot="1">
      <c r="B628" s="1438"/>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2">
        <f>SUM(BG603:BH627)</f>
        <v>13</v>
      </c>
      <c r="BH628" s="1793"/>
      <c r="BI628" s="72"/>
      <c r="BJ628" s="72"/>
      <c r="BK628" s="1792">
        <f>SUM(BK603:BL627)</f>
        <v>54</v>
      </c>
      <c r="BL628" s="1793"/>
      <c r="BN628" s="72" t="s">
        <v>1941</v>
      </c>
      <c r="BO628" s="72"/>
      <c r="BP628" s="72"/>
      <c r="BQ628" s="72"/>
      <c r="BR628" s="735">
        <f>BN627*1</f>
        <v>58</v>
      </c>
      <c r="BS628" s="72"/>
      <c r="BT628" s="72"/>
      <c r="BU628" s="72"/>
      <c r="BV628" s="72"/>
      <c r="BW628" s="735">
        <f>BS627*1</f>
        <v>19</v>
      </c>
      <c r="BX628" s="72"/>
      <c r="BY628" s="72"/>
      <c r="BZ628" s="72"/>
      <c r="CA628" s="72"/>
      <c r="CB628" s="735">
        <f>BX627*2</f>
        <v>12</v>
      </c>
      <c r="CC628" s="72"/>
      <c r="CD628" s="72"/>
      <c r="CE628" s="72"/>
      <c r="CF628" s="72"/>
      <c r="CG628" s="735">
        <f>CC627*3</f>
        <v>15</v>
      </c>
      <c r="CH628" s="72"/>
      <c r="CI628" s="72"/>
      <c r="CJ628" s="72"/>
      <c r="CK628" s="72"/>
      <c r="CL628" s="735">
        <f>CH627*4</f>
        <v>0</v>
      </c>
      <c r="CM628" s="72"/>
      <c r="CN628" s="72"/>
      <c r="CO628" s="72"/>
      <c r="CP628" s="72"/>
      <c r="CQ628" s="734">
        <f>CM627*5</f>
        <v>0</v>
      </c>
      <c r="CS628" s="1792">
        <f>SUM(CS603:CW627)</f>
        <v>39</v>
      </c>
      <c r="CT628" s="2148"/>
      <c r="CU628" s="2148"/>
      <c r="CV628" s="2148"/>
      <c r="CW628" s="1793"/>
      <c r="CX628" s="1792">
        <f>SUM(CX603:DB627)</f>
        <v>13</v>
      </c>
      <c r="CY628" s="2148"/>
      <c r="CZ628" s="2148"/>
      <c r="DA628" s="2148"/>
      <c r="DB628" s="1793"/>
      <c r="DC628" s="1792">
        <f>SUM(DC603:DG627)</f>
        <v>1</v>
      </c>
      <c r="DD628" s="2148"/>
      <c r="DE628" s="2148"/>
      <c r="DF628" s="2148"/>
      <c r="DG628" s="1793"/>
      <c r="DH628" s="1792">
        <f>SUM(DH603:DL627)</f>
        <v>1</v>
      </c>
      <c r="DI628" s="2148"/>
      <c r="DJ628" s="2148"/>
      <c r="DK628" s="2148"/>
      <c r="DL628" s="1793"/>
      <c r="DM628" s="1792">
        <f>SUM(DM603:DQ627)</f>
        <v>0</v>
      </c>
      <c r="DN628" s="2148"/>
      <c r="DO628" s="2148"/>
      <c r="DP628" s="2148"/>
      <c r="DQ628" s="1793"/>
      <c r="DR628" s="1792">
        <f>SUM(DR603:DV627)</f>
        <v>0</v>
      </c>
      <c r="DS628" s="2148"/>
      <c r="DT628" s="2148"/>
      <c r="DU628" s="2148"/>
      <c r="DV628" s="1793"/>
    </row>
    <row r="629" spans="1:126" ht="13.5" customHeight="1" thickBot="1">
      <c r="A629" s="1391"/>
      <c r="B629" s="2058" t="s">
        <v>807</v>
      </c>
      <c r="C629" s="2059"/>
      <c r="D629" s="2059"/>
      <c r="E629" s="2059"/>
      <c r="F629" s="2059"/>
      <c r="G629" s="2059"/>
      <c r="H629" s="2059"/>
      <c r="I629" s="2059"/>
      <c r="J629" s="2059"/>
      <c r="K629" s="2059"/>
      <c r="L629" s="2059"/>
      <c r="M629" s="2059"/>
      <c r="N629" s="2060"/>
      <c r="O629" s="1861" t="s">
        <v>489</v>
      </c>
      <c r="P629" s="1862"/>
      <c r="Q629" s="1863"/>
      <c r="R629" s="1861" t="s">
        <v>2281</v>
      </c>
      <c r="S629" s="1862"/>
      <c r="T629" s="1863"/>
      <c r="U629" s="2027" t="s">
        <v>808</v>
      </c>
      <c r="V629" s="2027"/>
      <c r="W629" s="2028"/>
      <c r="X629" s="1861" t="s">
        <v>2282</v>
      </c>
      <c r="Y629" s="1862"/>
      <c r="Z629" s="1862"/>
      <c r="AA629" s="1862"/>
      <c r="AB629" s="1863"/>
      <c r="AC629" s="2033" t="s">
        <v>2283</v>
      </c>
      <c r="AD629" s="2034"/>
      <c r="AE629" s="2035"/>
      <c r="AF629" s="1861" t="s">
        <v>2284</v>
      </c>
      <c r="AG629" s="1862"/>
      <c r="AH629" s="1862"/>
      <c r="AI629" s="1862"/>
      <c r="AJ629" s="1863"/>
      <c r="AK629" s="2043" t="s">
        <v>2285</v>
      </c>
      <c r="AL629" s="2044"/>
      <c r="AM629" s="2044"/>
      <c r="AN629" s="2045"/>
      <c r="AO629" s="2026" t="s">
        <v>809</v>
      </c>
      <c r="AP629" s="2026"/>
      <c r="AQ629" s="2026"/>
      <c r="AR629" s="2026"/>
      <c r="AS629" s="2026"/>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9" t="s">
        <v>1942</v>
      </c>
      <c r="CQ629" s="736">
        <f>BR628+BW628+CB628+CG628+CL628+CQ628</f>
        <v>104</v>
      </c>
      <c r="CR629" s="72"/>
      <c r="CS629" s="72"/>
    </row>
    <row r="630" spans="1:126" ht="13.2">
      <c r="A630" s="1391"/>
      <c r="B630" s="2061"/>
      <c r="C630" s="2062"/>
      <c r="D630" s="2062"/>
      <c r="E630" s="2062"/>
      <c r="F630" s="2062"/>
      <c r="G630" s="2062"/>
      <c r="H630" s="2062"/>
      <c r="I630" s="2062"/>
      <c r="J630" s="2062"/>
      <c r="K630" s="2062"/>
      <c r="L630" s="2062"/>
      <c r="M630" s="2062"/>
      <c r="N630" s="2063"/>
      <c r="O630" s="1864"/>
      <c r="P630" s="1865"/>
      <c r="Q630" s="1866"/>
      <c r="R630" s="1864"/>
      <c r="S630" s="1865"/>
      <c r="T630" s="1866"/>
      <c r="U630" s="2029"/>
      <c r="V630" s="2029"/>
      <c r="W630" s="2030"/>
      <c r="X630" s="1864"/>
      <c r="Y630" s="1865"/>
      <c r="Z630" s="1865"/>
      <c r="AA630" s="1865"/>
      <c r="AB630" s="1866"/>
      <c r="AC630" s="2036"/>
      <c r="AD630" s="2037"/>
      <c r="AE630" s="2038"/>
      <c r="AF630" s="1864"/>
      <c r="AG630" s="1865"/>
      <c r="AH630" s="1865"/>
      <c r="AI630" s="1865"/>
      <c r="AJ630" s="1866"/>
      <c r="AK630" s="2046"/>
      <c r="AL630" s="2047"/>
      <c r="AM630" s="2047"/>
      <c r="AN630" s="2048"/>
      <c r="AO630" s="2026"/>
      <c r="AP630" s="2026"/>
      <c r="AQ630" s="2026"/>
      <c r="AR630" s="2026"/>
      <c r="AS630" s="2026"/>
      <c r="AT630" s="72"/>
      <c r="AU630" s="72"/>
      <c r="AV630" s="72"/>
      <c r="AW630" s="72"/>
      <c r="AX630" s="72"/>
      <c r="AY630" s="72"/>
      <c r="AZ630" s="72"/>
      <c r="BN630" s="1788">
        <f>IF(J752="SRO/Studio",O752,0)</f>
        <v>0</v>
      </c>
      <c r="BO630" s="1789"/>
      <c r="BP630" s="1789"/>
      <c r="BQ630" s="1789"/>
      <c r="BR630" s="1791"/>
      <c r="BS630" s="1788">
        <f>IF(J752="1 Bedroom",O752,0)</f>
        <v>1</v>
      </c>
      <c r="BT630" s="1789"/>
      <c r="BU630" s="1789"/>
      <c r="BV630" s="1789"/>
      <c r="BW630" s="1791"/>
      <c r="BX630" s="1788">
        <f>IF(J752="2 Bedrooms",O752,0)</f>
        <v>0</v>
      </c>
      <c r="BY630" s="1789"/>
      <c r="BZ630" s="1789"/>
      <c r="CA630" s="1789"/>
      <c r="CB630" s="1791"/>
      <c r="CC630" s="1788">
        <f>IF(J752="3 Bedrooms",O752,0)</f>
        <v>0</v>
      </c>
      <c r="CD630" s="1789"/>
      <c r="CE630" s="1789"/>
      <c r="CF630" s="1789"/>
      <c r="CG630" s="1791"/>
      <c r="CH630" s="1788">
        <f>IF(J752="4 Bedrooms",O752,0)</f>
        <v>0</v>
      </c>
      <c r="CI630" s="1789"/>
      <c r="CJ630" s="1789"/>
      <c r="CK630" s="1789"/>
      <c r="CL630" s="1791"/>
      <c r="CM630" s="2146">
        <f>IF(J752="5 Bedrooms",O752,0)</f>
        <v>0</v>
      </c>
      <c r="CN630" s="2147"/>
      <c r="CO630" s="2147"/>
      <c r="CP630" s="2147"/>
      <c r="CQ630" s="1790"/>
      <c r="CR630" s="72"/>
      <c r="CS630" s="72"/>
    </row>
    <row r="631" spans="1:126" ht="12.75" customHeight="1">
      <c r="A631" s="1391"/>
      <c r="B631" s="2064"/>
      <c r="C631" s="2062"/>
      <c r="D631" s="2062"/>
      <c r="E631" s="2062"/>
      <c r="F631" s="2062"/>
      <c r="G631" s="2062"/>
      <c r="H631" s="2062"/>
      <c r="I631" s="2062"/>
      <c r="J631" s="2062"/>
      <c r="K631" s="2062"/>
      <c r="L631" s="2062"/>
      <c r="M631" s="2062"/>
      <c r="N631" s="2063"/>
      <c r="O631" s="1867"/>
      <c r="P631" s="1868"/>
      <c r="Q631" s="1869"/>
      <c r="R631" s="1867"/>
      <c r="S631" s="1868"/>
      <c r="T631" s="1869"/>
      <c r="U631" s="2031"/>
      <c r="V631" s="2031"/>
      <c r="W631" s="2032"/>
      <c r="X631" s="1867"/>
      <c r="Y631" s="1868"/>
      <c r="Z631" s="1868"/>
      <c r="AA631" s="1868"/>
      <c r="AB631" s="1869"/>
      <c r="AC631" s="2039"/>
      <c r="AD631" s="2040"/>
      <c r="AE631" s="2041"/>
      <c r="AF631" s="1867"/>
      <c r="AG631" s="1868"/>
      <c r="AH631" s="1868"/>
      <c r="AI631" s="1868"/>
      <c r="AJ631" s="1869"/>
      <c r="AK631" s="2049"/>
      <c r="AL631" s="2050"/>
      <c r="AM631" s="2050"/>
      <c r="AN631" s="2051"/>
      <c r="AO631" s="2026"/>
      <c r="AP631" s="2026"/>
      <c r="AQ631" s="2026"/>
      <c r="AR631" s="2026"/>
      <c r="AS631" s="2026"/>
      <c r="AT631" s="75"/>
      <c r="AU631" s="75"/>
      <c r="AV631" s="75"/>
      <c r="AW631" s="75"/>
      <c r="AX631" s="75"/>
      <c r="AY631" s="75"/>
      <c r="AZ631" s="75"/>
      <c r="BN631" s="1788">
        <f>IF(J753="SRO/Studio",O753,0)</f>
        <v>0</v>
      </c>
      <c r="BO631" s="1789"/>
      <c r="BP631" s="1789"/>
      <c r="BQ631" s="1789"/>
      <c r="BR631" s="1791"/>
      <c r="BS631" s="1788">
        <f>IF(J753="1 Bedroom",O753,0)</f>
        <v>0</v>
      </c>
      <c r="BT631" s="1789"/>
      <c r="BU631" s="1789"/>
      <c r="BV631" s="1789"/>
      <c r="BW631" s="1791"/>
      <c r="BX631" s="1788">
        <f>IF(J753="2 Bedrooms",O753,0)</f>
        <v>0</v>
      </c>
      <c r="BY631" s="1789"/>
      <c r="BZ631" s="1789"/>
      <c r="CA631" s="1789"/>
      <c r="CB631" s="1791"/>
      <c r="CC631" s="1788">
        <f>IF(J753="3 Bedrooms",O753,0)</f>
        <v>1</v>
      </c>
      <c r="CD631" s="1789"/>
      <c r="CE631" s="1789"/>
      <c r="CF631" s="1789"/>
      <c r="CG631" s="1791"/>
      <c r="CH631" s="1788">
        <f>IF(J753="4 Bedrooms",O753,0)</f>
        <v>0</v>
      </c>
      <c r="CI631" s="1789"/>
      <c r="CJ631" s="1789"/>
      <c r="CK631" s="1789"/>
      <c r="CL631" s="1791"/>
      <c r="CM631" s="2146">
        <f>IF(J753="5 Bedrooms",O753,0)</f>
        <v>0</v>
      </c>
      <c r="CN631" s="2147"/>
      <c r="CO631" s="2147"/>
      <c r="CP631" s="2147"/>
      <c r="CQ631" s="1790"/>
      <c r="CR631" s="72"/>
      <c r="CS631" s="72"/>
    </row>
    <row r="632" spans="1:126" ht="12.75" customHeight="1">
      <c r="B632" s="97" t="s">
        <v>1004</v>
      </c>
      <c r="C632" s="1701" t="s">
        <v>2483</v>
      </c>
      <c r="D632" s="1701"/>
      <c r="E632" s="1701"/>
      <c r="F632" s="1701"/>
      <c r="G632" s="1701"/>
      <c r="H632" s="1701"/>
      <c r="I632" s="1701"/>
      <c r="J632" s="1701"/>
      <c r="K632" s="1701"/>
      <c r="L632" s="1701"/>
      <c r="M632" s="1701"/>
      <c r="N632" s="1965"/>
      <c r="O632" s="1891">
        <f>55*12</f>
        <v>660</v>
      </c>
      <c r="P632" s="1892"/>
      <c r="Q632" s="1893"/>
      <c r="R632" s="1891">
        <f>55*12</f>
        <v>660</v>
      </c>
      <c r="S632" s="1892"/>
      <c r="T632" s="1893"/>
      <c r="U632" s="2052">
        <v>2.06E-2</v>
      </c>
      <c r="V632" s="1969"/>
      <c r="W632" s="1970"/>
      <c r="X632" s="1828" t="s">
        <v>865</v>
      </c>
      <c r="Y632" s="1875"/>
      <c r="Z632" s="1875"/>
      <c r="AA632" s="1875"/>
      <c r="AB632" s="1876"/>
      <c r="AC632" s="1800">
        <v>7</v>
      </c>
      <c r="AD632" s="1697"/>
      <c r="AE632" s="1801"/>
      <c r="AF632" s="1775">
        <v>0</v>
      </c>
      <c r="AG632" s="1776"/>
      <c r="AH632" s="1776"/>
      <c r="AI632" s="1776"/>
      <c r="AJ632" s="1777"/>
      <c r="AK632" s="1802">
        <v>0</v>
      </c>
      <c r="AL632" s="1803"/>
      <c r="AM632" s="1803"/>
      <c r="AN632" s="1804"/>
      <c r="AO632" s="1758">
        <v>4262015</v>
      </c>
      <c r="AP632" s="1758"/>
      <c r="AQ632" s="1758"/>
      <c r="AR632" s="1758"/>
      <c r="AS632" s="1758"/>
      <c r="AU632" s="75"/>
      <c r="AV632" s="75"/>
      <c r="AW632" s="75"/>
      <c r="AX632" s="75"/>
      <c r="AY632" s="75"/>
      <c r="BA632" s="72" t="s">
        <v>2267</v>
      </c>
      <c r="BC632" s="75"/>
      <c r="BD632" s="75"/>
      <c r="BN632" s="1788">
        <f>IF(J754="SRO/Studio",O754,0)</f>
        <v>0</v>
      </c>
      <c r="BO632" s="1789"/>
      <c r="BP632" s="1789"/>
      <c r="BQ632" s="1789"/>
      <c r="BR632" s="1791"/>
      <c r="BS632" s="1788">
        <f>IF(J754="1 Bedroom",O754,0)</f>
        <v>0</v>
      </c>
      <c r="BT632" s="1789"/>
      <c r="BU632" s="1789"/>
      <c r="BV632" s="1789"/>
      <c r="BW632" s="1791"/>
      <c r="BX632" s="1788">
        <f>IF(J754="2 Bedrooms",O754,0)</f>
        <v>0</v>
      </c>
      <c r="BY632" s="1789"/>
      <c r="BZ632" s="1789"/>
      <c r="CA632" s="1789"/>
      <c r="CB632" s="1791"/>
      <c r="CC632" s="1788">
        <f>IF(J754="3 Bedrooms",O754,0)</f>
        <v>0</v>
      </c>
      <c r="CD632" s="1789"/>
      <c r="CE632" s="1789"/>
      <c r="CF632" s="1789"/>
      <c r="CG632" s="1791"/>
      <c r="CH632" s="1788">
        <f>IF(J754="4 Bedrooms",O754,0)</f>
        <v>0</v>
      </c>
      <c r="CI632" s="1789"/>
      <c r="CJ632" s="1789"/>
      <c r="CK632" s="1789"/>
      <c r="CL632" s="1791"/>
      <c r="CM632" s="2146">
        <f>IF(J754="5 Bedrooms",O754,0)</f>
        <v>0</v>
      </c>
      <c r="CN632" s="2147"/>
      <c r="CO632" s="2147"/>
      <c r="CP632" s="2147"/>
      <c r="CQ632" s="1790"/>
      <c r="CR632" s="72"/>
      <c r="CS632" s="72"/>
    </row>
    <row r="633" spans="1:126" ht="13.2">
      <c r="B633" s="98" t="s">
        <v>1005</v>
      </c>
      <c r="C633" s="1701"/>
      <c r="D633" s="1701"/>
      <c r="E633" s="1701"/>
      <c r="F633" s="1701"/>
      <c r="G633" s="1701"/>
      <c r="H633" s="1701"/>
      <c r="I633" s="1701"/>
      <c r="J633" s="1701"/>
      <c r="K633" s="1701"/>
      <c r="L633" s="1701"/>
      <c r="M633" s="1701"/>
      <c r="N633" s="1965"/>
      <c r="O633" s="1891"/>
      <c r="P633" s="1892"/>
      <c r="Q633" s="1893"/>
      <c r="R633" s="1891"/>
      <c r="S633" s="1892"/>
      <c r="T633" s="1893"/>
      <c r="U633" s="1968"/>
      <c r="V633" s="1969"/>
      <c r="W633" s="1970"/>
      <c r="X633" s="1828"/>
      <c r="Y633" s="1875"/>
      <c r="Z633" s="1875"/>
      <c r="AA633" s="1875"/>
      <c r="AB633" s="1876"/>
      <c r="AC633" s="2042"/>
      <c r="AD633" s="1697"/>
      <c r="AE633" s="1801"/>
      <c r="AF633" s="1775"/>
      <c r="AG633" s="1776"/>
      <c r="AH633" s="1776"/>
      <c r="AI633" s="1776"/>
      <c r="AJ633" s="1777"/>
      <c r="AK633" s="1802"/>
      <c r="AL633" s="1803"/>
      <c r="AM633" s="1803"/>
      <c r="AN633" s="1804"/>
      <c r="AO633" s="1758"/>
      <c r="AP633" s="1758"/>
      <c r="AQ633" s="1758"/>
      <c r="AR633" s="1758"/>
      <c r="AS633" s="1758"/>
      <c r="AU633" s="75"/>
      <c r="AV633" s="75"/>
      <c r="AW633" s="75"/>
      <c r="AX633" s="75"/>
      <c r="AY633" s="75"/>
      <c r="BA633" s="72" t="s">
        <v>865</v>
      </c>
      <c r="BC633" s="75"/>
      <c r="BD633" s="75"/>
      <c r="BN633" s="1788">
        <f>IF(J755="SRO/Studio",O755,0)</f>
        <v>0</v>
      </c>
      <c r="BO633" s="1789"/>
      <c r="BP633" s="1789"/>
      <c r="BQ633" s="1789"/>
      <c r="BR633" s="1791"/>
      <c r="BS633" s="1788">
        <f>IF(J755="1 Bedroom",O755,0)</f>
        <v>0</v>
      </c>
      <c r="BT633" s="1789"/>
      <c r="BU633" s="1789"/>
      <c r="BV633" s="1789"/>
      <c r="BW633" s="1791"/>
      <c r="BX633" s="1788">
        <f>IF(J755="2 Bedrooms",O755,0)</f>
        <v>0</v>
      </c>
      <c r="BY633" s="1789"/>
      <c r="BZ633" s="1789"/>
      <c r="CA633" s="1789"/>
      <c r="CB633" s="1791"/>
      <c r="CC633" s="1788">
        <f>IF(J755="3 Bedrooms",O755,0)</f>
        <v>0</v>
      </c>
      <c r="CD633" s="1789"/>
      <c r="CE633" s="1789"/>
      <c r="CF633" s="1789"/>
      <c r="CG633" s="1791"/>
      <c r="CH633" s="1788">
        <f>IF(J755="4 Bedrooms",O755,0)</f>
        <v>0</v>
      </c>
      <c r="CI633" s="1789"/>
      <c r="CJ633" s="1789"/>
      <c r="CK633" s="1789"/>
      <c r="CL633" s="1791"/>
      <c r="CM633" s="2146">
        <f>IF(J755="5 Bedrooms",O755,0)</f>
        <v>0</v>
      </c>
      <c r="CN633" s="2147"/>
      <c r="CO633" s="2147"/>
      <c r="CP633" s="2147"/>
      <c r="CQ633" s="1790"/>
      <c r="CR633" s="72"/>
      <c r="CS633" s="72"/>
    </row>
    <row r="634" spans="1:126" ht="13.2">
      <c r="B634" s="98" t="s">
        <v>1011</v>
      </c>
      <c r="C634" s="1701" t="s">
        <v>2546</v>
      </c>
      <c r="D634" s="1701"/>
      <c r="E634" s="1701"/>
      <c r="F634" s="1701"/>
      <c r="G634" s="1701"/>
      <c r="H634" s="1701"/>
      <c r="I634" s="1701"/>
      <c r="J634" s="1701"/>
      <c r="K634" s="1701"/>
      <c r="L634" s="1701"/>
      <c r="M634" s="1701"/>
      <c r="N634" s="1965"/>
      <c r="O634" s="1891">
        <f t="shared" ref="O634:O641" si="21">55*12</f>
        <v>660</v>
      </c>
      <c r="P634" s="1892"/>
      <c r="Q634" s="1893"/>
      <c r="R634" s="1891">
        <f t="shared" ref="R634:R641" si="22">55*12</f>
        <v>660</v>
      </c>
      <c r="S634" s="1892"/>
      <c r="T634" s="1893"/>
      <c r="U634" s="1968">
        <v>0.03</v>
      </c>
      <c r="V634" s="1969"/>
      <c r="W634" s="1970"/>
      <c r="X634" s="1828" t="s">
        <v>864</v>
      </c>
      <c r="Y634" s="1875"/>
      <c r="Z634" s="1875"/>
      <c r="AA634" s="1875"/>
      <c r="AB634" s="1876"/>
      <c r="AC634" s="1800">
        <v>1</v>
      </c>
      <c r="AD634" s="1697"/>
      <c r="AE634" s="1801"/>
      <c r="AF634" s="1775">
        <f>0.42%*AO634</f>
        <v>23743.238399999998</v>
      </c>
      <c r="AG634" s="1776"/>
      <c r="AH634" s="1776"/>
      <c r="AI634" s="1776"/>
      <c r="AJ634" s="1777"/>
      <c r="AK634" s="1802"/>
      <c r="AL634" s="1803"/>
      <c r="AM634" s="1803"/>
      <c r="AN634" s="1804"/>
      <c r="AO634" s="1758">
        <v>5653152</v>
      </c>
      <c r="AP634" s="1758"/>
      <c r="AQ634" s="1758"/>
      <c r="AR634" s="1758"/>
      <c r="AS634" s="1758"/>
      <c r="AU634" s="75"/>
      <c r="AV634" s="75"/>
      <c r="AW634" s="75"/>
      <c r="AX634" s="75"/>
      <c r="AY634" s="75"/>
      <c r="AZ634" s="75"/>
      <c r="BA634" s="72" t="s">
        <v>864</v>
      </c>
      <c r="BB634" s="75"/>
      <c r="BC634" s="75"/>
      <c r="BD634" s="75"/>
      <c r="BN634" s="2149">
        <f>SUM(BN630:BR633)</f>
        <v>0</v>
      </c>
      <c r="BO634" s="2150"/>
      <c r="BP634" s="2150"/>
      <c r="BQ634" s="2150"/>
      <c r="BR634" s="2151"/>
      <c r="BS634" s="2149">
        <f>SUM(BS630:BW633)</f>
        <v>1</v>
      </c>
      <c r="BT634" s="2150"/>
      <c r="BU634" s="2150"/>
      <c r="BV634" s="2150"/>
      <c r="BW634" s="2151"/>
      <c r="BX634" s="2149">
        <f>SUM(BX630:CB633)</f>
        <v>0</v>
      </c>
      <c r="BY634" s="2150"/>
      <c r="BZ634" s="2150"/>
      <c r="CA634" s="2150"/>
      <c r="CB634" s="2151"/>
      <c r="CC634" s="2149">
        <f>SUM(CC630:CG633)</f>
        <v>1</v>
      </c>
      <c r="CD634" s="2150"/>
      <c r="CE634" s="2150"/>
      <c r="CF634" s="2150"/>
      <c r="CG634" s="2151"/>
      <c r="CH634" s="2149">
        <f>SUM(CH630:CL633)</f>
        <v>0</v>
      </c>
      <c r="CI634" s="2150"/>
      <c r="CJ634" s="2150"/>
      <c r="CK634" s="2150"/>
      <c r="CL634" s="2151"/>
      <c r="CM634" s="2149">
        <f>SUM(CM630:CQ633)</f>
        <v>0</v>
      </c>
      <c r="CN634" s="2150"/>
      <c r="CO634" s="2150"/>
      <c r="CP634" s="2150"/>
      <c r="CQ634" s="2151"/>
      <c r="CS634" s="735">
        <f>BN634+BS634+BX634+CC634+CH634+CM634</f>
        <v>2</v>
      </c>
      <c r="CT634" s="142" t="s">
        <v>2271</v>
      </c>
      <c r="CU634" s="72"/>
    </row>
    <row r="635" spans="1:126" ht="13.2">
      <c r="B635" s="98" t="s">
        <v>480</v>
      </c>
      <c r="C635" s="1701" t="s">
        <v>2568</v>
      </c>
      <c r="D635" s="1701"/>
      <c r="E635" s="1701"/>
      <c r="F635" s="1701"/>
      <c r="G635" s="1701"/>
      <c r="H635" s="1701"/>
      <c r="I635" s="1701"/>
      <c r="J635" s="1701"/>
      <c r="K635" s="1701"/>
      <c r="L635" s="1701"/>
      <c r="M635" s="1701"/>
      <c r="N635" s="1965"/>
      <c r="O635" s="1891">
        <f t="shared" si="21"/>
        <v>660</v>
      </c>
      <c r="P635" s="1892"/>
      <c r="Q635" s="1893"/>
      <c r="R635" s="1891">
        <f t="shared" si="22"/>
        <v>660</v>
      </c>
      <c r="S635" s="1892"/>
      <c r="T635" s="1893"/>
      <c r="U635" s="2052" t="s">
        <v>2562</v>
      </c>
      <c r="V635" s="1969"/>
      <c r="W635" s="1970"/>
      <c r="X635" s="1828" t="s">
        <v>865</v>
      </c>
      <c r="Y635" s="1875"/>
      <c r="Z635" s="1875"/>
      <c r="AA635" s="1875"/>
      <c r="AB635" s="1876"/>
      <c r="AC635" s="1800">
        <v>2</v>
      </c>
      <c r="AD635" s="1697"/>
      <c r="AE635" s="1801"/>
      <c r="AF635" s="1775">
        <v>0</v>
      </c>
      <c r="AG635" s="1776"/>
      <c r="AH635" s="1776"/>
      <c r="AI635" s="1776"/>
      <c r="AJ635" s="1777"/>
      <c r="AK635" s="1802"/>
      <c r="AL635" s="1803"/>
      <c r="AM635" s="1803"/>
      <c r="AN635" s="1804"/>
      <c r="AO635" s="1758">
        <v>2664774</v>
      </c>
      <c r="AP635" s="1758"/>
      <c r="AQ635" s="1758"/>
      <c r="AR635" s="1758"/>
      <c r="AS635" s="1758"/>
      <c r="AT635" s="75"/>
      <c r="AU635" s="75"/>
      <c r="AV635" s="75"/>
      <c r="AW635" s="75"/>
      <c r="AX635" s="75"/>
      <c r="AY635" s="75"/>
      <c r="AZ635" s="75"/>
      <c r="BA635" s="72" t="s">
        <v>2287</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701" t="s">
        <v>2485</v>
      </c>
      <c r="D636" s="1701"/>
      <c r="E636" s="1701"/>
      <c r="F636" s="1701"/>
      <c r="G636" s="1701"/>
      <c r="H636" s="1701"/>
      <c r="I636" s="1701"/>
      <c r="J636" s="1701"/>
      <c r="K636" s="1701"/>
      <c r="L636" s="1701"/>
      <c r="M636" s="1701"/>
      <c r="N636" s="1965"/>
      <c r="O636" s="1891">
        <f t="shared" si="21"/>
        <v>660</v>
      </c>
      <c r="P636" s="1892"/>
      <c r="Q636" s="1893"/>
      <c r="R636" s="1891">
        <f t="shared" si="22"/>
        <v>660</v>
      </c>
      <c r="S636" s="1892"/>
      <c r="T636" s="1893"/>
      <c r="U636" s="1968">
        <v>0.03</v>
      </c>
      <c r="V636" s="1969"/>
      <c r="W636" s="1970"/>
      <c r="X636" s="1828" t="s">
        <v>864</v>
      </c>
      <c r="Y636" s="1875"/>
      <c r="Z636" s="1875"/>
      <c r="AA636" s="1875"/>
      <c r="AB636" s="1876"/>
      <c r="AC636" s="1800">
        <v>3</v>
      </c>
      <c r="AD636" s="1697"/>
      <c r="AE636" s="1801"/>
      <c r="AF636" s="1775">
        <v>0</v>
      </c>
      <c r="AG636" s="1776"/>
      <c r="AH636" s="1776"/>
      <c r="AI636" s="1776"/>
      <c r="AJ636" s="1777"/>
      <c r="AK636" s="1802"/>
      <c r="AL636" s="1803"/>
      <c r="AM636" s="1803"/>
      <c r="AN636" s="1804"/>
      <c r="AO636" s="1758">
        <v>2200000</v>
      </c>
      <c r="AP636" s="1758"/>
      <c r="AQ636" s="1758"/>
      <c r="AR636" s="1758"/>
      <c r="AS636" s="1758"/>
      <c r="AT636" s="75"/>
      <c r="AU636" s="75"/>
      <c r="AV636" s="75"/>
      <c r="AW636" s="75"/>
      <c r="AX636" s="75"/>
      <c r="AY636" s="75"/>
      <c r="AZ636" s="75"/>
      <c r="BA636" s="72" t="s">
        <v>548</v>
      </c>
      <c r="BN636" s="1788">
        <f t="shared" ref="BN636:BN645" si="23">IF(J766="SRO/Studio",O766,0)</f>
        <v>0</v>
      </c>
      <c r="BO636" s="1789"/>
      <c r="BP636" s="1789"/>
      <c r="BQ636" s="1789"/>
      <c r="BR636" s="1791"/>
      <c r="BS636" s="1788">
        <f t="shared" ref="BS636:BS645" si="24">IF(J766="1 Bedroom",O766,0)</f>
        <v>0</v>
      </c>
      <c r="BT636" s="1789"/>
      <c r="BU636" s="1789"/>
      <c r="BV636" s="1789"/>
      <c r="BW636" s="1791"/>
      <c r="BX636" s="1788">
        <f t="shared" ref="BX636:BX645" si="25">IF(J766="2 Bedrooms",O766,0)</f>
        <v>0</v>
      </c>
      <c r="BY636" s="1789"/>
      <c r="BZ636" s="1789"/>
      <c r="CA636" s="1789"/>
      <c r="CB636" s="1791"/>
      <c r="CC636" s="1788">
        <f t="shared" ref="CC636:CC645" si="26">IF(J766="3 Bedrooms",O766,0)</f>
        <v>0</v>
      </c>
      <c r="CD636" s="1789"/>
      <c r="CE636" s="1789"/>
      <c r="CF636" s="1789"/>
      <c r="CG636" s="1791"/>
      <c r="CH636" s="1788">
        <f t="shared" ref="CH636:CH645" si="27">IF(J766="4 Bedrooms",O766,0)</f>
        <v>0</v>
      </c>
      <c r="CI636" s="1789"/>
      <c r="CJ636" s="1789"/>
      <c r="CK636" s="1789"/>
      <c r="CL636" s="1791"/>
      <c r="CM636" s="1788">
        <f t="shared" ref="CM636:CM645" si="28">IF(J766="5 Bedrooms",O766,0)</f>
        <v>0</v>
      </c>
      <c r="CN636" s="1789"/>
      <c r="CO636" s="1789"/>
      <c r="CP636" s="1789"/>
      <c r="CQ636" s="1791"/>
      <c r="CR636" s="72"/>
      <c r="CS636" s="72"/>
    </row>
    <row r="637" spans="1:126" ht="13.2">
      <c r="B637" s="98" t="s">
        <v>483</v>
      </c>
      <c r="C637" s="1701" t="s">
        <v>2486</v>
      </c>
      <c r="D637" s="1701"/>
      <c r="E637" s="1701"/>
      <c r="F637" s="1701"/>
      <c r="G637" s="1701"/>
      <c r="H637" s="1701"/>
      <c r="I637" s="1701"/>
      <c r="J637" s="1701"/>
      <c r="K637" s="1701"/>
      <c r="L637" s="1701"/>
      <c r="M637" s="1701"/>
      <c r="N637" s="1965"/>
      <c r="O637" s="1891">
        <f t="shared" si="21"/>
        <v>660</v>
      </c>
      <c r="P637" s="1892"/>
      <c r="Q637" s="1893"/>
      <c r="R637" s="1891">
        <f t="shared" si="22"/>
        <v>660</v>
      </c>
      <c r="S637" s="1892"/>
      <c r="T637" s="1893"/>
      <c r="U637" s="1968">
        <v>0.03</v>
      </c>
      <c r="V637" s="1969"/>
      <c r="W637" s="1970"/>
      <c r="X637" s="1828" t="s">
        <v>864</v>
      </c>
      <c r="Y637" s="1875"/>
      <c r="Z637" s="1875"/>
      <c r="AA637" s="1875"/>
      <c r="AB637" s="1876"/>
      <c r="AC637" s="1800">
        <v>4</v>
      </c>
      <c r="AD637" s="1697"/>
      <c r="AE637" s="1801"/>
      <c r="AF637" s="1775">
        <v>0</v>
      </c>
      <c r="AG637" s="1776"/>
      <c r="AH637" s="1776"/>
      <c r="AI637" s="1776"/>
      <c r="AJ637" s="1777"/>
      <c r="AK637" s="1802"/>
      <c r="AL637" s="1803"/>
      <c r="AM637" s="1803"/>
      <c r="AN637" s="1804"/>
      <c r="AO637" s="1758">
        <v>1317985</v>
      </c>
      <c r="AP637" s="1758"/>
      <c r="AQ637" s="1758"/>
      <c r="AR637" s="1758"/>
      <c r="AS637" s="1758"/>
      <c r="AT637" s="75"/>
      <c r="AU637" s="75"/>
      <c r="AV637" s="75"/>
      <c r="AW637" s="75"/>
      <c r="AX637" s="75"/>
      <c r="AY637" s="75"/>
      <c r="AZ637" s="75"/>
      <c r="BN637" s="1788">
        <f t="shared" si="23"/>
        <v>0</v>
      </c>
      <c r="BO637" s="1789"/>
      <c r="BP637" s="1789"/>
      <c r="BQ637" s="1789"/>
      <c r="BR637" s="1791"/>
      <c r="BS637" s="1788">
        <f t="shared" si="24"/>
        <v>0</v>
      </c>
      <c r="BT637" s="1789"/>
      <c r="BU637" s="1789"/>
      <c r="BV637" s="1789"/>
      <c r="BW637" s="1791"/>
      <c r="BX637" s="1788">
        <f t="shared" si="25"/>
        <v>0</v>
      </c>
      <c r="BY637" s="1789"/>
      <c r="BZ637" s="1789"/>
      <c r="CA637" s="1789"/>
      <c r="CB637" s="1791"/>
      <c r="CC637" s="1788">
        <f t="shared" si="26"/>
        <v>0</v>
      </c>
      <c r="CD637" s="1789"/>
      <c r="CE637" s="1789"/>
      <c r="CF637" s="1789"/>
      <c r="CG637" s="1791"/>
      <c r="CH637" s="1788">
        <f t="shared" si="27"/>
        <v>0</v>
      </c>
      <c r="CI637" s="1789"/>
      <c r="CJ637" s="1789"/>
      <c r="CK637" s="1789"/>
      <c r="CL637" s="1791"/>
      <c r="CM637" s="1788">
        <f t="shared" si="28"/>
        <v>0</v>
      </c>
      <c r="CN637" s="1789"/>
      <c r="CO637" s="1789"/>
      <c r="CP637" s="1789"/>
      <c r="CQ637" s="1791"/>
      <c r="CR637" s="72"/>
      <c r="CS637" s="72"/>
    </row>
    <row r="638" spans="1:126" ht="13.2">
      <c r="B638" s="98" t="s">
        <v>810</v>
      </c>
      <c r="C638" s="1701" t="s">
        <v>2487</v>
      </c>
      <c r="D638" s="1701"/>
      <c r="E638" s="1701"/>
      <c r="F638" s="1701"/>
      <c r="G638" s="1701"/>
      <c r="H638" s="1701"/>
      <c r="I638" s="1701"/>
      <c r="J638" s="1701"/>
      <c r="K638" s="1701"/>
      <c r="L638" s="1701"/>
      <c r="M638" s="1701"/>
      <c r="N638" s="1965"/>
      <c r="O638" s="1891">
        <f t="shared" si="21"/>
        <v>660</v>
      </c>
      <c r="P638" s="1892"/>
      <c r="Q638" s="1893"/>
      <c r="R638" s="1891">
        <f t="shared" si="22"/>
        <v>660</v>
      </c>
      <c r="S638" s="1892"/>
      <c r="T638" s="1893"/>
      <c r="U638" s="1968">
        <v>0.03</v>
      </c>
      <c r="V638" s="1969"/>
      <c r="W638" s="1970"/>
      <c r="X638" s="1828" t="s">
        <v>864</v>
      </c>
      <c r="Y638" s="1875"/>
      <c r="Z638" s="1875"/>
      <c r="AA638" s="1875"/>
      <c r="AB638" s="1876"/>
      <c r="AC638" s="1800">
        <v>5</v>
      </c>
      <c r="AD638" s="1697"/>
      <c r="AE638" s="1801"/>
      <c r="AF638" s="1775">
        <v>0</v>
      </c>
      <c r="AG638" s="1776"/>
      <c r="AH638" s="1776"/>
      <c r="AI638" s="1776"/>
      <c r="AJ638" s="1777"/>
      <c r="AK638" s="1802"/>
      <c r="AL638" s="1803"/>
      <c r="AM638" s="1803"/>
      <c r="AN638" s="1804"/>
      <c r="AO638" s="1758">
        <v>1000000</v>
      </c>
      <c r="AP638" s="1758"/>
      <c r="AQ638" s="1758"/>
      <c r="AR638" s="1758"/>
      <c r="AS638" s="1758"/>
      <c r="AT638" s="75"/>
      <c r="AU638" s="75"/>
      <c r="AV638" s="75"/>
      <c r="AW638" s="75"/>
      <c r="AX638" s="75"/>
      <c r="AY638" s="75"/>
      <c r="AZ638" s="75"/>
      <c r="BN638" s="1788">
        <f t="shared" si="23"/>
        <v>0</v>
      </c>
      <c r="BO638" s="1789"/>
      <c r="BP638" s="1789"/>
      <c r="BQ638" s="1789"/>
      <c r="BR638" s="1791"/>
      <c r="BS638" s="1788">
        <f t="shared" si="24"/>
        <v>0</v>
      </c>
      <c r="BT638" s="1789"/>
      <c r="BU638" s="1789"/>
      <c r="BV638" s="1789"/>
      <c r="BW638" s="1791"/>
      <c r="BX638" s="1788">
        <f t="shared" si="25"/>
        <v>0</v>
      </c>
      <c r="BY638" s="1789"/>
      <c r="BZ638" s="1789"/>
      <c r="CA638" s="1789"/>
      <c r="CB638" s="1791"/>
      <c r="CC638" s="1788">
        <f t="shared" si="26"/>
        <v>0</v>
      </c>
      <c r="CD638" s="1789"/>
      <c r="CE638" s="1789"/>
      <c r="CF638" s="1789"/>
      <c r="CG638" s="1791"/>
      <c r="CH638" s="1788">
        <f t="shared" si="27"/>
        <v>0</v>
      </c>
      <c r="CI638" s="1789"/>
      <c r="CJ638" s="1789"/>
      <c r="CK638" s="1789"/>
      <c r="CL638" s="1791"/>
      <c r="CM638" s="1788">
        <f t="shared" si="28"/>
        <v>0</v>
      </c>
      <c r="CN638" s="1789"/>
      <c r="CO638" s="1789"/>
      <c r="CP638" s="1789"/>
      <c r="CQ638" s="1791"/>
      <c r="CR638" s="72"/>
      <c r="CS638" s="72"/>
    </row>
    <row r="639" spans="1:126" ht="13.2">
      <c r="B639" s="98" t="s">
        <v>811</v>
      </c>
      <c r="C639" s="1701" t="s">
        <v>2489</v>
      </c>
      <c r="D639" s="1701"/>
      <c r="E639" s="1701"/>
      <c r="F639" s="1701"/>
      <c r="G639" s="1701"/>
      <c r="H639" s="1701"/>
      <c r="I639" s="1701"/>
      <c r="J639" s="1701"/>
      <c r="K639" s="1701"/>
      <c r="L639" s="1701"/>
      <c r="M639" s="1701"/>
      <c r="N639" s="1965"/>
      <c r="O639" s="1891">
        <f t="shared" si="21"/>
        <v>660</v>
      </c>
      <c r="P639" s="1892"/>
      <c r="Q639" s="1893"/>
      <c r="R639" s="1891">
        <f t="shared" si="22"/>
        <v>660</v>
      </c>
      <c r="S639" s="1892"/>
      <c r="T639" s="1893"/>
      <c r="U639" s="1968">
        <v>0.03</v>
      </c>
      <c r="V639" s="1969"/>
      <c r="W639" s="1970"/>
      <c r="X639" s="1828" t="s">
        <v>864</v>
      </c>
      <c r="Y639" s="1875"/>
      <c r="Z639" s="1875"/>
      <c r="AA639" s="1875"/>
      <c r="AB639" s="1876"/>
      <c r="AC639" s="1800">
        <v>6</v>
      </c>
      <c r="AD639" s="1697"/>
      <c r="AE639" s="1801"/>
      <c r="AF639" s="1775">
        <v>0</v>
      </c>
      <c r="AG639" s="1776"/>
      <c r="AH639" s="1776"/>
      <c r="AI639" s="1776"/>
      <c r="AJ639" s="1777"/>
      <c r="AK639" s="1802"/>
      <c r="AL639" s="1803"/>
      <c r="AM639" s="1803"/>
      <c r="AN639" s="1804"/>
      <c r="AO639" s="1758">
        <v>500000</v>
      </c>
      <c r="AP639" s="1758"/>
      <c r="AQ639" s="1758"/>
      <c r="AR639" s="1758"/>
      <c r="AS639" s="1758"/>
      <c r="AT639" s="75"/>
      <c r="AU639" s="75"/>
      <c r="AV639" s="75"/>
      <c r="AW639" s="75"/>
      <c r="AX639" s="75"/>
      <c r="AY639" s="75"/>
      <c r="AZ639" s="75"/>
      <c r="BN639" s="1788">
        <f t="shared" si="23"/>
        <v>0</v>
      </c>
      <c r="BO639" s="1789"/>
      <c r="BP639" s="1789"/>
      <c r="BQ639" s="1789"/>
      <c r="BR639" s="1791"/>
      <c r="BS639" s="1788">
        <f t="shared" si="24"/>
        <v>0</v>
      </c>
      <c r="BT639" s="1789"/>
      <c r="BU639" s="1789"/>
      <c r="BV639" s="1789"/>
      <c r="BW639" s="1791"/>
      <c r="BX639" s="1788">
        <f t="shared" si="25"/>
        <v>0</v>
      </c>
      <c r="BY639" s="1789"/>
      <c r="BZ639" s="1789"/>
      <c r="CA639" s="1789"/>
      <c r="CB639" s="1791"/>
      <c r="CC639" s="1788">
        <f t="shared" si="26"/>
        <v>0</v>
      </c>
      <c r="CD639" s="1789"/>
      <c r="CE639" s="1789"/>
      <c r="CF639" s="1789"/>
      <c r="CG639" s="1791"/>
      <c r="CH639" s="1788">
        <f t="shared" si="27"/>
        <v>0</v>
      </c>
      <c r="CI639" s="1789"/>
      <c r="CJ639" s="1789"/>
      <c r="CK639" s="1789"/>
      <c r="CL639" s="1791"/>
      <c r="CM639" s="1788">
        <f t="shared" si="28"/>
        <v>0</v>
      </c>
      <c r="CN639" s="1789"/>
      <c r="CO639" s="1789"/>
      <c r="CP639" s="1789"/>
      <c r="CQ639" s="1791"/>
      <c r="CR639" s="72"/>
      <c r="CS639" s="72"/>
    </row>
    <row r="640" spans="1:126" ht="13.2">
      <c r="B640" s="98" t="s">
        <v>606</v>
      </c>
      <c r="C640" s="1701" t="s">
        <v>2488</v>
      </c>
      <c r="D640" s="1701"/>
      <c r="E640" s="1701"/>
      <c r="F640" s="1701"/>
      <c r="G640" s="1701"/>
      <c r="H640" s="1701"/>
      <c r="I640" s="1701"/>
      <c r="J640" s="1701"/>
      <c r="K640" s="1701"/>
      <c r="L640" s="1701"/>
      <c r="M640" s="1701"/>
      <c r="N640" s="1965"/>
      <c r="O640" s="1891">
        <f t="shared" si="21"/>
        <v>660</v>
      </c>
      <c r="P640" s="1892"/>
      <c r="Q640" s="1893"/>
      <c r="R640" s="1891">
        <f t="shared" si="22"/>
        <v>660</v>
      </c>
      <c r="S640" s="1892"/>
      <c r="T640" s="1893"/>
      <c r="U640" s="2052" t="s">
        <v>2562</v>
      </c>
      <c r="V640" s="1969"/>
      <c r="W640" s="1970"/>
      <c r="X640" s="1828" t="s">
        <v>865</v>
      </c>
      <c r="Y640" s="1875"/>
      <c r="Z640" s="1875"/>
      <c r="AA640" s="1875"/>
      <c r="AB640" s="1876"/>
      <c r="AC640" s="1800">
        <v>8</v>
      </c>
      <c r="AD640" s="1697"/>
      <c r="AE640" s="1801"/>
      <c r="AF640" s="1775">
        <v>0</v>
      </c>
      <c r="AG640" s="1776"/>
      <c r="AH640" s="1776"/>
      <c r="AI640" s="1776"/>
      <c r="AJ640" s="1777"/>
      <c r="AK640" s="1802"/>
      <c r="AL640" s="1803"/>
      <c r="AM640" s="1803"/>
      <c r="AN640" s="1804"/>
      <c r="AO640" s="1758">
        <v>1000000</v>
      </c>
      <c r="AP640" s="1758"/>
      <c r="AQ640" s="1758"/>
      <c r="AR640" s="1758"/>
      <c r="AS640" s="1758"/>
      <c r="AT640" s="72"/>
      <c r="AU640" s="72"/>
      <c r="AV640" s="72"/>
      <c r="AW640" s="72"/>
      <c r="AX640" s="72"/>
      <c r="AY640" s="72"/>
      <c r="AZ640" s="72"/>
      <c r="BN640" s="1788">
        <f t="shared" si="23"/>
        <v>0</v>
      </c>
      <c r="BO640" s="1789"/>
      <c r="BP640" s="1789"/>
      <c r="BQ640" s="1789"/>
      <c r="BR640" s="1791"/>
      <c r="BS640" s="1788">
        <f t="shared" si="24"/>
        <v>0</v>
      </c>
      <c r="BT640" s="1789"/>
      <c r="BU640" s="1789"/>
      <c r="BV640" s="1789"/>
      <c r="BW640" s="1791"/>
      <c r="BX640" s="1788">
        <f t="shared" si="25"/>
        <v>0</v>
      </c>
      <c r="BY640" s="1789"/>
      <c r="BZ640" s="1789"/>
      <c r="CA640" s="1789"/>
      <c r="CB640" s="1791"/>
      <c r="CC640" s="1788">
        <f t="shared" si="26"/>
        <v>0</v>
      </c>
      <c r="CD640" s="1789"/>
      <c r="CE640" s="1789"/>
      <c r="CF640" s="1789"/>
      <c r="CG640" s="1791"/>
      <c r="CH640" s="1788">
        <f t="shared" si="27"/>
        <v>0</v>
      </c>
      <c r="CI640" s="1789"/>
      <c r="CJ640" s="1789"/>
      <c r="CK640" s="1789"/>
      <c r="CL640" s="1791"/>
      <c r="CM640" s="1788">
        <f t="shared" si="28"/>
        <v>0</v>
      </c>
      <c r="CN640" s="1789"/>
      <c r="CO640" s="1789"/>
      <c r="CP640" s="1789"/>
      <c r="CQ640" s="1791"/>
      <c r="CR640" s="72"/>
      <c r="CS640" s="72"/>
    </row>
    <row r="641" spans="1:97" ht="13.2">
      <c r="B641" s="98" t="s">
        <v>191</v>
      </c>
      <c r="C641" s="1701" t="s">
        <v>2569</v>
      </c>
      <c r="D641" s="1701"/>
      <c r="E641" s="1701"/>
      <c r="F641" s="1701"/>
      <c r="G641" s="1701"/>
      <c r="H641" s="1701"/>
      <c r="I641" s="1701"/>
      <c r="J641" s="1701"/>
      <c r="K641" s="1701"/>
      <c r="L641" s="1701"/>
      <c r="M641" s="1701"/>
      <c r="N641" s="1965"/>
      <c r="O641" s="1891">
        <f t="shared" si="21"/>
        <v>660</v>
      </c>
      <c r="P641" s="1892"/>
      <c r="Q641" s="1893"/>
      <c r="R641" s="1891">
        <f t="shared" si="22"/>
        <v>660</v>
      </c>
      <c r="S641" s="1892"/>
      <c r="T641" s="1893"/>
      <c r="U641" s="2052" t="s">
        <v>2562</v>
      </c>
      <c r="V641" s="1969"/>
      <c r="W641" s="1970"/>
      <c r="X641" s="1828" t="s">
        <v>865</v>
      </c>
      <c r="Y641" s="1875"/>
      <c r="Z641" s="1875"/>
      <c r="AA641" s="1875"/>
      <c r="AB641" s="1876"/>
      <c r="AC641" s="1800">
        <v>9</v>
      </c>
      <c r="AD641" s="1697"/>
      <c r="AE641" s="1801"/>
      <c r="AF641" s="1775">
        <v>0</v>
      </c>
      <c r="AG641" s="1776"/>
      <c r="AH641" s="1776"/>
      <c r="AI641" s="1776"/>
      <c r="AJ641" s="1777"/>
      <c r="AK641" s="1802"/>
      <c r="AL641" s="1803"/>
      <c r="AM641" s="1803"/>
      <c r="AN641" s="1804"/>
      <c r="AO641" s="1758">
        <v>75000</v>
      </c>
      <c r="AP641" s="1758"/>
      <c r="AQ641" s="1758"/>
      <c r="AR641" s="1758"/>
      <c r="AS641" s="1758"/>
      <c r="AT641" s="72"/>
      <c r="AU641" s="72"/>
      <c r="AV641" s="72"/>
      <c r="AW641" s="72"/>
      <c r="AX641" s="72"/>
      <c r="AY641" s="72"/>
      <c r="AZ641" s="72"/>
      <c r="BN641" s="1788">
        <f t="shared" si="23"/>
        <v>0</v>
      </c>
      <c r="BO641" s="1789"/>
      <c r="BP641" s="1789"/>
      <c r="BQ641" s="1789"/>
      <c r="BR641" s="1791"/>
      <c r="BS641" s="1788">
        <f t="shared" si="24"/>
        <v>0</v>
      </c>
      <c r="BT641" s="1789"/>
      <c r="BU641" s="1789"/>
      <c r="BV641" s="1789"/>
      <c r="BW641" s="1791"/>
      <c r="BX641" s="1788">
        <f t="shared" si="25"/>
        <v>0</v>
      </c>
      <c r="BY641" s="1789"/>
      <c r="BZ641" s="1789"/>
      <c r="CA641" s="1789"/>
      <c r="CB641" s="1791"/>
      <c r="CC641" s="1788">
        <f t="shared" si="26"/>
        <v>0</v>
      </c>
      <c r="CD641" s="1789"/>
      <c r="CE641" s="1789"/>
      <c r="CF641" s="1789"/>
      <c r="CG641" s="1791"/>
      <c r="CH641" s="1788">
        <f t="shared" si="27"/>
        <v>0</v>
      </c>
      <c r="CI641" s="1789"/>
      <c r="CJ641" s="1789"/>
      <c r="CK641" s="1789"/>
      <c r="CL641" s="1791"/>
      <c r="CM641" s="1788">
        <f t="shared" si="28"/>
        <v>0</v>
      </c>
      <c r="CN641" s="1789"/>
      <c r="CO641" s="1789"/>
      <c r="CP641" s="1789"/>
      <c r="CQ641" s="1791"/>
      <c r="CR641" s="72"/>
      <c r="CS641" s="72"/>
    </row>
    <row r="642" spans="1:97" ht="13.2">
      <c r="B642" s="98" t="s">
        <v>37</v>
      </c>
      <c r="C642" s="1701" t="s">
        <v>2490</v>
      </c>
      <c r="D642" s="1701"/>
      <c r="E642" s="1701"/>
      <c r="F642" s="1701"/>
      <c r="G642" s="1701"/>
      <c r="H642" s="1701"/>
      <c r="I642" s="1701"/>
      <c r="J642" s="1701"/>
      <c r="K642" s="1701"/>
      <c r="L642" s="1701"/>
      <c r="M642" s="1701"/>
      <c r="N642" s="1965"/>
      <c r="O642" s="1891"/>
      <c r="P642" s="1892"/>
      <c r="Q642" s="1893"/>
      <c r="R642" s="1966"/>
      <c r="S642" s="1849"/>
      <c r="T642" s="1967"/>
      <c r="U642" s="1968"/>
      <c r="V642" s="1969"/>
      <c r="W642" s="1970"/>
      <c r="X642" s="1828" t="s">
        <v>2267</v>
      </c>
      <c r="Y642" s="1875"/>
      <c r="Z642" s="1875"/>
      <c r="AA642" s="1875"/>
      <c r="AB642" s="1876"/>
      <c r="AC642" s="1800"/>
      <c r="AD642" s="1697"/>
      <c r="AE642" s="1801"/>
      <c r="AF642" s="1775"/>
      <c r="AG642" s="1776"/>
      <c r="AH642" s="1776"/>
      <c r="AI642" s="1776"/>
      <c r="AJ642" s="1777"/>
      <c r="AK642" s="1802"/>
      <c r="AL642" s="1803"/>
      <c r="AM642" s="1803"/>
      <c r="AN642" s="1804"/>
      <c r="AO642" s="1758">
        <v>1000000</v>
      </c>
      <c r="AP642" s="1758"/>
      <c r="AQ642" s="1758"/>
      <c r="AR642" s="1758"/>
      <c r="AS642" s="1758"/>
      <c r="AT642" s="72"/>
      <c r="AU642" s="72"/>
      <c r="AV642" s="72"/>
      <c r="AW642" s="72"/>
      <c r="AX642" s="72"/>
      <c r="AY642" s="72"/>
      <c r="AZ642" s="72"/>
      <c r="BN642" s="1788">
        <f t="shared" si="23"/>
        <v>0</v>
      </c>
      <c r="BO642" s="1789"/>
      <c r="BP642" s="1789"/>
      <c r="BQ642" s="1789"/>
      <c r="BR642" s="1791"/>
      <c r="BS642" s="1788">
        <f t="shared" si="24"/>
        <v>0</v>
      </c>
      <c r="BT642" s="1789"/>
      <c r="BU642" s="1789"/>
      <c r="BV642" s="1789"/>
      <c r="BW642" s="1791"/>
      <c r="BX642" s="1788">
        <f t="shared" si="25"/>
        <v>0</v>
      </c>
      <c r="BY642" s="1789"/>
      <c r="BZ642" s="1789"/>
      <c r="CA642" s="1789"/>
      <c r="CB642" s="1791"/>
      <c r="CC642" s="1788">
        <f t="shared" si="26"/>
        <v>0</v>
      </c>
      <c r="CD642" s="1789"/>
      <c r="CE642" s="1789"/>
      <c r="CF642" s="1789"/>
      <c r="CG642" s="1791"/>
      <c r="CH642" s="1788">
        <f t="shared" si="27"/>
        <v>0</v>
      </c>
      <c r="CI642" s="1789"/>
      <c r="CJ642" s="1789"/>
      <c r="CK642" s="1789"/>
      <c r="CL642" s="1791"/>
      <c r="CM642" s="1788">
        <f t="shared" si="28"/>
        <v>0</v>
      </c>
      <c r="CN642" s="1789"/>
      <c r="CO642" s="1789"/>
      <c r="CP642" s="1789"/>
      <c r="CQ642" s="1791"/>
      <c r="CR642" s="72"/>
      <c r="CS642" s="72"/>
    </row>
    <row r="643" spans="1:97" ht="12.75" customHeight="1">
      <c r="B643" s="98" t="s">
        <v>38</v>
      </c>
      <c r="C643" s="1701" t="s">
        <v>2547</v>
      </c>
      <c r="D643" s="1701"/>
      <c r="E643" s="1701"/>
      <c r="F643" s="1701"/>
      <c r="G643" s="1701"/>
      <c r="H643" s="1701"/>
      <c r="I643" s="1701"/>
      <c r="J643" s="1701"/>
      <c r="K643" s="1701"/>
      <c r="L643" s="1701"/>
      <c r="M643" s="1701"/>
      <c r="N643" s="1965"/>
      <c r="O643" s="1891"/>
      <c r="P643" s="1892"/>
      <c r="Q643" s="1893"/>
      <c r="R643" s="1966"/>
      <c r="S643" s="1849"/>
      <c r="T643" s="1967"/>
      <c r="U643" s="1968"/>
      <c r="V643" s="1969"/>
      <c r="W643" s="1970"/>
      <c r="X643" s="1828" t="s">
        <v>2267</v>
      </c>
      <c r="Y643" s="1875"/>
      <c r="Z643" s="1875"/>
      <c r="AA643" s="1875"/>
      <c r="AB643" s="1876"/>
      <c r="AC643" s="1800"/>
      <c r="AD643" s="1697"/>
      <c r="AE643" s="1801"/>
      <c r="AF643" s="1775"/>
      <c r="AG643" s="1776"/>
      <c r="AH643" s="1776"/>
      <c r="AI643" s="1776"/>
      <c r="AJ643" s="1777"/>
      <c r="AK643" s="1802"/>
      <c r="AL643" s="1803"/>
      <c r="AM643" s="1803"/>
      <c r="AN643" s="1804"/>
      <c r="AO643" s="1758">
        <v>1768652</v>
      </c>
      <c r="AP643" s="1758"/>
      <c r="AQ643" s="1758"/>
      <c r="AR643" s="1758"/>
      <c r="AS643" s="1758"/>
      <c r="AT643" s="75"/>
      <c r="AU643" s="75"/>
      <c r="AV643" s="75"/>
      <c r="AW643" s="75"/>
      <c r="AX643" s="75"/>
      <c r="AY643" s="75"/>
      <c r="AZ643" s="75"/>
      <c r="BN643" s="1788">
        <f t="shared" si="23"/>
        <v>0</v>
      </c>
      <c r="BO643" s="1789"/>
      <c r="BP643" s="1789"/>
      <c r="BQ643" s="1789"/>
      <c r="BR643" s="1791"/>
      <c r="BS643" s="1788">
        <f t="shared" si="24"/>
        <v>0</v>
      </c>
      <c r="BT643" s="1789"/>
      <c r="BU643" s="1789"/>
      <c r="BV643" s="1789"/>
      <c r="BW643" s="1791"/>
      <c r="BX643" s="1788">
        <f t="shared" si="25"/>
        <v>0</v>
      </c>
      <c r="BY643" s="1789"/>
      <c r="BZ643" s="1789"/>
      <c r="CA643" s="1789"/>
      <c r="CB643" s="1791"/>
      <c r="CC643" s="1788">
        <f t="shared" si="26"/>
        <v>0</v>
      </c>
      <c r="CD643" s="1789"/>
      <c r="CE643" s="1789"/>
      <c r="CF643" s="1789"/>
      <c r="CG643" s="1791"/>
      <c r="CH643" s="1788">
        <f t="shared" si="27"/>
        <v>0</v>
      </c>
      <c r="CI643" s="1789"/>
      <c r="CJ643" s="1789"/>
      <c r="CK643" s="1789"/>
      <c r="CL643" s="1791"/>
      <c r="CM643" s="1788">
        <f t="shared" si="28"/>
        <v>0</v>
      </c>
      <c r="CN643" s="1789"/>
      <c r="CO643" s="1789"/>
      <c r="CP643" s="1789"/>
      <c r="CQ643" s="1791"/>
      <c r="CR643" s="72"/>
      <c r="CS643" s="72"/>
    </row>
    <row r="644" spans="1:97" ht="12.75" customHeight="1">
      <c r="B644" s="1807" t="s">
        <v>402</v>
      </c>
      <c r="C644" s="1808"/>
      <c r="D644" s="1808"/>
      <c r="E644" s="1808"/>
      <c r="F644" s="1808"/>
      <c r="G644" s="1808"/>
      <c r="H644" s="1808"/>
      <c r="I644" s="1808"/>
      <c r="J644" s="1808"/>
      <c r="K644" s="1808"/>
      <c r="L644" s="1808"/>
      <c r="M644" s="1808"/>
      <c r="N644" s="1808"/>
      <c r="O644" s="1808"/>
      <c r="P644" s="1808"/>
      <c r="Q644" s="1808"/>
      <c r="R644" s="1808"/>
      <c r="S644" s="1808"/>
      <c r="T644" s="1808"/>
      <c r="U644" s="1808"/>
      <c r="V644" s="1808"/>
      <c r="W644" s="1808"/>
      <c r="X644" s="1808"/>
      <c r="Y644" s="1808"/>
      <c r="Z644" s="1808"/>
      <c r="AA644" s="1808"/>
      <c r="AB644" s="1808"/>
      <c r="AC644" s="1808"/>
      <c r="AD644" s="1808"/>
      <c r="AE644" s="1808"/>
      <c r="AF644" s="1808"/>
      <c r="AG644" s="1808"/>
      <c r="AH644" s="1808"/>
      <c r="AI644" s="1808"/>
      <c r="AJ644" s="1808"/>
      <c r="AK644" s="1808"/>
      <c r="AL644" s="1808"/>
      <c r="AM644" s="1808"/>
      <c r="AN644" s="1809"/>
      <c r="AO644" s="1718">
        <f>SUM(AO632:AS643)</f>
        <v>21441578</v>
      </c>
      <c r="AP644" s="1719"/>
      <c r="AQ644" s="1719"/>
      <c r="AR644" s="1719"/>
      <c r="AS644" s="1720"/>
      <c r="AT644" s="75"/>
      <c r="AU644" s="75"/>
      <c r="AV644" s="75"/>
      <c r="AW644" s="75"/>
      <c r="AX644" s="75"/>
      <c r="AY644" s="75"/>
      <c r="AZ644" s="75"/>
      <c r="BN644" s="1788">
        <f t="shared" si="23"/>
        <v>0</v>
      </c>
      <c r="BO644" s="1789"/>
      <c r="BP644" s="1789"/>
      <c r="BQ644" s="1789"/>
      <c r="BR644" s="1791"/>
      <c r="BS644" s="1788">
        <f t="shared" si="24"/>
        <v>0</v>
      </c>
      <c r="BT644" s="1789"/>
      <c r="BU644" s="1789"/>
      <c r="BV644" s="1789"/>
      <c r="BW644" s="1791"/>
      <c r="BX644" s="1788">
        <f t="shared" si="25"/>
        <v>0</v>
      </c>
      <c r="BY644" s="1789"/>
      <c r="BZ644" s="1789"/>
      <c r="CA644" s="1789"/>
      <c r="CB644" s="1791"/>
      <c r="CC644" s="1788">
        <f t="shared" si="26"/>
        <v>0</v>
      </c>
      <c r="CD644" s="1789"/>
      <c r="CE644" s="1789"/>
      <c r="CF644" s="1789"/>
      <c r="CG644" s="1791"/>
      <c r="CH644" s="1788">
        <f t="shared" si="27"/>
        <v>0</v>
      </c>
      <c r="CI644" s="1789"/>
      <c r="CJ644" s="1789"/>
      <c r="CK644" s="1789"/>
      <c r="CL644" s="1791"/>
      <c r="CM644" s="1788">
        <f t="shared" si="28"/>
        <v>0</v>
      </c>
      <c r="CN644" s="1789"/>
      <c r="CO644" s="1789"/>
      <c r="CP644" s="1789"/>
      <c r="CQ644" s="1791"/>
      <c r="CR644" s="72"/>
      <c r="CS644" s="72"/>
    </row>
    <row r="645" spans="1:97" ht="13.2">
      <c r="B645" s="1807" t="s">
        <v>403</v>
      </c>
      <c r="C645" s="1808"/>
      <c r="D645" s="1808"/>
      <c r="E645" s="1808"/>
      <c r="F645" s="1808"/>
      <c r="G645" s="1808"/>
      <c r="H645" s="1808"/>
      <c r="I645" s="1808"/>
      <c r="J645" s="1808"/>
      <c r="K645" s="1808"/>
      <c r="L645" s="1808"/>
      <c r="M645" s="1808"/>
      <c r="N645" s="1808"/>
      <c r="O645" s="1808"/>
      <c r="P645" s="1808"/>
      <c r="Q645" s="1808"/>
      <c r="R645" s="1808"/>
      <c r="S645" s="1808"/>
      <c r="T645" s="1808"/>
      <c r="U645" s="1808"/>
      <c r="V645" s="1808"/>
      <c r="W645" s="1808"/>
      <c r="X645" s="1808"/>
      <c r="Y645" s="1808"/>
      <c r="Z645" s="1808"/>
      <c r="AA645" s="1808"/>
      <c r="AB645" s="1808"/>
      <c r="AC645" s="1808"/>
      <c r="AD645" s="1808"/>
      <c r="AE645" s="1808"/>
      <c r="AF645" s="1808"/>
      <c r="AG645" s="1808"/>
      <c r="AH645" s="1808"/>
      <c r="AI645" s="1808"/>
      <c r="AJ645" s="1808"/>
      <c r="AK645" s="1808"/>
      <c r="AL645" s="1808"/>
      <c r="AM645" s="1808"/>
      <c r="AN645" s="1809"/>
      <c r="AO645" s="1711">
        <f>26817843-145000</f>
        <v>26672843</v>
      </c>
      <c r="AP645" s="1712"/>
      <c r="AQ645" s="1712"/>
      <c r="AR645" s="1712"/>
      <c r="AS645" s="1713"/>
      <c r="AT645" s="75"/>
      <c r="AU645" s="75"/>
      <c r="AV645" s="75"/>
      <c r="AW645" s="75"/>
      <c r="AX645" s="75"/>
      <c r="AY645" s="75"/>
      <c r="AZ645" s="75"/>
      <c r="BN645" s="1788">
        <f t="shared" si="23"/>
        <v>0</v>
      </c>
      <c r="BO645" s="1789"/>
      <c r="BP645" s="1789"/>
      <c r="BQ645" s="1789"/>
      <c r="BR645" s="1791"/>
      <c r="BS645" s="1788">
        <f t="shared" si="24"/>
        <v>0</v>
      </c>
      <c r="BT645" s="1789"/>
      <c r="BU645" s="1789"/>
      <c r="BV645" s="1789"/>
      <c r="BW645" s="1791"/>
      <c r="BX645" s="1788">
        <f t="shared" si="25"/>
        <v>0</v>
      </c>
      <c r="BY645" s="1789"/>
      <c r="BZ645" s="1789"/>
      <c r="CA645" s="1789"/>
      <c r="CB645" s="1791"/>
      <c r="CC645" s="1788">
        <f t="shared" si="26"/>
        <v>0</v>
      </c>
      <c r="CD645" s="1789"/>
      <c r="CE645" s="1789"/>
      <c r="CF645" s="1789"/>
      <c r="CG645" s="1791"/>
      <c r="CH645" s="1788">
        <f t="shared" si="27"/>
        <v>0</v>
      </c>
      <c r="CI645" s="1789"/>
      <c r="CJ645" s="1789"/>
      <c r="CK645" s="1789"/>
      <c r="CL645" s="1791"/>
      <c r="CM645" s="1788">
        <f t="shared" si="28"/>
        <v>0</v>
      </c>
      <c r="CN645" s="1789"/>
      <c r="CO645" s="1789"/>
      <c r="CP645" s="1789"/>
      <c r="CQ645" s="1791"/>
      <c r="CR645" s="72"/>
      <c r="CS645" s="72"/>
    </row>
    <row r="646" spans="1:97" ht="13.2">
      <c r="B646" s="2056" t="s">
        <v>1044</v>
      </c>
      <c r="C646" s="2021"/>
      <c r="D646" s="2021"/>
      <c r="E646" s="2021"/>
      <c r="F646" s="2021"/>
      <c r="G646" s="2021"/>
      <c r="H646" s="2021"/>
      <c r="I646" s="2021"/>
      <c r="J646" s="2021"/>
      <c r="K646" s="2021"/>
      <c r="L646" s="2021"/>
      <c r="M646" s="2021"/>
      <c r="N646" s="2021"/>
      <c r="O646" s="2021"/>
      <c r="P646" s="2021"/>
      <c r="Q646" s="2021"/>
      <c r="R646" s="2021"/>
      <c r="S646" s="2021"/>
      <c r="T646" s="2021"/>
      <c r="U646" s="2021"/>
      <c r="V646" s="2021"/>
      <c r="W646" s="2021"/>
      <c r="X646" s="2021"/>
      <c r="Y646" s="2021"/>
      <c r="Z646" s="2021"/>
      <c r="AA646" s="2021"/>
      <c r="AB646" s="2021"/>
      <c r="AC646" s="2021"/>
      <c r="AD646" s="2021"/>
      <c r="AE646" s="2021"/>
      <c r="AF646" s="2021"/>
      <c r="AG646" s="2021"/>
      <c r="AH646" s="2021"/>
      <c r="AI646" s="2021"/>
      <c r="AJ646" s="2021"/>
      <c r="AK646" s="2021"/>
      <c r="AL646" s="2021"/>
      <c r="AM646" s="2021"/>
      <c r="AN646" s="2057"/>
      <c r="AO646" s="1718">
        <f>AO644+AO645</f>
        <v>48114421</v>
      </c>
      <c r="AP646" s="1719"/>
      <c r="AQ646" s="1719"/>
      <c r="AR646" s="1719"/>
      <c r="AS646" s="1720"/>
      <c r="AT646" s="75"/>
      <c r="AU646" s="75"/>
      <c r="AV646" s="75"/>
      <c r="AW646" s="75"/>
      <c r="AX646" s="75"/>
      <c r="AY646" s="75"/>
      <c r="AZ646" s="75"/>
      <c r="BN646" s="2149">
        <f>SUM(BN636:BR645)</f>
        <v>0</v>
      </c>
      <c r="BO646" s="2150"/>
      <c r="BP646" s="2150"/>
      <c r="BQ646" s="2150"/>
      <c r="BR646" s="2151"/>
      <c r="BS646" s="2149">
        <f>SUM(BS636:BW645)</f>
        <v>0</v>
      </c>
      <c r="BT646" s="2150"/>
      <c r="BU646" s="2150"/>
      <c r="BV646" s="2150"/>
      <c r="BW646" s="2151"/>
      <c r="BX646" s="2149">
        <f>SUM(BX636:CB645)</f>
        <v>0</v>
      </c>
      <c r="BY646" s="2150"/>
      <c r="BZ646" s="2150"/>
      <c r="CA646" s="2150"/>
      <c r="CB646" s="2151"/>
      <c r="CC646" s="2149">
        <f>SUM(CC636:CG645)</f>
        <v>0</v>
      </c>
      <c r="CD646" s="2150"/>
      <c r="CE646" s="2150"/>
      <c r="CF646" s="2150"/>
      <c r="CG646" s="2151"/>
      <c r="CH646" s="2149">
        <f>SUM(CH636:CL645)</f>
        <v>0</v>
      </c>
      <c r="CI646" s="2150"/>
      <c r="CJ646" s="2150"/>
      <c r="CK646" s="2150"/>
      <c r="CL646" s="2151"/>
      <c r="CM646" s="2149">
        <f>SUM(CM636:CQ645)</f>
        <v>0</v>
      </c>
      <c r="CN646" s="2150"/>
      <c r="CO646" s="2150"/>
      <c r="CP646" s="2150"/>
      <c r="CQ646" s="2151"/>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5">
        <f>BN646*1</f>
        <v>0</v>
      </c>
      <c r="BS647" s="72"/>
      <c r="BT647" s="72"/>
      <c r="BU647" s="72"/>
      <c r="BV647" s="72"/>
      <c r="BW647" s="735">
        <f>BS646*1</f>
        <v>0</v>
      </c>
      <c r="BX647" s="72"/>
      <c r="BY647" s="72"/>
      <c r="BZ647" s="72"/>
      <c r="CA647" s="72"/>
      <c r="CB647" s="735">
        <f>BX646*2</f>
        <v>0</v>
      </c>
      <c r="CC647" s="72"/>
      <c r="CD647" s="72"/>
      <c r="CE647" s="72"/>
      <c r="CF647" s="72"/>
      <c r="CG647" s="735">
        <f>CC646*3</f>
        <v>0</v>
      </c>
      <c r="CH647" s="72"/>
      <c r="CI647" s="72"/>
      <c r="CJ647" s="72"/>
      <c r="CK647" s="72"/>
      <c r="CL647" s="735">
        <f>CH646*4</f>
        <v>0</v>
      </c>
      <c r="CM647" s="72"/>
      <c r="CN647" s="72"/>
      <c r="CO647" s="72"/>
      <c r="CP647" s="72"/>
      <c r="CQ647" s="734">
        <f>CM646*5</f>
        <v>0</v>
      </c>
      <c r="CR647" s="72"/>
      <c r="CS647" s="72"/>
    </row>
    <row r="648" spans="1:97" ht="13.8" thickBot="1">
      <c r="A648" s="101" t="s">
        <v>1004</v>
      </c>
      <c r="B648" s="16" t="s">
        <v>93</v>
      </c>
      <c r="G648" s="1844" t="str">
        <f>C632</f>
        <v>Seller Carryback Loan</v>
      </c>
      <c r="H648" s="1844"/>
      <c r="I648" s="1844"/>
      <c r="J648" s="1844"/>
      <c r="K648" s="1844"/>
      <c r="L648" s="1844"/>
      <c r="M648" s="1844"/>
      <c r="N648" s="1844"/>
      <c r="O648" s="1844"/>
      <c r="P648" s="1844"/>
      <c r="Q648" s="1844"/>
      <c r="R648" s="1844"/>
      <c r="S648" s="18"/>
      <c r="T648" s="101" t="s">
        <v>1005</v>
      </c>
      <c r="U648" s="16" t="s">
        <v>93</v>
      </c>
      <c r="Z648" s="1844">
        <f>C633</f>
        <v>0</v>
      </c>
      <c r="AA648" s="1844"/>
      <c r="AB648" s="1844"/>
      <c r="AC648" s="1844"/>
      <c r="AD648" s="1844"/>
      <c r="AE648" s="1844"/>
      <c r="AF648" s="1844"/>
      <c r="AG648" s="1844"/>
      <c r="AH648" s="1844"/>
      <c r="AI648" s="1844"/>
      <c r="AJ648" s="1844"/>
      <c r="AK648" s="1844"/>
      <c r="AM648" s="75"/>
      <c r="AN648" s="75"/>
      <c r="AO648" s="75"/>
      <c r="AP648" s="75"/>
      <c r="AQ648" s="75"/>
      <c r="AR648" s="75"/>
      <c r="AS648" s="75"/>
      <c r="AT648" s="75"/>
      <c r="AU648" s="75"/>
      <c r="AV648" s="75"/>
      <c r="AW648" s="75"/>
      <c r="AX648" s="75"/>
      <c r="AY648" s="75"/>
      <c r="AZ648" s="75"/>
      <c r="CP648" s="1399" t="s">
        <v>1943</v>
      </c>
      <c r="CQ648" s="736">
        <f>BN646+BS646+BX646+CC646+CH646+CM646</f>
        <v>0</v>
      </c>
      <c r="CR648" s="72"/>
      <c r="CS648" s="72"/>
    </row>
    <row r="649" spans="1:97" ht="13.8" thickBot="1">
      <c r="A649" s="46"/>
      <c r="B649" s="16" t="s">
        <v>416</v>
      </c>
      <c r="G649" s="1698" t="s">
        <v>2384</v>
      </c>
      <c r="H649" s="1698"/>
      <c r="I649" s="1698"/>
      <c r="J649" s="1698"/>
      <c r="K649" s="1698"/>
      <c r="L649" s="1698"/>
      <c r="M649" s="1698"/>
      <c r="N649" s="1698"/>
      <c r="O649" s="1698"/>
      <c r="P649" s="1698"/>
      <c r="Q649" s="1698"/>
      <c r="R649" s="1698"/>
      <c r="S649" s="18"/>
      <c r="T649" s="46"/>
      <c r="U649" s="16" t="s">
        <v>416</v>
      </c>
      <c r="Z649" s="1698"/>
      <c r="AA649" s="1698"/>
      <c r="AB649" s="1698"/>
      <c r="AC649" s="1698"/>
      <c r="AD649" s="1698"/>
      <c r="AE649" s="1698"/>
      <c r="AF649" s="1698"/>
      <c r="AG649" s="1698"/>
      <c r="AH649" s="1698"/>
      <c r="AI649" s="1698"/>
      <c r="AJ649" s="1698"/>
      <c r="AK649" s="1698"/>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698" t="s">
        <v>2398</v>
      </c>
      <c r="H650" s="1698"/>
      <c r="I650" s="1698"/>
      <c r="J650" s="1698"/>
      <c r="K650" s="1698"/>
      <c r="L650" s="1698"/>
      <c r="M650" s="1698"/>
      <c r="N650" s="1698"/>
      <c r="O650" s="1698"/>
      <c r="P650" s="1698"/>
      <c r="Q650" s="1698"/>
      <c r="R650" s="1698"/>
      <c r="S650" s="102"/>
      <c r="T650" s="46"/>
      <c r="U650" s="16" t="s">
        <v>479</v>
      </c>
      <c r="Z650" s="1688"/>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399" t="s">
        <v>1945</v>
      </c>
      <c r="CQ650" s="736">
        <f>CQ648+CQ629</f>
        <v>104</v>
      </c>
      <c r="CR650" s="72"/>
      <c r="CS650" s="72"/>
    </row>
    <row r="651" spans="1:97" ht="13.2">
      <c r="A651" s="46"/>
      <c r="B651" s="16" t="s">
        <v>915</v>
      </c>
      <c r="G651" s="1698" t="s">
        <v>2386</v>
      </c>
      <c r="H651" s="1698"/>
      <c r="I651" s="1698"/>
      <c r="J651" s="1698"/>
      <c r="K651" s="1698"/>
      <c r="L651" s="1698"/>
      <c r="M651" s="1698"/>
      <c r="N651" s="1698"/>
      <c r="O651" s="1698"/>
      <c r="P651" s="1698"/>
      <c r="Q651" s="1698"/>
      <c r="R651" s="1698"/>
      <c r="S651" s="18"/>
      <c r="T651" s="46"/>
      <c r="U651" s="16" t="s">
        <v>915</v>
      </c>
      <c r="Z651" s="1688"/>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691" t="s">
        <v>2387</v>
      </c>
      <c r="H652" s="1687"/>
      <c r="I652" s="1687"/>
      <c r="J652" s="1687"/>
      <c r="K652" s="1687"/>
      <c r="L652" s="1687"/>
      <c r="O652" s="149" t="s">
        <v>900</v>
      </c>
      <c r="P652" s="1702"/>
      <c r="Q652" s="1702"/>
      <c r="R652" s="1702"/>
      <c r="S652" s="20"/>
      <c r="T652" s="46"/>
      <c r="U652" s="16" t="s">
        <v>716</v>
      </c>
      <c r="Z652" s="1691"/>
      <c r="AA652" s="1687"/>
      <c r="AB652" s="1687"/>
      <c r="AC652" s="1687"/>
      <c r="AD652" s="1687"/>
      <c r="AE652" s="1687"/>
      <c r="AH652" s="149" t="s">
        <v>900</v>
      </c>
      <c r="AI652" s="1702"/>
      <c r="AJ652" s="1702"/>
      <c r="AK652" s="1702"/>
      <c r="AM652" s="75"/>
      <c r="AN652" s="75"/>
      <c r="AO652" s="75"/>
      <c r="AP652" s="75"/>
      <c r="AQ652" s="75"/>
      <c r="AR652" s="75"/>
      <c r="AS652" s="75"/>
      <c r="AT652" s="75"/>
      <c r="AU652" s="75"/>
      <c r="AV652" s="75"/>
      <c r="AW652" s="75"/>
      <c r="AX652" s="75"/>
      <c r="AY652" s="75"/>
      <c r="AZ652" s="75"/>
      <c r="BN652" s="2149">
        <f>BN627+BN634+BN646</f>
        <v>58</v>
      </c>
      <c r="BO652" s="2150"/>
      <c r="BP652" s="2150"/>
      <c r="BQ652" s="2150"/>
      <c r="BR652" s="2151"/>
      <c r="BS652" s="2149">
        <f>BS627+BS634+BS646</f>
        <v>20</v>
      </c>
      <c r="BT652" s="2150"/>
      <c r="BU652" s="2150"/>
      <c r="BV652" s="2150"/>
      <c r="BW652" s="2151"/>
      <c r="BX652" s="2149">
        <f>BX627+BX634+BX646</f>
        <v>6</v>
      </c>
      <c r="BY652" s="2150"/>
      <c r="BZ652" s="2150"/>
      <c r="CA652" s="2150"/>
      <c r="CB652" s="2151"/>
      <c r="CC652" s="2149">
        <f>CC627+CC634+CC646</f>
        <v>6</v>
      </c>
      <c r="CD652" s="2150"/>
      <c r="CE652" s="2150"/>
      <c r="CF652" s="2150"/>
      <c r="CG652" s="2151"/>
      <c r="CH652" s="2149">
        <f>CH627+CH634+CH646</f>
        <v>0</v>
      </c>
      <c r="CI652" s="2150"/>
      <c r="CJ652" s="2150"/>
      <c r="CK652" s="2150"/>
      <c r="CL652" s="2151"/>
      <c r="CM652" s="1792">
        <f>CM646+CM634+CM627</f>
        <v>0</v>
      </c>
      <c r="CN652" s="2148"/>
      <c r="CO652" s="2148"/>
      <c r="CP652" s="2148"/>
      <c r="CQ652" s="1793"/>
      <c r="CR652" s="72"/>
      <c r="CS652" s="72"/>
    </row>
    <row r="653" spans="1:97" ht="13.2">
      <c r="A653" s="46"/>
      <c r="B653" s="16" t="s">
        <v>916</v>
      </c>
      <c r="H653" s="1698" t="s">
        <v>2539</v>
      </c>
      <c r="I653" s="1698"/>
      <c r="J653" s="1698"/>
      <c r="K653" s="1698"/>
      <c r="L653" s="1698"/>
      <c r="M653" s="1698"/>
      <c r="N653" s="1698"/>
      <c r="O653" s="1698"/>
      <c r="P653" s="1698"/>
      <c r="Q653" s="1698"/>
      <c r="R653" s="1698"/>
      <c r="S653" s="18"/>
      <c r="T653" s="46"/>
      <c r="U653" s="16" t="s">
        <v>916</v>
      </c>
      <c r="AA653" s="1698"/>
      <c r="AB653" s="1698"/>
      <c r="AC653" s="1698"/>
      <c r="AD653" s="1698"/>
      <c r="AE653" s="1698"/>
      <c r="AF653" s="1698"/>
      <c r="AG653" s="1698"/>
      <c r="AH653" s="1698"/>
      <c r="AI653" s="1698"/>
      <c r="AJ653" s="1698"/>
      <c r="AK653" s="169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696" t="s">
        <v>119</v>
      </c>
      <c r="O654" s="1696"/>
      <c r="T654" s="46"/>
      <c r="U654" s="16" t="s">
        <v>918</v>
      </c>
      <c r="AG654" s="1696"/>
      <c r="AH654" s="169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44" t="str">
        <f>C634</f>
        <v>HCD No Place Like Home (NPLH) - Capital</v>
      </c>
      <c r="H656" s="1844"/>
      <c r="I656" s="1844"/>
      <c r="J656" s="1844"/>
      <c r="K656" s="1844"/>
      <c r="L656" s="1844"/>
      <c r="M656" s="1844"/>
      <c r="N656" s="1844"/>
      <c r="O656" s="1844"/>
      <c r="P656" s="1844"/>
      <c r="Q656" s="1844"/>
      <c r="R656" s="1844"/>
      <c r="T656" s="101" t="s">
        <v>480</v>
      </c>
      <c r="U656" s="16" t="s">
        <v>93</v>
      </c>
      <c r="Z656" s="1844" t="str">
        <f>C635</f>
        <v>Sponsor Loan: CDBG-DR</v>
      </c>
      <c r="AA656" s="1844"/>
      <c r="AB656" s="1844"/>
      <c r="AC656" s="1844"/>
      <c r="AD656" s="1844"/>
      <c r="AE656" s="1844"/>
      <c r="AF656" s="1844"/>
      <c r="AG656" s="1844"/>
      <c r="AH656" s="1844"/>
      <c r="AI656" s="1844"/>
      <c r="AJ656" s="1844"/>
      <c r="AK656" s="184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698" t="s">
        <v>2527</v>
      </c>
      <c r="H657" s="1698"/>
      <c r="I657" s="1698"/>
      <c r="J657" s="1698"/>
      <c r="K657" s="1698"/>
      <c r="L657" s="1698"/>
      <c r="M657" s="1698"/>
      <c r="N657" s="1698"/>
      <c r="O657" s="1698"/>
      <c r="P657" s="1698"/>
      <c r="Q657" s="1698"/>
      <c r="R657" s="1698"/>
      <c r="T657" s="46"/>
      <c r="U657" s="16" t="s">
        <v>416</v>
      </c>
      <c r="Z657" s="1698" t="s">
        <v>2531</v>
      </c>
      <c r="AA657" s="1698"/>
      <c r="AB657" s="1698"/>
      <c r="AC657" s="1698"/>
      <c r="AD657" s="1698"/>
      <c r="AE657" s="1698"/>
      <c r="AF657" s="1698"/>
      <c r="AG657" s="1698"/>
      <c r="AH657" s="1698"/>
      <c r="AI657" s="1698"/>
      <c r="AJ657" s="1698"/>
      <c r="AK657" s="169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688" t="s">
        <v>2528</v>
      </c>
      <c r="H658" s="1688"/>
      <c r="I658" s="1688"/>
      <c r="J658" s="1688"/>
      <c r="K658" s="1688"/>
      <c r="L658" s="1688"/>
      <c r="M658" s="1688"/>
      <c r="N658" s="1688"/>
      <c r="O658" s="1688"/>
      <c r="P658" s="1688"/>
      <c r="Q658" s="1688"/>
      <c r="R658" s="1688"/>
      <c r="T658" s="46"/>
      <c r="U658" s="16" t="s">
        <v>479</v>
      </c>
      <c r="Z658" s="1688" t="s">
        <v>2522</v>
      </c>
      <c r="AA658" s="1688"/>
      <c r="AB658" s="1688"/>
      <c r="AC658" s="1688"/>
      <c r="AD658" s="1688"/>
      <c r="AE658" s="1688"/>
      <c r="AF658" s="1688"/>
      <c r="AG658" s="1688"/>
      <c r="AH658" s="1688"/>
      <c r="AI658" s="1688"/>
      <c r="AJ658" s="1688"/>
      <c r="AK658" s="16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688" t="s">
        <v>2537</v>
      </c>
      <c r="H659" s="1688"/>
      <c r="I659" s="1688"/>
      <c r="J659" s="1688"/>
      <c r="K659" s="1688"/>
      <c r="L659" s="1688"/>
      <c r="M659" s="1688"/>
      <c r="N659" s="1688"/>
      <c r="O659" s="1688"/>
      <c r="P659" s="1688"/>
      <c r="Q659" s="1688"/>
      <c r="R659" s="1688"/>
      <c r="T659" s="46"/>
      <c r="U659" s="16" t="s">
        <v>915</v>
      </c>
      <c r="Z659" s="1688" t="s">
        <v>2532</v>
      </c>
      <c r="AA659" s="1688"/>
      <c r="AB659" s="1688"/>
      <c r="AC659" s="1688"/>
      <c r="AD659" s="1688"/>
      <c r="AE659" s="1688"/>
      <c r="AF659" s="1688"/>
      <c r="AG659" s="1688"/>
      <c r="AH659" s="1688"/>
      <c r="AI659" s="1688"/>
      <c r="AJ659" s="1688"/>
      <c r="AK659" s="168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691" t="s">
        <v>2543</v>
      </c>
      <c r="H660" s="1687"/>
      <c r="I660" s="1687"/>
      <c r="J660" s="1687"/>
      <c r="K660" s="1687"/>
      <c r="L660" s="1687"/>
      <c r="O660" s="149" t="s">
        <v>900</v>
      </c>
      <c r="P660" s="1702"/>
      <c r="Q660" s="1702"/>
      <c r="R660" s="1702"/>
      <c r="T660" s="46"/>
      <c r="U660" s="16" t="s">
        <v>716</v>
      </c>
      <c r="Z660" s="1691" t="s">
        <v>2533</v>
      </c>
      <c r="AA660" s="1687"/>
      <c r="AB660" s="1687"/>
      <c r="AC660" s="1687"/>
      <c r="AD660" s="1687"/>
      <c r="AE660" s="1687"/>
      <c r="AH660" s="149" t="s">
        <v>900</v>
      </c>
      <c r="AI660" s="1702"/>
      <c r="AJ660" s="1702"/>
      <c r="AK660" s="170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8" t="s">
        <v>2530</v>
      </c>
      <c r="I661" s="1698"/>
      <c r="J661" s="1698"/>
      <c r="K661" s="1698"/>
      <c r="L661" s="1698"/>
      <c r="M661" s="1698"/>
      <c r="N661" s="1698"/>
      <c r="O661" s="1698"/>
      <c r="P661" s="1698"/>
      <c r="Q661" s="1698"/>
      <c r="R661" s="1698"/>
      <c r="T661" s="46"/>
      <c r="U661" s="16" t="s">
        <v>916</v>
      </c>
      <c r="AA661" s="1698" t="s">
        <v>2530</v>
      </c>
      <c r="AB661" s="1698"/>
      <c r="AC661" s="1698"/>
      <c r="AD661" s="1698"/>
      <c r="AE661" s="1698"/>
      <c r="AF661" s="1698"/>
      <c r="AG661" s="1698"/>
      <c r="AH661" s="1698"/>
      <c r="AI661" s="1698"/>
      <c r="AJ661" s="1698"/>
      <c r="AK661" s="1698"/>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696" t="s">
        <v>119</v>
      </c>
      <c r="O662" s="1696"/>
      <c r="T662" s="46"/>
      <c r="U662" s="16" t="s">
        <v>918</v>
      </c>
      <c r="AG662" s="1696" t="s">
        <v>119</v>
      </c>
      <c r="AH662" s="169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4" t="str">
        <f>C636</f>
        <v>City of Napa - HTF Loan</v>
      </c>
      <c r="H664" s="1844"/>
      <c r="I664" s="1844"/>
      <c r="J664" s="1844"/>
      <c r="K664" s="1844"/>
      <c r="L664" s="1844"/>
      <c r="M664" s="1844"/>
      <c r="N664" s="1844"/>
      <c r="O664" s="1844"/>
      <c r="P664" s="1844"/>
      <c r="Q664" s="1844"/>
      <c r="R664" s="1844"/>
      <c r="T664" s="101" t="s">
        <v>483</v>
      </c>
      <c r="U664" s="16" t="s">
        <v>93</v>
      </c>
      <c r="Z664" s="1844" t="str">
        <f>C637</f>
        <v>County of Napa</v>
      </c>
      <c r="AA664" s="1844"/>
      <c r="AB664" s="1844"/>
      <c r="AC664" s="1844"/>
      <c r="AD664" s="1844"/>
      <c r="AE664" s="1844"/>
      <c r="AF664" s="1844"/>
      <c r="AG664" s="1844"/>
      <c r="AH664" s="1844"/>
      <c r="AI664" s="1844"/>
      <c r="AJ664" s="1844"/>
      <c r="AK664" s="184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698" t="s">
        <v>2531</v>
      </c>
      <c r="H665" s="1698"/>
      <c r="I665" s="1698"/>
      <c r="J665" s="1698"/>
      <c r="K665" s="1698"/>
      <c r="L665" s="1698"/>
      <c r="M665" s="1698"/>
      <c r="N665" s="1698"/>
      <c r="O665" s="1698"/>
      <c r="P665" s="1698"/>
      <c r="Q665" s="1698"/>
      <c r="R665" s="1698"/>
      <c r="T665" s="46"/>
      <c r="U665" s="16" t="s">
        <v>416</v>
      </c>
      <c r="Z665" s="1698" t="s">
        <v>2534</v>
      </c>
      <c r="AA665" s="1698"/>
      <c r="AB665" s="1698"/>
      <c r="AC665" s="1698"/>
      <c r="AD665" s="1698"/>
      <c r="AE665" s="1698"/>
      <c r="AF665" s="1698"/>
      <c r="AG665" s="1698"/>
      <c r="AH665" s="1698"/>
      <c r="AI665" s="1698"/>
      <c r="AJ665" s="1698"/>
      <c r="AK665" s="169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698" t="s">
        <v>2522</v>
      </c>
      <c r="H666" s="1698"/>
      <c r="I666" s="1698"/>
      <c r="J666" s="1698"/>
      <c r="K666" s="1698"/>
      <c r="L666" s="1698"/>
      <c r="M666" s="1698"/>
      <c r="N666" s="1698"/>
      <c r="O666" s="1698"/>
      <c r="P666" s="1698"/>
      <c r="Q666" s="1698"/>
      <c r="R666" s="1698"/>
      <c r="T666" s="46"/>
      <c r="U666" s="16" t="s">
        <v>479</v>
      </c>
      <c r="Z666" s="1688" t="s">
        <v>2522</v>
      </c>
      <c r="AA666" s="1688"/>
      <c r="AB666" s="1688"/>
      <c r="AC666" s="1688"/>
      <c r="AD666" s="1688"/>
      <c r="AE666" s="1688"/>
      <c r="AF666" s="1688"/>
      <c r="AG666" s="1688"/>
      <c r="AH666" s="1688"/>
      <c r="AI666" s="1688"/>
      <c r="AJ666" s="1688"/>
      <c r="AK666" s="16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698" t="s">
        <v>2532</v>
      </c>
      <c r="H667" s="1698"/>
      <c r="I667" s="1698"/>
      <c r="J667" s="1698"/>
      <c r="K667" s="1698"/>
      <c r="L667" s="1698"/>
      <c r="M667" s="1698"/>
      <c r="N667" s="1698"/>
      <c r="O667" s="1698"/>
      <c r="P667" s="1698"/>
      <c r="Q667" s="1698"/>
      <c r="R667" s="1698"/>
      <c r="T667" s="46"/>
      <c r="U667" s="16" t="s">
        <v>915</v>
      </c>
      <c r="Z667" s="1688" t="s">
        <v>2535</v>
      </c>
      <c r="AA667" s="1688"/>
      <c r="AB667" s="1688"/>
      <c r="AC667" s="1688"/>
      <c r="AD667" s="1688"/>
      <c r="AE667" s="1688"/>
      <c r="AF667" s="1688"/>
      <c r="AG667" s="1688"/>
      <c r="AH667" s="1688"/>
      <c r="AI667" s="1688"/>
      <c r="AJ667" s="1688"/>
      <c r="AK667" s="168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691" t="s">
        <v>2533</v>
      </c>
      <c r="H668" s="1687"/>
      <c r="I668" s="1687"/>
      <c r="J668" s="1687"/>
      <c r="K668" s="1687"/>
      <c r="L668" s="1687"/>
      <c r="O668" s="149" t="s">
        <v>900</v>
      </c>
      <c r="P668" s="1702"/>
      <c r="Q668" s="1702"/>
      <c r="R668" s="1702"/>
      <c r="T668" s="46"/>
      <c r="U668" s="16" t="s">
        <v>716</v>
      </c>
      <c r="Z668" s="1691" t="s">
        <v>2536</v>
      </c>
      <c r="AA668" s="1687"/>
      <c r="AB668" s="1687"/>
      <c r="AC668" s="1687"/>
      <c r="AD668" s="1687"/>
      <c r="AE668" s="1687"/>
      <c r="AH668" s="149" t="s">
        <v>900</v>
      </c>
      <c r="AI668" s="1702"/>
      <c r="AJ668" s="1702"/>
      <c r="AK668" s="170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698" t="s">
        <v>2530</v>
      </c>
      <c r="I669" s="1698"/>
      <c r="J669" s="1698"/>
      <c r="K669" s="1698"/>
      <c r="L669" s="1698"/>
      <c r="M669" s="1698"/>
      <c r="N669" s="1698"/>
      <c r="O669" s="1698"/>
      <c r="P669" s="1698"/>
      <c r="Q669" s="1698"/>
      <c r="R669" s="1698"/>
      <c r="T669" s="46"/>
      <c r="U669" s="16" t="s">
        <v>916</v>
      </c>
      <c r="AA669" s="1698" t="s">
        <v>2530</v>
      </c>
      <c r="AB669" s="1698"/>
      <c r="AC669" s="1698"/>
      <c r="AD669" s="1698"/>
      <c r="AE669" s="1698"/>
      <c r="AF669" s="1698"/>
      <c r="AG669" s="1698"/>
      <c r="AH669" s="1698"/>
      <c r="AI669" s="1698"/>
      <c r="AJ669" s="1698"/>
      <c r="AK669" s="169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696" t="s">
        <v>119</v>
      </c>
      <c r="O670" s="1696"/>
      <c r="T670" s="46"/>
      <c r="U670" s="16" t="s">
        <v>918</v>
      </c>
      <c r="AG670" s="1696" t="s">
        <v>119</v>
      </c>
      <c r="AH670" s="169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4" t="str">
        <f>C638</f>
        <v>County of Napa - Whole Person Care</v>
      </c>
      <c r="H672" s="1844"/>
      <c r="I672" s="1844"/>
      <c r="J672" s="1844"/>
      <c r="K672" s="1844"/>
      <c r="L672" s="1844"/>
      <c r="M672" s="1844"/>
      <c r="N672" s="1844"/>
      <c r="O672" s="1844"/>
      <c r="P672" s="1844"/>
      <c r="Q672" s="1844"/>
      <c r="R672" s="1844"/>
      <c r="T672" s="101" t="s">
        <v>811</v>
      </c>
      <c r="U672" s="16" t="s">
        <v>93</v>
      </c>
      <c r="Z672" s="1844" t="str">
        <f>C639</f>
        <v>NPLH - Non-competitive</v>
      </c>
      <c r="AA672" s="1844"/>
      <c r="AB672" s="1844"/>
      <c r="AC672" s="1844"/>
      <c r="AD672" s="1844"/>
      <c r="AE672" s="1844"/>
      <c r="AF672" s="1844"/>
      <c r="AG672" s="1844"/>
      <c r="AH672" s="1844"/>
      <c r="AI672" s="1844"/>
      <c r="AJ672" s="1844"/>
      <c r="AK672" s="184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698" t="s">
        <v>2534</v>
      </c>
      <c r="H673" s="1698"/>
      <c r="I673" s="1698"/>
      <c r="J673" s="1698"/>
      <c r="K673" s="1698"/>
      <c r="L673" s="1698"/>
      <c r="M673" s="1698"/>
      <c r="N673" s="1698"/>
      <c r="O673" s="1698"/>
      <c r="P673" s="1698"/>
      <c r="Q673" s="1698"/>
      <c r="R673" s="1698"/>
      <c r="T673" s="46"/>
      <c r="U673" s="16" t="s">
        <v>416</v>
      </c>
      <c r="Z673" s="1698" t="s">
        <v>2527</v>
      </c>
      <c r="AA673" s="1698"/>
      <c r="AB673" s="1698"/>
      <c r="AC673" s="1698"/>
      <c r="AD673" s="1698"/>
      <c r="AE673" s="1698"/>
      <c r="AF673" s="1698"/>
      <c r="AG673" s="1698"/>
      <c r="AH673" s="1698"/>
      <c r="AI673" s="1698"/>
      <c r="AJ673" s="1698"/>
      <c r="AK673" s="169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698" t="s">
        <v>2522</v>
      </c>
      <c r="H674" s="1698"/>
      <c r="I674" s="1698"/>
      <c r="J674" s="1698"/>
      <c r="K674" s="1698"/>
      <c r="L674" s="1698"/>
      <c r="M674" s="1698"/>
      <c r="N674" s="1698"/>
      <c r="O674" s="1698"/>
      <c r="P674" s="1698"/>
      <c r="Q674" s="1698"/>
      <c r="R674" s="1698"/>
      <c r="T674" s="46"/>
      <c r="U674" s="16" t="s">
        <v>479</v>
      </c>
      <c r="Z674" s="1688" t="s">
        <v>2528</v>
      </c>
      <c r="AA674" s="1688"/>
      <c r="AB674" s="1688"/>
      <c r="AC674" s="1688"/>
      <c r="AD674" s="1688"/>
      <c r="AE674" s="1688"/>
      <c r="AF674" s="1688"/>
      <c r="AG674" s="1688"/>
      <c r="AH674" s="1688"/>
      <c r="AI674" s="1688"/>
      <c r="AJ674" s="1688"/>
      <c r="AK674" s="16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698" t="s">
        <v>2535</v>
      </c>
      <c r="H675" s="1698"/>
      <c r="I675" s="1698"/>
      <c r="J675" s="1698"/>
      <c r="K675" s="1698"/>
      <c r="L675" s="1698"/>
      <c r="M675" s="1698"/>
      <c r="N675" s="1698"/>
      <c r="O675" s="1698"/>
      <c r="P675" s="1698"/>
      <c r="Q675" s="1698"/>
      <c r="R675" s="1698"/>
      <c r="T675" s="46"/>
      <c r="U675" s="16" t="s">
        <v>915</v>
      </c>
      <c r="Z675" s="1688" t="s">
        <v>2537</v>
      </c>
      <c r="AA675" s="1688"/>
      <c r="AB675" s="1688"/>
      <c r="AC675" s="1688"/>
      <c r="AD675" s="1688"/>
      <c r="AE675" s="1688"/>
      <c r="AF675" s="1688"/>
      <c r="AG675" s="1688"/>
      <c r="AH675" s="1688"/>
      <c r="AI675" s="1688"/>
      <c r="AJ675" s="1688"/>
      <c r="AK675" s="16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691" t="s">
        <v>2536</v>
      </c>
      <c r="H676" s="1687"/>
      <c r="I676" s="1687"/>
      <c r="J676" s="1687"/>
      <c r="K676" s="1687"/>
      <c r="L676" s="1687"/>
      <c r="O676" s="149" t="s">
        <v>900</v>
      </c>
      <c r="P676" s="1702"/>
      <c r="Q676" s="1702"/>
      <c r="R676" s="1702"/>
      <c r="T676" s="46"/>
      <c r="U676" s="16" t="s">
        <v>716</v>
      </c>
      <c r="Z676" s="1691" t="s">
        <v>2543</v>
      </c>
      <c r="AA676" s="1687"/>
      <c r="AB676" s="1687"/>
      <c r="AC676" s="1687"/>
      <c r="AD676" s="1687"/>
      <c r="AE676" s="1687"/>
      <c r="AH676" s="149" t="s">
        <v>900</v>
      </c>
      <c r="AI676" s="1702"/>
      <c r="AJ676" s="1702"/>
      <c r="AK676" s="170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698" t="s">
        <v>2530</v>
      </c>
      <c r="I677" s="1698"/>
      <c r="J677" s="1698"/>
      <c r="K677" s="1698"/>
      <c r="L677" s="1698"/>
      <c r="M677" s="1698"/>
      <c r="N677" s="1698"/>
      <c r="O677" s="1698"/>
      <c r="P677" s="1698"/>
      <c r="Q677" s="1698"/>
      <c r="R677" s="1698"/>
      <c r="T677" s="46"/>
      <c r="U677" s="16" t="s">
        <v>916</v>
      </c>
      <c r="AA677" s="1698" t="s">
        <v>2530</v>
      </c>
      <c r="AB677" s="1698"/>
      <c r="AC677" s="1698"/>
      <c r="AD677" s="1698"/>
      <c r="AE677" s="1698"/>
      <c r="AF677" s="1698"/>
      <c r="AG677" s="1698"/>
      <c r="AH677" s="1698"/>
      <c r="AI677" s="1698"/>
      <c r="AJ677" s="1698"/>
      <c r="AK677" s="169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696" t="s">
        <v>119</v>
      </c>
      <c r="O678" s="1696"/>
      <c r="T678" s="46"/>
      <c r="U678" s="16" t="s">
        <v>918</v>
      </c>
      <c r="AG678" s="1696" t="s">
        <v>119</v>
      </c>
      <c r="AH678" s="169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4" t="str">
        <f>C640</f>
        <v>Sponsor Loan (Queen of the Valley)</v>
      </c>
      <c r="H680" s="1844"/>
      <c r="I680" s="1844"/>
      <c r="J680" s="1844"/>
      <c r="K680" s="1844"/>
      <c r="L680" s="1844"/>
      <c r="M680" s="1844"/>
      <c r="N680" s="1844"/>
      <c r="O680" s="1844"/>
      <c r="P680" s="1844"/>
      <c r="Q680" s="1844"/>
      <c r="R680" s="1844"/>
      <c r="T680" s="101" t="s">
        <v>191</v>
      </c>
      <c r="U680" s="16" t="s">
        <v>93</v>
      </c>
      <c r="Z680" s="1844" t="str">
        <f>C641</f>
        <v>Sponsor Loan: NPLH - Technical Assistance</v>
      </c>
      <c r="AA680" s="1844"/>
      <c r="AB680" s="1844"/>
      <c r="AC680" s="1844"/>
      <c r="AD680" s="1844"/>
      <c r="AE680" s="1844"/>
      <c r="AF680" s="1844"/>
      <c r="AG680" s="1844"/>
      <c r="AH680" s="1844"/>
      <c r="AI680" s="1844"/>
      <c r="AJ680" s="1844"/>
      <c r="AK680" s="184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8" t="s">
        <v>2384</v>
      </c>
      <c r="H681" s="1698"/>
      <c r="I681" s="1698"/>
      <c r="J681" s="1698"/>
      <c r="K681" s="1698"/>
      <c r="L681" s="1698"/>
      <c r="M681" s="1698"/>
      <c r="N681" s="1698"/>
      <c r="O681" s="1698"/>
      <c r="P681" s="1698"/>
      <c r="Q681" s="1698"/>
      <c r="R681" s="1698"/>
      <c r="T681" s="46"/>
      <c r="U681" s="16" t="s">
        <v>416</v>
      </c>
      <c r="Z681" s="1698" t="s">
        <v>2527</v>
      </c>
      <c r="AA681" s="1698"/>
      <c r="AB681" s="1698"/>
      <c r="AC681" s="1698"/>
      <c r="AD681" s="1698"/>
      <c r="AE681" s="1698"/>
      <c r="AF681" s="1698"/>
      <c r="AG681" s="1698"/>
      <c r="AH681" s="1698"/>
      <c r="AI681" s="1698"/>
      <c r="AJ681" s="1698"/>
      <c r="AK681" s="169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8" t="s">
        <v>2398</v>
      </c>
      <c r="H682" s="1698"/>
      <c r="I682" s="1698"/>
      <c r="J682" s="1698"/>
      <c r="K682" s="1698"/>
      <c r="L682" s="1698"/>
      <c r="M682" s="1698"/>
      <c r="N682" s="1698"/>
      <c r="O682" s="1698"/>
      <c r="P682" s="1698"/>
      <c r="Q682" s="1698"/>
      <c r="R682" s="1698"/>
      <c r="T682" s="46"/>
      <c r="U682" s="16" t="s">
        <v>479</v>
      </c>
      <c r="Z682" s="1688" t="s">
        <v>2528</v>
      </c>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8" t="s">
        <v>2386</v>
      </c>
      <c r="H683" s="1698"/>
      <c r="I683" s="1698"/>
      <c r="J683" s="1698"/>
      <c r="K683" s="1698"/>
      <c r="L683" s="1698"/>
      <c r="M683" s="1698"/>
      <c r="N683" s="1698"/>
      <c r="O683" s="1698"/>
      <c r="P683" s="1698"/>
      <c r="Q683" s="1698"/>
      <c r="R683" s="1698"/>
      <c r="T683" s="46"/>
      <c r="U683" s="16" t="s">
        <v>915</v>
      </c>
      <c r="Z683" s="1688" t="s">
        <v>2537</v>
      </c>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91" t="s">
        <v>2387</v>
      </c>
      <c r="H684" s="1687"/>
      <c r="I684" s="1687"/>
      <c r="J684" s="1687"/>
      <c r="K684" s="1687"/>
      <c r="L684" s="1687"/>
      <c r="O684" s="149" t="s">
        <v>900</v>
      </c>
      <c r="P684" s="1702"/>
      <c r="Q684" s="1702"/>
      <c r="R684" s="1702"/>
      <c r="T684" s="46"/>
      <c r="U684" s="16" t="s">
        <v>716</v>
      </c>
      <c r="Z684" s="1691" t="s">
        <v>2543</v>
      </c>
      <c r="AA684" s="1687"/>
      <c r="AB684" s="1687"/>
      <c r="AC684" s="1687"/>
      <c r="AD684" s="1687"/>
      <c r="AE684" s="1687"/>
      <c r="AH684" s="149" t="s">
        <v>900</v>
      </c>
      <c r="AI684" s="1702"/>
      <c r="AJ684" s="1702"/>
      <c r="AK684" s="170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698" t="s">
        <v>2544</v>
      </c>
      <c r="I685" s="1698"/>
      <c r="J685" s="1698"/>
      <c r="K685" s="1698"/>
      <c r="L685" s="1698"/>
      <c r="M685" s="1698"/>
      <c r="N685" s="1698"/>
      <c r="O685" s="1698"/>
      <c r="P685" s="1698"/>
      <c r="Q685" s="1698"/>
      <c r="R685" s="1698"/>
      <c r="T685" s="46"/>
      <c r="U685" s="16" t="s">
        <v>916</v>
      </c>
      <c r="AA685" s="1698" t="s">
        <v>2530</v>
      </c>
      <c r="AB685" s="1698"/>
      <c r="AC685" s="1698"/>
      <c r="AD685" s="1698"/>
      <c r="AE685" s="1698"/>
      <c r="AF685" s="1698"/>
      <c r="AG685" s="1698"/>
      <c r="AH685" s="1698"/>
      <c r="AI685" s="1698"/>
      <c r="AJ685" s="1698"/>
      <c r="AK685" s="1698"/>
      <c r="AM685" s="75"/>
      <c r="BA685" s="75"/>
      <c r="BB685" s="75"/>
      <c r="BC685" s="75"/>
      <c r="BD685" s="75"/>
      <c r="BE685" s="75"/>
      <c r="BF685" s="75"/>
      <c r="BG685" s="75"/>
      <c r="BH685" s="75"/>
      <c r="BI685" s="75"/>
      <c r="BJ685" s="75"/>
      <c r="BK685" s="75"/>
      <c r="BL685" s="75"/>
      <c r="BM685" s="72"/>
      <c r="BN685" s="72"/>
      <c r="BO685" s="72"/>
      <c r="BP685" s="722"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96" t="s">
        <v>119</v>
      </c>
      <c r="O686" s="1696"/>
      <c r="T686" s="46"/>
      <c r="U686" s="16" t="s">
        <v>918</v>
      </c>
      <c r="AG686" s="1696" t="s">
        <v>119</v>
      </c>
      <c r="AH686" s="1696"/>
      <c r="AM686" s="75"/>
      <c r="BA686" s="75"/>
      <c r="BB686" s="75"/>
      <c r="BC686" s="75"/>
      <c r="BD686" s="75"/>
      <c r="BE686" s="75"/>
      <c r="BF686" s="75"/>
      <c r="BG686" s="75"/>
      <c r="BH686" s="75"/>
      <c r="BI686" s="75"/>
      <c r="BJ686" s="75"/>
      <c r="BK686" s="75"/>
      <c r="BL686" s="75"/>
      <c r="BM686" s="72"/>
      <c r="BN686" s="72"/>
      <c r="BO686" s="72"/>
      <c r="BP686" s="723"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4"/>
      <c r="BQ687" s="501"/>
      <c r="BR687" s="725"/>
      <c r="BS687" s="725"/>
      <c r="BT687" s="725"/>
      <c r="BU687" s="725"/>
      <c r="BV687" s="725"/>
      <c r="BW687" s="72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44" t="str">
        <f>C642</f>
        <v>GP Equity: Partnership Health Grant</v>
      </c>
      <c r="H688" s="1844"/>
      <c r="I688" s="1844"/>
      <c r="J688" s="1844"/>
      <c r="K688" s="1844"/>
      <c r="L688" s="1844"/>
      <c r="M688" s="1844"/>
      <c r="N688" s="1844"/>
      <c r="O688" s="1844"/>
      <c r="P688" s="1844"/>
      <c r="Q688" s="1844"/>
      <c r="R688" s="1844"/>
      <c r="T688" s="101" t="s">
        <v>38</v>
      </c>
      <c r="U688" s="16" t="s">
        <v>93</v>
      </c>
      <c r="Z688" s="1844" t="str">
        <f>C643</f>
        <v>HCD No Place Like Home (NPLH) - COSR</v>
      </c>
      <c r="AA688" s="1844"/>
      <c r="AB688" s="1844"/>
      <c r="AC688" s="1844"/>
      <c r="AD688" s="1844"/>
      <c r="AE688" s="1844"/>
      <c r="AF688" s="1844"/>
      <c r="AG688" s="1844"/>
      <c r="AH688" s="1844"/>
      <c r="AI688" s="1844"/>
      <c r="AJ688" s="1844"/>
      <c r="AK688" s="1844"/>
      <c r="AM688" s="75"/>
      <c r="BA688" s="503" t="s">
        <v>335</v>
      </c>
      <c r="BB688" s="75"/>
      <c r="BC688" s="75"/>
      <c r="BD688" s="75"/>
      <c r="BE688" s="75"/>
      <c r="BF688" s="75"/>
      <c r="BG688" s="63" t="s">
        <v>1258</v>
      </c>
      <c r="BH688" s="75"/>
      <c r="BI688" s="75"/>
      <c r="BJ688" s="75"/>
      <c r="BK688" s="75"/>
      <c r="BL688" s="75"/>
      <c r="BM688" s="72"/>
      <c r="BN688" s="72"/>
      <c r="BO688" s="72"/>
      <c r="BP688" s="901" t="s">
        <v>334</v>
      </c>
      <c r="BQ688" s="902" t="s">
        <v>490</v>
      </c>
      <c r="BR688" s="902" t="s">
        <v>491</v>
      </c>
      <c r="BS688" s="902" t="s">
        <v>853</v>
      </c>
      <c r="BT688" s="902" t="s">
        <v>854</v>
      </c>
      <c r="BU688" s="902" t="s">
        <v>855</v>
      </c>
      <c r="BV688" s="902"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698" t="s">
        <v>2384</v>
      </c>
      <c r="H689" s="1698"/>
      <c r="I689" s="1698"/>
      <c r="J689" s="1698"/>
      <c r="K689" s="1698"/>
      <c r="L689" s="1698"/>
      <c r="M689" s="1698"/>
      <c r="N689" s="1698"/>
      <c r="O689" s="1698"/>
      <c r="P689" s="1698"/>
      <c r="Q689" s="1698"/>
      <c r="R689" s="1698"/>
      <c r="T689" s="46"/>
      <c r="U689" s="16" t="s">
        <v>416</v>
      </c>
      <c r="Z689" s="1698"/>
      <c r="AA689" s="1698"/>
      <c r="AB689" s="1698"/>
      <c r="AC689" s="1698"/>
      <c r="AD689" s="1698"/>
      <c r="AE689" s="1698"/>
      <c r="AF689" s="1698"/>
      <c r="AG689" s="1698"/>
      <c r="AH689" s="1698"/>
      <c r="AI689" s="1698"/>
      <c r="AJ689" s="1698"/>
      <c r="AK689" s="1698"/>
      <c r="AM689" s="75"/>
      <c r="BA689" s="75">
        <f>IF($G706=0,"N/A",VLOOKUP($T$189,TC_Rent,(MATCH($B706,bedrooms,FALSE))))</f>
        <v>1990</v>
      </c>
      <c r="BB689" s="75"/>
      <c r="BC689" s="75"/>
      <c r="BD689" s="75"/>
      <c r="BE689" s="75"/>
      <c r="BF689" s="75"/>
      <c r="BG689" s="711" t="s">
        <v>1259</v>
      </c>
      <c r="BH689" s="729" t="s">
        <v>1260</v>
      </c>
      <c r="BI689" s="728" t="s">
        <v>1261</v>
      </c>
      <c r="BJ689" s="713"/>
      <c r="BK689" s="75"/>
      <c r="BL689" s="75"/>
      <c r="BM689" s="72"/>
      <c r="BN689" s="72"/>
      <c r="BO689" s="72"/>
      <c r="BP689" s="903" t="s">
        <v>32</v>
      </c>
      <c r="BQ689" s="904">
        <v>2396</v>
      </c>
      <c r="BR689" s="904">
        <v>2568</v>
      </c>
      <c r="BS689" s="904">
        <v>3082</v>
      </c>
      <c r="BT689" s="904">
        <v>3562</v>
      </c>
      <c r="BU689" s="904">
        <v>3974</v>
      </c>
      <c r="BV689" s="904">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698" t="s">
        <v>2398</v>
      </c>
      <c r="H690" s="1698"/>
      <c r="I690" s="1698"/>
      <c r="J690" s="1698"/>
      <c r="K690" s="1698"/>
      <c r="L690" s="1698"/>
      <c r="M690" s="1698"/>
      <c r="N690" s="1698"/>
      <c r="O690" s="1698"/>
      <c r="P690" s="1698"/>
      <c r="Q690" s="1698"/>
      <c r="R690" s="1698"/>
      <c r="U690" s="16" t="s">
        <v>479</v>
      </c>
      <c r="Z690" s="1688"/>
      <c r="AA690" s="1688"/>
      <c r="AB690" s="1688"/>
      <c r="AC690" s="1688"/>
      <c r="AD690" s="1688"/>
      <c r="AE690" s="1688"/>
      <c r="AF690" s="1688"/>
      <c r="AG690" s="1688"/>
      <c r="AH690" s="1688"/>
      <c r="AI690" s="1688"/>
      <c r="AJ690" s="1688"/>
      <c r="AK690" s="1688"/>
      <c r="AM690" s="75"/>
      <c r="BA690" s="75" t="str">
        <f t="shared" ref="BA690:BA713" si="29">IF($G707=0,"N/A",VLOOKUP($T$189,TC_Rent,(MATCH($B707,bedrooms,FALSE))))</f>
        <v>N/A</v>
      </c>
      <c r="BB690" s="75"/>
      <c r="BC690" s="75"/>
      <c r="BD690" s="75"/>
      <c r="BE690" s="75"/>
      <c r="BF690" s="75"/>
      <c r="BG690" s="701">
        <f>G706</f>
        <v>36</v>
      </c>
      <c r="BH690" s="714">
        <f>BG690/$BG$715</f>
        <v>0.40909090909090912</v>
      </c>
      <c r="BI690" s="716">
        <f>IF(BH690=0," ",BH690*AH706)</f>
        <v>8.1818181818181832E-2</v>
      </c>
      <c r="BJ690" s="75"/>
      <c r="BK690" s="75"/>
      <c r="BL690" s="75"/>
      <c r="BM690" s="72"/>
      <c r="BN690" s="72"/>
      <c r="BO690" s="72"/>
      <c r="BP690" s="905" t="s">
        <v>33</v>
      </c>
      <c r="BQ690" s="904">
        <v>1422</v>
      </c>
      <c r="BR690" s="904">
        <v>1522</v>
      </c>
      <c r="BS690" s="904">
        <v>1826</v>
      </c>
      <c r="BT690" s="904">
        <v>2110</v>
      </c>
      <c r="BU690" s="904">
        <v>2354</v>
      </c>
      <c r="BV690" s="904">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698" t="s">
        <v>2386</v>
      </c>
      <c r="H691" s="1698"/>
      <c r="I691" s="1698"/>
      <c r="J691" s="1698"/>
      <c r="K691" s="1698"/>
      <c r="L691" s="1698"/>
      <c r="M691" s="1698"/>
      <c r="N691" s="1698"/>
      <c r="O691" s="1698"/>
      <c r="P691" s="1698"/>
      <c r="Q691" s="1698"/>
      <c r="R691" s="1698"/>
      <c r="U691" s="16" t="s">
        <v>915</v>
      </c>
      <c r="Z691" s="1688"/>
      <c r="AA691" s="1688"/>
      <c r="AB691" s="1688"/>
      <c r="AC691" s="1688"/>
      <c r="AD691" s="1688"/>
      <c r="AE691" s="1688"/>
      <c r="AF691" s="1688"/>
      <c r="AG691" s="1688"/>
      <c r="AH691" s="1688"/>
      <c r="AI691" s="1688"/>
      <c r="AJ691" s="1688"/>
      <c r="AK691" s="1688"/>
      <c r="AM691" s="75"/>
      <c r="BA691" s="75">
        <f t="shared" si="29"/>
        <v>2132</v>
      </c>
      <c r="BB691" s="75"/>
      <c r="BC691" s="75"/>
      <c r="BD691" s="75"/>
      <c r="BE691" s="75"/>
      <c r="BF691" s="75"/>
      <c r="BG691" s="702">
        <f t="shared" ref="BG691:BG714" si="30">G707</f>
        <v>0</v>
      </c>
      <c r="BH691" s="714">
        <f t="shared" ref="BH691:BH714" si="31">BG691/$BG$715</f>
        <v>0</v>
      </c>
      <c r="BI691" s="716" t="str">
        <f t="shared" ref="BI691:BI714" si="32">IF(BH691=0," ",BH691*AH707)</f>
        <v xml:space="preserve"> </v>
      </c>
      <c r="BJ691" s="75"/>
      <c r="BK691" s="75"/>
      <c r="BL691" s="75"/>
      <c r="BM691" s="72"/>
      <c r="BN691" s="72"/>
      <c r="BO691" s="72"/>
      <c r="BP691" s="905" t="s">
        <v>432</v>
      </c>
      <c r="BQ691" s="904">
        <v>1364</v>
      </c>
      <c r="BR691" s="904">
        <v>1462</v>
      </c>
      <c r="BS691" s="904">
        <v>1754</v>
      </c>
      <c r="BT691" s="904">
        <v>2026</v>
      </c>
      <c r="BU691" s="904">
        <v>2260</v>
      </c>
      <c r="BV691" s="904">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91" t="s">
        <v>2387</v>
      </c>
      <c r="H692" s="1687"/>
      <c r="I692" s="1687"/>
      <c r="J692" s="1687"/>
      <c r="K692" s="1687"/>
      <c r="L692" s="1687"/>
      <c r="O692" s="149" t="s">
        <v>900</v>
      </c>
      <c r="P692" s="1702"/>
      <c r="Q692" s="1702"/>
      <c r="R692" s="1702"/>
      <c r="U692" s="16" t="s">
        <v>716</v>
      </c>
      <c r="Z692" s="1687"/>
      <c r="AA692" s="1687"/>
      <c r="AB692" s="1687"/>
      <c r="AC692" s="1687"/>
      <c r="AD692" s="1687"/>
      <c r="AE692" s="1687"/>
      <c r="AH692" s="149" t="s">
        <v>900</v>
      </c>
      <c r="AI692" s="1702"/>
      <c r="AJ692" s="1702"/>
      <c r="AK692" s="1702"/>
      <c r="AM692" s="75"/>
      <c r="BA692" s="75">
        <f t="shared" si="29"/>
        <v>1990</v>
      </c>
      <c r="BB692" s="72"/>
      <c r="BC692" s="72"/>
      <c r="BD692" s="72"/>
      <c r="BE692" s="72"/>
      <c r="BF692" s="72"/>
      <c r="BG692" s="702">
        <f t="shared" si="30"/>
        <v>4</v>
      </c>
      <c r="BH692" s="714">
        <f t="shared" si="31"/>
        <v>4.5454545454545456E-2</v>
      </c>
      <c r="BI692" s="716">
        <f t="shared" si="32"/>
        <v>9.0909090909090922E-3</v>
      </c>
      <c r="BJ692" s="72"/>
      <c r="BK692" s="72"/>
      <c r="BL692" s="72"/>
      <c r="BM692" s="72"/>
      <c r="BN692" s="72"/>
      <c r="BO692" s="72"/>
      <c r="BP692" s="905" t="s">
        <v>433</v>
      </c>
      <c r="BQ692" s="904">
        <v>1220</v>
      </c>
      <c r="BR692" s="904">
        <v>1306</v>
      </c>
      <c r="BS692" s="904">
        <v>1570</v>
      </c>
      <c r="BT692" s="904">
        <v>1812</v>
      </c>
      <c r="BU692" s="904">
        <v>2022</v>
      </c>
      <c r="BV692" s="904">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8" t="s">
        <v>2540</v>
      </c>
      <c r="I693" s="1698"/>
      <c r="J693" s="1698"/>
      <c r="K693" s="1698"/>
      <c r="L693" s="1698"/>
      <c r="M693" s="1698"/>
      <c r="N693" s="1698"/>
      <c r="O693" s="1698"/>
      <c r="P693" s="1698"/>
      <c r="Q693" s="1698"/>
      <c r="R693" s="1698"/>
      <c r="U693" s="16" t="s">
        <v>916</v>
      </c>
      <c r="AA693" s="1698"/>
      <c r="AB693" s="1698"/>
      <c r="AC693" s="1698"/>
      <c r="AD693" s="1698"/>
      <c r="AE693" s="1698"/>
      <c r="AF693" s="1698"/>
      <c r="AG693" s="1698"/>
      <c r="AH693" s="1698"/>
      <c r="AI693" s="1698"/>
      <c r="AJ693" s="1698"/>
      <c r="AK693" s="1698"/>
      <c r="AM693" s="72"/>
      <c r="BA693" s="75">
        <f t="shared" si="29"/>
        <v>2132</v>
      </c>
      <c r="BB693" s="72"/>
      <c r="BC693" s="72"/>
      <c r="BD693" s="72"/>
      <c r="BE693" s="72"/>
      <c r="BF693" s="72"/>
      <c r="BG693" s="702">
        <f t="shared" si="30"/>
        <v>3</v>
      </c>
      <c r="BH693" s="714">
        <f t="shared" si="31"/>
        <v>3.4090909090909088E-2</v>
      </c>
      <c r="BI693" s="716">
        <f t="shared" si="32"/>
        <v>1.0227272727272725E-2</v>
      </c>
      <c r="BJ693" s="72"/>
      <c r="BK693" s="72"/>
      <c r="BL693" s="72"/>
      <c r="BM693" s="72"/>
      <c r="BN693" s="72"/>
      <c r="BO693" s="72"/>
      <c r="BP693" s="905" t="s">
        <v>434</v>
      </c>
      <c r="BQ693" s="904">
        <v>1430</v>
      </c>
      <c r="BR693" s="904">
        <v>1532</v>
      </c>
      <c r="BS693" s="904">
        <v>1840</v>
      </c>
      <c r="BT693" s="904">
        <v>2124</v>
      </c>
      <c r="BU693" s="904">
        <v>2370</v>
      </c>
      <c r="BV693" s="904">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696" t="s">
        <v>119</v>
      </c>
      <c r="O694" s="1696"/>
      <c r="U694" s="16" t="s">
        <v>918</v>
      </c>
      <c r="AG694" s="1696" t="s">
        <v>119</v>
      </c>
      <c r="AH694" s="1696"/>
      <c r="AM694" s="72"/>
      <c r="BA694" s="75">
        <f t="shared" si="29"/>
        <v>1990</v>
      </c>
      <c r="BB694" s="72"/>
      <c r="BC694" s="72"/>
      <c r="BD694" s="72"/>
      <c r="BE694" s="72"/>
      <c r="BF694" s="72"/>
      <c r="BG694" s="702">
        <f t="shared" si="30"/>
        <v>3</v>
      </c>
      <c r="BH694" s="714">
        <f t="shared" si="31"/>
        <v>3.4090909090909088E-2</v>
      </c>
      <c r="BI694" s="716">
        <f t="shared" si="32"/>
        <v>1.0227272727272725E-2</v>
      </c>
      <c r="BJ694" s="72"/>
      <c r="BK694" s="72"/>
      <c r="BL694" s="72"/>
      <c r="BM694" s="72"/>
      <c r="BN694" s="72"/>
      <c r="BO694" s="72"/>
      <c r="BP694" s="905" t="s">
        <v>435</v>
      </c>
      <c r="BQ694" s="904">
        <v>1220</v>
      </c>
      <c r="BR694" s="904">
        <v>1306</v>
      </c>
      <c r="BS694" s="904">
        <v>1570</v>
      </c>
      <c r="BT694" s="904">
        <v>1812</v>
      </c>
      <c r="BU694" s="904">
        <v>2022</v>
      </c>
      <c r="BV694" s="904">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9"/>
        <v>1990</v>
      </c>
      <c r="BB695" s="72"/>
      <c r="BC695" s="72"/>
      <c r="BD695" s="72"/>
      <c r="BE695" s="72"/>
      <c r="BF695" s="72"/>
      <c r="BG695" s="702">
        <f t="shared" si="30"/>
        <v>3</v>
      </c>
      <c r="BH695" s="714">
        <f t="shared" si="31"/>
        <v>3.4090909090909088E-2</v>
      </c>
      <c r="BI695" s="716">
        <f t="shared" si="32"/>
        <v>1.3636363636363636E-2</v>
      </c>
      <c r="BJ695" s="72"/>
      <c r="BK695" s="72"/>
      <c r="BL695" s="72"/>
      <c r="BM695" s="72"/>
      <c r="BN695" s="72"/>
      <c r="BO695" s="72"/>
      <c r="BP695" s="905" t="s">
        <v>436</v>
      </c>
      <c r="BQ695" s="904">
        <v>2396</v>
      </c>
      <c r="BR695" s="904">
        <v>2568</v>
      </c>
      <c r="BS695" s="904">
        <v>3082</v>
      </c>
      <c r="BT695" s="904">
        <v>3562</v>
      </c>
      <c r="BU695" s="904">
        <v>3974</v>
      </c>
      <c r="BV695" s="904">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9"/>
        <v>1990</v>
      </c>
      <c r="BB696" s="72"/>
      <c r="BC696" s="72"/>
      <c r="BD696" s="72"/>
      <c r="BE696" s="72"/>
      <c r="BF696" s="72"/>
      <c r="BG696" s="702">
        <f t="shared" si="30"/>
        <v>8</v>
      </c>
      <c r="BH696" s="714">
        <f t="shared" si="31"/>
        <v>9.0909090909090912E-2</v>
      </c>
      <c r="BI696" s="716">
        <f t="shared" si="32"/>
        <v>4.5454545454545456E-2</v>
      </c>
      <c r="BJ696" s="72"/>
      <c r="BK696" s="72"/>
      <c r="BL696" s="72"/>
      <c r="BM696" s="72"/>
      <c r="BN696" s="72"/>
      <c r="BO696" s="72"/>
      <c r="BP696" s="905" t="s">
        <v>437</v>
      </c>
      <c r="BQ696" s="904">
        <v>1220</v>
      </c>
      <c r="BR696" s="904">
        <v>1306</v>
      </c>
      <c r="BS696" s="904">
        <v>1570</v>
      </c>
      <c r="BT696" s="904">
        <v>1812</v>
      </c>
      <c r="BU696" s="904">
        <v>2022</v>
      </c>
      <c r="BV696" s="904">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714" t="s">
        <v>139</v>
      </c>
      <c r="B697" s="1714"/>
      <c r="C697" s="1714"/>
      <c r="D697" s="1714"/>
      <c r="E697" s="1714"/>
      <c r="F697" s="1714"/>
      <c r="G697" s="1714"/>
      <c r="H697" s="1714"/>
      <c r="I697" s="1714"/>
      <c r="J697" s="1714"/>
      <c r="K697" s="1714"/>
      <c r="L697" s="1714"/>
      <c r="M697" s="1714"/>
      <c r="N697" s="1714"/>
      <c r="O697" s="1714"/>
      <c r="P697" s="1714"/>
      <c r="Q697" s="1714"/>
      <c r="R697" s="1714"/>
      <c r="S697" s="1714"/>
      <c r="T697" s="1714"/>
      <c r="U697" s="1714"/>
      <c r="V697" s="1714"/>
      <c r="W697" s="1714"/>
      <c r="X697" s="1714"/>
      <c r="Y697" s="1714"/>
      <c r="Z697" s="1714"/>
      <c r="AA697" s="1714"/>
      <c r="AB697" s="1714"/>
      <c r="AC697" s="1714"/>
      <c r="AD697" s="1714"/>
      <c r="AE697" s="1714"/>
      <c r="AF697" s="1714"/>
      <c r="AG697" s="1714"/>
      <c r="AH697" s="1714"/>
      <c r="AI697" s="1714"/>
      <c r="AJ697" s="1714"/>
      <c r="AK697" s="1714"/>
      <c r="AL697" s="1714"/>
      <c r="AM697" s="1714"/>
      <c r="AN697" s="1714"/>
      <c r="AO697" s="1714"/>
      <c r="BA697" s="75">
        <f t="shared" si="29"/>
        <v>2132</v>
      </c>
      <c r="BB697" s="72"/>
      <c r="BC697" s="72"/>
      <c r="BD697" s="72"/>
      <c r="BE697" s="72"/>
      <c r="BF697" s="72"/>
      <c r="BG697" s="702">
        <f t="shared" si="30"/>
        <v>8</v>
      </c>
      <c r="BH697" s="714">
        <f t="shared" si="31"/>
        <v>9.0909090909090912E-2</v>
      </c>
      <c r="BI697" s="716">
        <f t="shared" si="32"/>
        <v>5.4545454545454543E-2</v>
      </c>
      <c r="BJ697" s="72"/>
      <c r="BK697" s="72"/>
      <c r="BL697" s="72"/>
      <c r="BM697" s="72"/>
      <c r="BN697" s="72"/>
      <c r="BO697" s="72"/>
      <c r="BP697" s="905" t="s">
        <v>438</v>
      </c>
      <c r="BQ697" s="904">
        <v>1586</v>
      </c>
      <c r="BR697" s="904">
        <v>1700</v>
      </c>
      <c r="BS697" s="904">
        <v>2040</v>
      </c>
      <c r="BT697" s="904">
        <v>2356</v>
      </c>
      <c r="BU697" s="904">
        <v>2626</v>
      </c>
      <c r="BV697" s="904">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714"/>
      <c r="B698" s="1714"/>
      <c r="C698" s="1714"/>
      <c r="D698" s="1714"/>
      <c r="E698" s="1714"/>
      <c r="F698" s="1714"/>
      <c r="G698" s="1714"/>
      <c r="H698" s="1714"/>
      <c r="I698" s="1714"/>
      <c r="J698" s="1714"/>
      <c r="K698" s="1714"/>
      <c r="L698" s="1714"/>
      <c r="M698" s="1714"/>
      <c r="N698" s="1714"/>
      <c r="O698" s="1714"/>
      <c r="P698" s="1714"/>
      <c r="Q698" s="1714"/>
      <c r="R698" s="1714"/>
      <c r="S698" s="1714"/>
      <c r="T698" s="1714"/>
      <c r="U698" s="1714"/>
      <c r="V698" s="1714"/>
      <c r="W698" s="1714"/>
      <c r="X698" s="1714"/>
      <c r="Y698" s="1714"/>
      <c r="Z698" s="1714"/>
      <c r="AA698" s="1714"/>
      <c r="AB698" s="1714"/>
      <c r="AC698" s="1714"/>
      <c r="AD698" s="1714"/>
      <c r="AE698" s="1714"/>
      <c r="AF698" s="1714"/>
      <c r="AG698" s="1714"/>
      <c r="AH698" s="1714"/>
      <c r="AI698" s="1714"/>
      <c r="AJ698" s="1714"/>
      <c r="AK698" s="1714"/>
      <c r="AL698" s="1714"/>
      <c r="AM698" s="1714"/>
      <c r="AN698" s="1714"/>
      <c r="AO698" s="1714"/>
      <c r="BA698" s="75">
        <f t="shared" si="29"/>
        <v>2132</v>
      </c>
      <c r="BE698" s="72"/>
      <c r="BF698" s="72"/>
      <c r="BG698" s="702">
        <f t="shared" si="30"/>
        <v>4</v>
      </c>
      <c r="BH698" s="714">
        <f t="shared" si="31"/>
        <v>4.5454545454545456E-2</v>
      </c>
      <c r="BI698" s="716">
        <f t="shared" si="32"/>
        <v>9.0909090909090922E-3</v>
      </c>
      <c r="BJ698" s="72"/>
      <c r="BK698" s="72"/>
      <c r="BL698" s="72"/>
      <c r="BM698" s="72"/>
      <c r="BN698" s="72"/>
      <c r="BO698" s="72"/>
      <c r="BP698" s="905" t="s">
        <v>439</v>
      </c>
      <c r="BQ698" s="904">
        <v>1220</v>
      </c>
      <c r="BR698" s="904">
        <v>1306</v>
      </c>
      <c r="BS698" s="904">
        <v>1570</v>
      </c>
      <c r="BT698" s="904">
        <v>1812</v>
      </c>
      <c r="BU698" s="904">
        <v>2022</v>
      </c>
      <c r="BV698" s="904">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714"/>
      <c r="B699" s="1714"/>
      <c r="C699" s="1714"/>
      <c r="D699" s="1714"/>
      <c r="E699" s="1714"/>
      <c r="F699" s="1714"/>
      <c r="G699" s="1714"/>
      <c r="H699" s="1714"/>
      <c r="I699" s="1714"/>
      <c r="J699" s="1714"/>
      <c r="K699" s="1714"/>
      <c r="L699" s="1714"/>
      <c r="M699" s="1714"/>
      <c r="N699" s="1714"/>
      <c r="O699" s="1714"/>
      <c r="P699" s="1714"/>
      <c r="Q699" s="1714"/>
      <c r="R699" s="1714"/>
      <c r="S699" s="1714"/>
      <c r="T699" s="1714"/>
      <c r="U699" s="1714"/>
      <c r="V699" s="1714"/>
      <c r="W699" s="1714"/>
      <c r="X699" s="1714"/>
      <c r="Y699" s="1714"/>
      <c r="Z699" s="1714"/>
      <c r="AA699" s="1714"/>
      <c r="AB699" s="1714"/>
      <c r="AC699" s="1714"/>
      <c r="AD699" s="1714"/>
      <c r="AE699" s="1714"/>
      <c r="AF699" s="1714"/>
      <c r="AG699" s="1714"/>
      <c r="AH699" s="1714"/>
      <c r="AI699" s="1714"/>
      <c r="AJ699" s="1714"/>
      <c r="AK699" s="1714"/>
      <c r="AL699" s="1714"/>
      <c r="AM699" s="1714"/>
      <c r="AN699" s="1714"/>
      <c r="AO699" s="1714"/>
      <c r="BA699" s="75">
        <f t="shared" si="29"/>
        <v>2560</v>
      </c>
      <c r="BE699" s="72"/>
      <c r="BF699" s="72"/>
      <c r="BG699" s="702">
        <f t="shared" si="30"/>
        <v>2</v>
      </c>
      <c r="BH699" s="714">
        <f t="shared" si="31"/>
        <v>2.2727272727272728E-2</v>
      </c>
      <c r="BI699" s="716">
        <f t="shared" si="32"/>
        <v>6.8181818181818179E-3</v>
      </c>
      <c r="BJ699" s="72"/>
      <c r="BK699" s="72"/>
      <c r="BL699" s="72"/>
      <c r="BM699" s="72"/>
      <c r="BN699" s="72"/>
      <c r="BO699" s="72"/>
      <c r="BP699" s="905" t="s">
        <v>440</v>
      </c>
      <c r="BQ699" s="904">
        <v>1220</v>
      </c>
      <c r="BR699" s="904">
        <v>1306</v>
      </c>
      <c r="BS699" s="904">
        <v>1570</v>
      </c>
      <c r="BT699" s="904">
        <v>1812</v>
      </c>
      <c r="BU699" s="904">
        <v>2022</v>
      </c>
      <c r="BV699" s="904">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91"/>
      <c r="E700" s="1391"/>
      <c r="F700" s="1391"/>
      <c r="G700" s="1391"/>
      <c r="H700" s="1391"/>
      <c r="I700" s="1391"/>
      <c r="J700" s="1391"/>
      <c r="K700" s="1391"/>
      <c r="L700" s="1391"/>
      <c r="M700" s="1391"/>
      <c r="N700" s="1391"/>
      <c r="O700" s="1391"/>
      <c r="P700" s="1391"/>
      <c r="Q700" s="1391"/>
      <c r="R700" s="1391"/>
      <c r="S700" s="1391"/>
      <c r="T700" s="1391"/>
      <c r="U700" s="1391"/>
      <c r="V700" s="1391"/>
      <c r="W700" s="1391"/>
      <c r="X700" s="1391"/>
      <c r="Y700" s="1391"/>
      <c r="Z700" s="1391"/>
      <c r="AA700" s="1391"/>
      <c r="AB700" s="1391"/>
      <c r="AC700" s="1391"/>
      <c r="AD700" s="1391"/>
      <c r="AE700" s="1391"/>
      <c r="AF700" s="1391"/>
      <c r="AG700" s="1391"/>
      <c r="AH700" s="1391"/>
      <c r="AI700" s="1391"/>
      <c r="AJ700" s="1391"/>
      <c r="AK700" s="1391"/>
      <c r="AL700" s="1391"/>
      <c r="AM700" s="395"/>
      <c r="AN700" s="395"/>
      <c r="AO700" s="395"/>
      <c r="BA700" s="75">
        <f t="shared" si="29"/>
        <v>2956</v>
      </c>
      <c r="BE700" s="72"/>
      <c r="BF700" s="72"/>
      <c r="BG700" s="702">
        <f t="shared" si="30"/>
        <v>1</v>
      </c>
      <c r="BH700" s="714">
        <f t="shared" si="31"/>
        <v>1.1363636363636364E-2</v>
      </c>
      <c r="BI700" s="716">
        <f t="shared" si="32"/>
        <v>3.4090909090909089E-3</v>
      </c>
      <c r="BJ700" s="72"/>
      <c r="BK700" s="72"/>
      <c r="BL700" s="72"/>
      <c r="BM700" s="72"/>
      <c r="BN700" s="72"/>
      <c r="BO700" s="72"/>
      <c r="BP700" s="905" t="s">
        <v>441</v>
      </c>
      <c r="BQ700" s="904">
        <v>1220</v>
      </c>
      <c r="BR700" s="904">
        <v>1306</v>
      </c>
      <c r="BS700" s="904">
        <v>1570</v>
      </c>
      <c r="BT700" s="904">
        <v>1812</v>
      </c>
      <c r="BU700" s="904">
        <v>2022</v>
      </c>
      <c r="BV700" s="904">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47"/>
      <c r="C701" s="116"/>
      <c r="D701" s="1391"/>
      <c r="E701" s="1391"/>
      <c r="F701" s="1391"/>
      <c r="G701" s="1391"/>
      <c r="H701" s="1391"/>
      <c r="I701" s="1391"/>
      <c r="J701" s="1391"/>
      <c r="K701" s="1391"/>
      <c r="L701" s="1391"/>
      <c r="M701" s="1391"/>
      <c r="N701" s="1391"/>
      <c r="O701" s="1391"/>
      <c r="P701" s="1391"/>
      <c r="Q701" s="1391"/>
      <c r="R701" s="1391"/>
      <c r="S701" s="1391"/>
      <c r="T701" s="1391"/>
      <c r="U701" s="1391"/>
      <c r="V701" s="1391"/>
      <c r="W701" s="1391"/>
      <c r="X701" s="1391"/>
      <c r="Y701" s="1391"/>
      <c r="Z701" s="1391"/>
      <c r="AA701" s="1391"/>
      <c r="AB701" s="1391"/>
      <c r="AC701" s="1391"/>
      <c r="AD701" s="1391"/>
      <c r="AE701" s="1391"/>
      <c r="AF701" s="1391"/>
      <c r="AG701" s="1391"/>
      <c r="AH701" s="1391"/>
      <c r="AI701" s="1391"/>
      <c r="AJ701" s="1391"/>
      <c r="AK701" s="1391"/>
      <c r="AL701" s="1391"/>
      <c r="AM701" s="395"/>
      <c r="AN701" s="395"/>
      <c r="AO701" s="395"/>
      <c r="BA701" s="75">
        <f t="shared" si="29"/>
        <v>2132</v>
      </c>
      <c r="BE701" s="72"/>
      <c r="BF701" s="72"/>
      <c r="BG701" s="702">
        <f t="shared" si="30"/>
        <v>1</v>
      </c>
      <c r="BH701" s="714">
        <f t="shared" si="31"/>
        <v>1.1363636363636364E-2</v>
      </c>
      <c r="BI701" s="716">
        <f t="shared" si="32"/>
        <v>3.4090909090909089E-3</v>
      </c>
      <c r="BJ701" s="72"/>
      <c r="BK701" s="72"/>
      <c r="BL701" s="72"/>
      <c r="BM701" s="72"/>
      <c r="BN701" s="72"/>
      <c r="BO701" s="72"/>
      <c r="BP701" s="905" t="s">
        <v>442</v>
      </c>
      <c r="BQ701" s="904">
        <v>1220</v>
      </c>
      <c r="BR701" s="904">
        <v>1306</v>
      </c>
      <c r="BS701" s="904">
        <v>1570</v>
      </c>
      <c r="BT701" s="904">
        <v>1812</v>
      </c>
      <c r="BU701" s="904">
        <v>2022</v>
      </c>
      <c r="BV701" s="904">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1"/>
      <c r="B702" s="1829" t="s">
        <v>59</v>
      </c>
      <c r="C702" s="1830"/>
      <c r="D702" s="1830"/>
      <c r="E702" s="1830"/>
      <c r="F702" s="1831"/>
      <c r="G702" s="1829" t="s">
        <v>284</v>
      </c>
      <c r="H702" s="1830"/>
      <c r="I702" s="1830"/>
      <c r="J702" s="1831"/>
      <c r="K702" s="1956" t="s">
        <v>2288</v>
      </c>
      <c r="L702" s="1957"/>
      <c r="M702" s="1957"/>
      <c r="N702" s="1958"/>
      <c r="O702" s="1829" t="s">
        <v>655</v>
      </c>
      <c r="P702" s="1830"/>
      <c r="Q702" s="1830"/>
      <c r="R702" s="1830"/>
      <c r="S702" s="1831"/>
      <c r="T702" s="1829" t="s">
        <v>285</v>
      </c>
      <c r="U702" s="1830"/>
      <c r="V702" s="1830"/>
      <c r="W702" s="1830"/>
      <c r="X702" s="1831"/>
      <c r="Y702" s="1829" t="s">
        <v>286</v>
      </c>
      <c r="Z702" s="1830"/>
      <c r="AA702" s="1830"/>
      <c r="AB702" s="1831"/>
      <c r="AC702" s="1829" t="s">
        <v>287</v>
      </c>
      <c r="AD702" s="1830"/>
      <c r="AE702" s="1830"/>
      <c r="AF702" s="1830"/>
      <c r="AG702" s="1831"/>
      <c r="AH702" s="1829" t="s">
        <v>2289</v>
      </c>
      <c r="AI702" s="1830"/>
      <c r="AJ702" s="1830"/>
      <c r="AK702" s="1830"/>
      <c r="AL702" s="1831"/>
      <c r="AM702" s="1829" t="s">
        <v>2290</v>
      </c>
      <c r="AN702" s="1830"/>
      <c r="AO702" s="1831"/>
      <c r="BA702" s="75">
        <f t="shared" si="29"/>
        <v>2132</v>
      </c>
      <c r="BB702" s="72"/>
      <c r="BC702" s="72"/>
      <c r="BD702" s="72"/>
      <c r="BE702" s="72"/>
      <c r="BF702" s="72"/>
      <c r="BG702" s="702">
        <f t="shared" si="30"/>
        <v>2</v>
      </c>
      <c r="BH702" s="714">
        <f t="shared" si="31"/>
        <v>2.2727272727272728E-2</v>
      </c>
      <c r="BI702" s="716">
        <f t="shared" si="32"/>
        <v>1.1363636363636364E-2</v>
      </c>
      <c r="BJ702" s="72"/>
      <c r="BK702" s="72"/>
      <c r="BL702" s="72"/>
      <c r="BM702" s="72"/>
      <c r="BN702" s="72"/>
      <c r="BO702" s="72"/>
      <c r="BP702" s="905" t="s">
        <v>443</v>
      </c>
      <c r="BQ702" s="904">
        <v>1296</v>
      </c>
      <c r="BR702" s="904">
        <v>1390</v>
      </c>
      <c r="BS702" s="904">
        <v>1666</v>
      </c>
      <c r="BT702" s="904">
        <v>1926</v>
      </c>
      <c r="BU702" s="904">
        <v>2150</v>
      </c>
      <c r="BV702" s="904">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1"/>
      <c r="B703" s="1832"/>
      <c r="C703" s="1833"/>
      <c r="D703" s="1833"/>
      <c r="E703" s="1833"/>
      <c r="F703" s="1834"/>
      <c r="G703" s="1832"/>
      <c r="H703" s="1833"/>
      <c r="I703" s="1833"/>
      <c r="J703" s="1834"/>
      <c r="K703" s="1959"/>
      <c r="L703" s="1960"/>
      <c r="M703" s="1960"/>
      <c r="N703" s="1961"/>
      <c r="O703" s="1832"/>
      <c r="P703" s="1833"/>
      <c r="Q703" s="1833"/>
      <c r="R703" s="1833"/>
      <c r="S703" s="1834"/>
      <c r="T703" s="1832"/>
      <c r="U703" s="1833"/>
      <c r="V703" s="1833"/>
      <c r="W703" s="1833"/>
      <c r="X703" s="1834"/>
      <c r="Y703" s="1832"/>
      <c r="Z703" s="1833"/>
      <c r="AA703" s="1833"/>
      <c r="AB703" s="1834"/>
      <c r="AC703" s="1832"/>
      <c r="AD703" s="1833"/>
      <c r="AE703" s="1833"/>
      <c r="AF703" s="1833"/>
      <c r="AG703" s="1834"/>
      <c r="AH703" s="1832"/>
      <c r="AI703" s="1833"/>
      <c r="AJ703" s="1833"/>
      <c r="AK703" s="1833"/>
      <c r="AL703" s="1834"/>
      <c r="AM703" s="1832"/>
      <c r="AN703" s="1833"/>
      <c r="AO703" s="1834"/>
      <c r="BA703" s="75">
        <f t="shared" si="29"/>
        <v>2560</v>
      </c>
      <c r="BB703" s="72"/>
      <c r="BC703" s="72"/>
      <c r="BD703" s="72"/>
      <c r="BE703" s="72"/>
      <c r="BF703" s="72"/>
      <c r="BG703" s="702">
        <f t="shared" si="30"/>
        <v>4</v>
      </c>
      <c r="BH703" s="714">
        <f t="shared" si="31"/>
        <v>4.5454545454545456E-2</v>
      </c>
      <c r="BI703" s="716">
        <f t="shared" si="32"/>
        <v>2.7272727272727271E-2</v>
      </c>
      <c r="BJ703" s="72"/>
      <c r="BK703" s="72"/>
      <c r="BL703" s="72"/>
      <c r="BM703" s="72"/>
      <c r="BN703" s="72"/>
      <c r="BO703" s="72"/>
      <c r="BP703" s="905" t="s">
        <v>444</v>
      </c>
      <c r="BQ703" s="904">
        <v>1220</v>
      </c>
      <c r="BR703" s="904">
        <v>1306</v>
      </c>
      <c r="BS703" s="904">
        <v>1570</v>
      </c>
      <c r="BT703" s="904">
        <v>1812</v>
      </c>
      <c r="BU703" s="904">
        <v>2022</v>
      </c>
      <c r="BV703" s="904">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832"/>
      <c r="C704" s="1833"/>
      <c r="D704" s="1833"/>
      <c r="E704" s="1833"/>
      <c r="F704" s="1834"/>
      <c r="G704" s="1832"/>
      <c r="H704" s="1833"/>
      <c r="I704" s="1833"/>
      <c r="J704" s="1834"/>
      <c r="K704" s="1959"/>
      <c r="L704" s="1960"/>
      <c r="M704" s="1960"/>
      <c r="N704" s="1961"/>
      <c r="O704" s="1832"/>
      <c r="P704" s="1833"/>
      <c r="Q704" s="1833"/>
      <c r="R704" s="1833"/>
      <c r="S704" s="1834"/>
      <c r="T704" s="1832"/>
      <c r="U704" s="1833"/>
      <c r="V704" s="1833"/>
      <c r="W704" s="1833"/>
      <c r="X704" s="1834"/>
      <c r="Y704" s="1832"/>
      <c r="Z704" s="1833"/>
      <c r="AA704" s="1833"/>
      <c r="AB704" s="1834"/>
      <c r="AC704" s="1832"/>
      <c r="AD704" s="1833"/>
      <c r="AE704" s="1833"/>
      <c r="AF704" s="1833"/>
      <c r="AG704" s="1834"/>
      <c r="AH704" s="1832"/>
      <c r="AI704" s="1833"/>
      <c r="AJ704" s="1833"/>
      <c r="AK704" s="1833"/>
      <c r="AL704" s="1834"/>
      <c r="AM704" s="1832"/>
      <c r="AN704" s="1833"/>
      <c r="AO704" s="1834"/>
      <c r="BA704" s="75">
        <f t="shared" si="29"/>
        <v>2956</v>
      </c>
      <c r="BB704" s="72"/>
      <c r="BC704" s="72"/>
      <c r="BD704" s="72"/>
      <c r="BE704" s="72"/>
      <c r="BF704" s="72"/>
      <c r="BG704" s="702">
        <f t="shared" si="30"/>
        <v>5</v>
      </c>
      <c r="BH704" s="714">
        <f t="shared" si="31"/>
        <v>5.6818181818181816E-2</v>
      </c>
      <c r="BI704" s="716">
        <f t="shared" si="32"/>
        <v>3.4090909090909088E-2</v>
      </c>
      <c r="BJ704" s="72"/>
      <c r="BK704" s="72"/>
      <c r="BL704" s="72"/>
      <c r="BM704" s="72"/>
      <c r="BN704" s="72"/>
      <c r="BO704" s="72"/>
      <c r="BP704" s="905" t="s">
        <v>445</v>
      </c>
      <c r="BQ704" s="904">
        <v>1220</v>
      </c>
      <c r="BR704" s="904">
        <v>1306</v>
      </c>
      <c r="BS704" s="904">
        <v>1570</v>
      </c>
      <c r="BT704" s="904">
        <v>1812</v>
      </c>
      <c r="BU704" s="904">
        <v>2022</v>
      </c>
      <c r="BV704" s="904">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835"/>
      <c r="C705" s="1836"/>
      <c r="D705" s="1836"/>
      <c r="E705" s="1836"/>
      <c r="F705" s="1837"/>
      <c r="G705" s="1835"/>
      <c r="H705" s="1836"/>
      <c r="I705" s="1836"/>
      <c r="J705" s="1837"/>
      <c r="K705" s="1959"/>
      <c r="L705" s="1960"/>
      <c r="M705" s="1960"/>
      <c r="N705" s="1961"/>
      <c r="O705" s="1835"/>
      <c r="P705" s="1836"/>
      <c r="Q705" s="1836"/>
      <c r="R705" s="1836"/>
      <c r="S705" s="1837"/>
      <c r="T705" s="1835"/>
      <c r="U705" s="1836"/>
      <c r="V705" s="1836"/>
      <c r="W705" s="1836"/>
      <c r="X705" s="1837"/>
      <c r="Y705" s="1835"/>
      <c r="Z705" s="1836"/>
      <c r="AA705" s="1836"/>
      <c r="AB705" s="1837"/>
      <c r="AC705" s="1835"/>
      <c r="AD705" s="1836"/>
      <c r="AE705" s="1836"/>
      <c r="AF705" s="1836"/>
      <c r="AG705" s="1837"/>
      <c r="AH705" s="1835"/>
      <c r="AI705" s="1836"/>
      <c r="AJ705" s="1836"/>
      <c r="AK705" s="1836"/>
      <c r="AL705" s="1837"/>
      <c r="AM705" s="1835"/>
      <c r="AN705" s="1836"/>
      <c r="AO705" s="1837"/>
      <c r="BA705" s="75" t="str">
        <f t="shared" si="29"/>
        <v>N/A</v>
      </c>
      <c r="BB705" s="72"/>
      <c r="BC705" s="72"/>
      <c r="BD705" s="72"/>
      <c r="BE705" s="72"/>
      <c r="BF705" s="72"/>
      <c r="BG705" s="702">
        <f t="shared" si="30"/>
        <v>4</v>
      </c>
      <c r="BH705" s="714">
        <f t="shared" si="31"/>
        <v>4.5454545454545456E-2</v>
      </c>
      <c r="BI705" s="716">
        <f t="shared" si="32"/>
        <v>2.7272727272727271E-2</v>
      </c>
      <c r="BJ705" s="72"/>
      <c r="BK705" s="72"/>
      <c r="BL705" s="72"/>
      <c r="BM705" s="72"/>
      <c r="BN705" s="72"/>
      <c r="BO705" s="72"/>
      <c r="BP705" s="905" t="s">
        <v>446</v>
      </c>
      <c r="BQ705" s="904">
        <v>1220</v>
      </c>
      <c r="BR705" s="904">
        <v>1306</v>
      </c>
      <c r="BS705" s="904">
        <v>1570</v>
      </c>
      <c r="BT705" s="904">
        <v>1812</v>
      </c>
      <c r="BU705" s="904">
        <v>2022</v>
      </c>
      <c r="BV705" s="904">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71" t="s">
        <v>490</v>
      </c>
      <c r="C706" s="1772"/>
      <c r="D706" s="1772"/>
      <c r="E706" s="1772"/>
      <c r="F706" s="1773"/>
      <c r="G706" s="1768">
        <f>28+8</f>
        <v>36</v>
      </c>
      <c r="H706" s="1769"/>
      <c r="I706" s="1769"/>
      <c r="J706" s="1770"/>
      <c r="K706" s="1779">
        <v>309</v>
      </c>
      <c r="L706" s="1780"/>
      <c r="M706" s="1780"/>
      <c r="N706" s="1781"/>
      <c r="O706" s="1782">
        <v>398</v>
      </c>
      <c r="P706" s="1783"/>
      <c r="Q706" s="1783"/>
      <c r="R706" s="1783"/>
      <c r="S706" s="1784"/>
      <c r="T706" s="1785">
        <f t="shared" ref="T706:T730" si="33">G706*O706</f>
        <v>14328</v>
      </c>
      <c r="U706" s="1786"/>
      <c r="V706" s="1786"/>
      <c r="W706" s="1786"/>
      <c r="X706" s="1787"/>
      <c r="Y706" s="1782">
        <v>0</v>
      </c>
      <c r="Z706" s="1783"/>
      <c r="AA706" s="1783"/>
      <c r="AB706" s="1784"/>
      <c r="AC706" s="1785">
        <f t="shared" ref="AC706:AC730" si="34">O706+Y706</f>
        <v>398</v>
      </c>
      <c r="AD706" s="1786"/>
      <c r="AE706" s="1786"/>
      <c r="AF706" s="1786"/>
      <c r="AG706" s="1787"/>
      <c r="AH706" s="2152">
        <v>0.2</v>
      </c>
      <c r="AI706" s="2153"/>
      <c r="AJ706" s="2153"/>
      <c r="AK706" s="2153"/>
      <c r="AL706" s="2154"/>
      <c r="AM706" s="1797">
        <f>IF($AH706&gt;0,($AC706/$BA689)," ")</f>
        <v>0.2</v>
      </c>
      <c r="AN706" s="1798"/>
      <c r="AO706" s="1799"/>
      <c r="BA706" s="75" t="str">
        <f t="shared" si="29"/>
        <v>N/A</v>
      </c>
      <c r="BB706" s="72"/>
      <c r="BC706" s="72"/>
      <c r="BD706" s="72"/>
      <c r="BE706" s="72"/>
      <c r="BF706" s="72"/>
      <c r="BG706" s="702">
        <f t="shared" si="30"/>
        <v>0</v>
      </c>
      <c r="BH706" s="714">
        <f t="shared" si="31"/>
        <v>0</v>
      </c>
      <c r="BI706" s="716" t="str">
        <f t="shared" si="32"/>
        <v xml:space="preserve"> </v>
      </c>
      <c r="BJ706" s="72"/>
      <c r="BK706" s="72"/>
      <c r="BL706" s="72"/>
      <c r="BM706" s="72"/>
      <c r="BN706" s="72"/>
      <c r="BO706" s="72"/>
      <c r="BP706" s="905" t="s">
        <v>447</v>
      </c>
      <c r="BQ706" s="904">
        <v>1264</v>
      </c>
      <c r="BR706" s="904">
        <v>1354</v>
      </c>
      <c r="BS706" s="904">
        <v>1624</v>
      </c>
      <c r="BT706" s="904">
        <v>1876</v>
      </c>
      <c r="BU706" s="904">
        <v>2094</v>
      </c>
      <c r="BV706" s="904">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71"/>
      <c r="C707" s="1772"/>
      <c r="D707" s="1772"/>
      <c r="E707" s="1772"/>
      <c r="F707" s="1773"/>
      <c r="G707" s="1768"/>
      <c r="H707" s="1769"/>
      <c r="I707" s="1769"/>
      <c r="J707" s="1770"/>
      <c r="K707" s="1779"/>
      <c r="L707" s="1780"/>
      <c r="M707" s="1780"/>
      <c r="N707" s="1781"/>
      <c r="O707" s="1782"/>
      <c r="P707" s="1783"/>
      <c r="Q707" s="1783"/>
      <c r="R707" s="1783"/>
      <c r="S707" s="1784"/>
      <c r="T707" s="1785">
        <f t="shared" si="33"/>
        <v>0</v>
      </c>
      <c r="U707" s="1786"/>
      <c r="V707" s="1786"/>
      <c r="W707" s="1786"/>
      <c r="X707" s="1787"/>
      <c r="Y707" s="1782">
        <v>0</v>
      </c>
      <c r="Z707" s="1783"/>
      <c r="AA707" s="1783"/>
      <c r="AB707" s="1784"/>
      <c r="AC707" s="1785">
        <f t="shared" si="34"/>
        <v>0</v>
      </c>
      <c r="AD707" s="1786"/>
      <c r="AE707" s="1786"/>
      <c r="AF707" s="1786"/>
      <c r="AG707" s="1787"/>
      <c r="AH707" s="1794"/>
      <c r="AI707" s="1795"/>
      <c r="AJ707" s="1795"/>
      <c r="AK707" s="1795"/>
      <c r="AL707" s="1796"/>
      <c r="AM707" s="1797" t="str">
        <f t="shared" ref="AM707:AM730" si="35">IF($AH707&gt;0,($AC707/$BA690), " ")</f>
        <v xml:space="preserve"> </v>
      </c>
      <c r="AN707" s="1798"/>
      <c r="AO707" s="1799"/>
      <c r="BA707" s="75" t="str">
        <f t="shared" si="29"/>
        <v>N/A</v>
      </c>
      <c r="BB707" s="72"/>
      <c r="BC707" s="72"/>
      <c r="BD707" s="72"/>
      <c r="BE707" s="72"/>
      <c r="BF707" s="72"/>
      <c r="BG707" s="702">
        <f t="shared" si="30"/>
        <v>0</v>
      </c>
      <c r="BH707" s="714">
        <f t="shared" si="31"/>
        <v>0</v>
      </c>
      <c r="BI707" s="716" t="str">
        <f t="shared" si="32"/>
        <v xml:space="preserve"> </v>
      </c>
      <c r="BJ707" s="72"/>
      <c r="BK707" s="72"/>
      <c r="BL707" s="72"/>
      <c r="BM707" s="72"/>
      <c r="BN707" s="72"/>
      <c r="BO707" s="72"/>
      <c r="BP707" s="905" t="s">
        <v>448</v>
      </c>
      <c r="BQ707" s="904">
        <v>2070</v>
      </c>
      <c r="BR707" s="904">
        <v>2216</v>
      </c>
      <c r="BS707" s="904">
        <v>2660</v>
      </c>
      <c r="BT707" s="904">
        <v>3072</v>
      </c>
      <c r="BU707" s="904">
        <v>3430</v>
      </c>
      <c r="BV707" s="904">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71" t="s">
        <v>491</v>
      </c>
      <c r="C708" s="1772"/>
      <c r="D708" s="1772"/>
      <c r="E708" s="1772"/>
      <c r="F708" s="1773"/>
      <c r="G708" s="1768">
        <v>4</v>
      </c>
      <c r="H708" s="1769"/>
      <c r="I708" s="1769"/>
      <c r="J708" s="1770"/>
      <c r="K708" s="1779">
        <v>600</v>
      </c>
      <c r="L708" s="1780"/>
      <c r="M708" s="1780"/>
      <c r="N708" s="1781"/>
      <c r="O708" s="1782">
        <v>398</v>
      </c>
      <c r="P708" s="1783"/>
      <c r="Q708" s="1783"/>
      <c r="R708" s="1783"/>
      <c r="S708" s="1784"/>
      <c r="T708" s="1785">
        <f t="shared" si="33"/>
        <v>1592</v>
      </c>
      <c r="U708" s="1786"/>
      <c r="V708" s="1786"/>
      <c r="W708" s="1786"/>
      <c r="X708" s="1787"/>
      <c r="Y708" s="1782">
        <v>0</v>
      </c>
      <c r="Z708" s="1783"/>
      <c r="AA708" s="1783"/>
      <c r="AB708" s="1784"/>
      <c r="AC708" s="1785">
        <f t="shared" si="34"/>
        <v>398</v>
      </c>
      <c r="AD708" s="1786"/>
      <c r="AE708" s="1786"/>
      <c r="AF708" s="1786"/>
      <c r="AG708" s="1787"/>
      <c r="AH708" s="1794">
        <v>0.2</v>
      </c>
      <c r="AI708" s="1795"/>
      <c r="AJ708" s="1795"/>
      <c r="AK708" s="1795"/>
      <c r="AL708" s="1796"/>
      <c r="AM708" s="1797">
        <f t="shared" si="35"/>
        <v>0.18667917448405252</v>
      </c>
      <c r="AN708" s="1798"/>
      <c r="AO708" s="1799"/>
      <c r="BA708" s="75" t="str">
        <f t="shared" si="29"/>
        <v>N/A</v>
      </c>
      <c r="BB708" s="72"/>
      <c r="BC708" s="72"/>
      <c r="BD708" s="72"/>
      <c r="BE708" s="72"/>
      <c r="BF708" s="72"/>
      <c r="BG708" s="702">
        <f t="shared" si="30"/>
        <v>0</v>
      </c>
      <c r="BH708" s="714">
        <f t="shared" si="31"/>
        <v>0</v>
      </c>
      <c r="BI708" s="716" t="str">
        <f t="shared" si="32"/>
        <v xml:space="preserve"> </v>
      </c>
      <c r="BJ708" s="72"/>
      <c r="BK708" s="72"/>
      <c r="BL708" s="72"/>
      <c r="BM708" s="72"/>
      <c r="BN708" s="72"/>
      <c r="BO708" s="72"/>
      <c r="BP708" s="905" t="s">
        <v>449</v>
      </c>
      <c r="BQ708" s="904">
        <v>1220</v>
      </c>
      <c r="BR708" s="904">
        <v>1306</v>
      </c>
      <c r="BS708" s="904">
        <v>1570</v>
      </c>
      <c r="BT708" s="904">
        <v>1812</v>
      </c>
      <c r="BU708" s="904">
        <v>2022</v>
      </c>
      <c r="BV708" s="904">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1"/>
      <c r="B709" s="1771" t="s">
        <v>490</v>
      </c>
      <c r="C709" s="1772"/>
      <c r="D709" s="1772"/>
      <c r="E709" s="1772"/>
      <c r="F709" s="1773"/>
      <c r="G709" s="1768">
        <v>3</v>
      </c>
      <c r="H709" s="1769"/>
      <c r="I709" s="1769"/>
      <c r="J709" s="1770"/>
      <c r="K709" s="1779">
        <v>309</v>
      </c>
      <c r="L709" s="1780"/>
      <c r="M709" s="1780"/>
      <c r="N709" s="1781"/>
      <c r="O709" s="1782">
        <v>597</v>
      </c>
      <c r="P709" s="1783"/>
      <c r="Q709" s="1783"/>
      <c r="R709" s="1783"/>
      <c r="S709" s="1784"/>
      <c r="T709" s="1785">
        <f t="shared" si="33"/>
        <v>1791</v>
      </c>
      <c r="U709" s="1786"/>
      <c r="V709" s="1786"/>
      <c r="W709" s="1786"/>
      <c r="X709" s="1787"/>
      <c r="Y709" s="1782">
        <v>0</v>
      </c>
      <c r="Z709" s="1783"/>
      <c r="AA709" s="1783"/>
      <c r="AB709" s="1784"/>
      <c r="AC709" s="1785">
        <f t="shared" si="34"/>
        <v>597</v>
      </c>
      <c r="AD709" s="1786"/>
      <c r="AE709" s="1786"/>
      <c r="AF709" s="1786"/>
      <c r="AG709" s="1787"/>
      <c r="AH709" s="1794">
        <v>0.3</v>
      </c>
      <c r="AI709" s="1795"/>
      <c r="AJ709" s="1795"/>
      <c r="AK709" s="1795"/>
      <c r="AL709" s="1796"/>
      <c r="AM709" s="1797">
        <f t="shared" si="35"/>
        <v>0.3</v>
      </c>
      <c r="AN709" s="1798"/>
      <c r="AO709" s="1799"/>
      <c r="BA709" s="75" t="str">
        <f t="shared" si="29"/>
        <v>N/A</v>
      </c>
      <c r="BB709" s="72"/>
      <c r="BC709" s="72"/>
      <c r="BD709" s="72"/>
      <c r="BE709" s="72"/>
      <c r="BF709" s="72"/>
      <c r="BG709" s="702">
        <f t="shared" si="30"/>
        <v>0</v>
      </c>
      <c r="BH709" s="714">
        <f t="shared" si="31"/>
        <v>0</v>
      </c>
      <c r="BI709" s="716" t="str">
        <f t="shared" si="32"/>
        <v xml:space="preserve"> </v>
      </c>
      <c r="BJ709" s="72"/>
      <c r="BK709" s="72"/>
      <c r="BL709" s="72"/>
      <c r="BM709" s="72"/>
      <c r="BN709" s="72"/>
      <c r="BO709" s="72"/>
      <c r="BP709" s="905" t="s">
        <v>450</v>
      </c>
      <c r="BQ709" s="904">
        <v>3196</v>
      </c>
      <c r="BR709" s="904">
        <v>3426</v>
      </c>
      <c r="BS709" s="904">
        <v>4112</v>
      </c>
      <c r="BT709" s="904">
        <v>4750</v>
      </c>
      <c r="BU709" s="904">
        <v>5300</v>
      </c>
      <c r="BV709" s="904">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1"/>
      <c r="B710" s="1771" t="s">
        <v>491</v>
      </c>
      <c r="C710" s="1772"/>
      <c r="D710" s="1772"/>
      <c r="E710" s="1772"/>
      <c r="F710" s="1773"/>
      <c r="G710" s="1768">
        <v>3</v>
      </c>
      <c r="H710" s="1769"/>
      <c r="I710" s="1769"/>
      <c r="J710" s="1770"/>
      <c r="K710" s="1779">
        <v>600</v>
      </c>
      <c r="L710" s="1780"/>
      <c r="M710" s="1780"/>
      <c r="N710" s="1781"/>
      <c r="O710" s="1782">
        <v>639</v>
      </c>
      <c r="P710" s="1783"/>
      <c r="Q710" s="1783"/>
      <c r="R710" s="1783"/>
      <c r="S710" s="1784"/>
      <c r="T710" s="1785">
        <f t="shared" si="33"/>
        <v>1917</v>
      </c>
      <c r="U710" s="1786"/>
      <c r="V710" s="1786"/>
      <c r="W710" s="1786"/>
      <c r="X710" s="1787"/>
      <c r="Y710" s="1782">
        <v>0</v>
      </c>
      <c r="Z710" s="1783"/>
      <c r="AA710" s="1783"/>
      <c r="AB710" s="1784"/>
      <c r="AC710" s="1785">
        <f t="shared" si="34"/>
        <v>639</v>
      </c>
      <c r="AD710" s="1786"/>
      <c r="AE710" s="1786"/>
      <c r="AF710" s="1786"/>
      <c r="AG710" s="1787"/>
      <c r="AH710" s="1794">
        <v>0.3</v>
      </c>
      <c r="AI710" s="1795"/>
      <c r="AJ710" s="1795"/>
      <c r="AK710" s="1795"/>
      <c r="AL710" s="1796"/>
      <c r="AM710" s="1797">
        <f t="shared" si="35"/>
        <v>0.29971857410881803</v>
      </c>
      <c r="AN710" s="1798"/>
      <c r="AO710" s="1799"/>
      <c r="BA710" s="75" t="str">
        <f t="shared" si="29"/>
        <v>N/A</v>
      </c>
      <c r="BB710" s="72"/>
      <c r="BC710" s="72"/>
      <c r="BD710" s="72"/>
      <c r="BE710" s="72"/>
      <c r="BF710" s="72"/>
      <c r="BG710" s="702">
        <f t="shared" si="30"/>
        <v>0</v>
      </c>
      <c r="BH710" s="714">
        <f t="shared" si="31"/>
        <v>0</v>
      </c>
      <c r="BI710" s="716" t="str">
        <f t="shared" si="32"/>
        <v xml:space="preserve"> </v>
      </c>
      <c r="BJ710" s="72"/>
      <c r="BK710" s="72"/>
      <c r="BL710" s="72"/>
      <c r="BM710" s="72"/>
      <c r="BN710" s="72"/>
      <c r="BO710" s="72"/>
      <c r="BP710" s="905" t="s">
        <v>451</v>
      </c>
      <c r="BQ710" s="904">
        <v>1220</v>
      </c>
      <c r="BR710" s="904">
        <v>1306</v>
      </c>
      <c r="BS710" s="904">
        <v>1570</v>
      </c>
      <c r="BT710" s="904">
        <v>1812</v>
      </c>
      <c r="BU710" s="904">
        <v>2022</v>
      </c>
      <c r="BV710" s="904">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1"/>
      <c r="B711" s="1771" t="s">
        <v>490</v>
      </c>
      <c r="C711" s="1772"/>
      <c r="D711" s="1772"/>
      <c r="E711" s="1772"/>
      <c r="F711" s="1773"/>
      <c r="G711" s="1768">
        <v>3</v>
      </c>
      <c r="H711" s="1769"/>
      <c r="I711" s="1769"/>
      <c r="J711" s="1770"/>
      <c r="K711" s="1779">
        <v>309</v>
      </c>
      <c r="L711" s="1780"/>
      <c r="M711" s="1780"/>
      <c r="N711" s="1781"/>
      <c r="O711" s="1782">
        <v>745</v>
      </c>
      <c r="P711" s="1783"/>
      <c r="Q711" s="1783"/>
      <c r="R711" s="1783"/>
      <c r="S711" s="1784"/>
      <c r="T711" s="1785">
        <f t="shared" si="33"/>
        <v>2235</v>
      </c>
      <c r="U711" s="1786"/>
      <c r="V711" s="1786"/>
      <c r="W711" s="1786"/>
      <c r="X711" s="1787"/>
      <c r="Y711" s="1782">
        <v>0</v>
      </c>
      <c r="Z711" s="1783"/>
      <c r="AA711" s="1783"/>
      <c r="AB711" s="1784"/>
      <c r="AC711" s="1785">
        <f t="shared" si="34"/>
        <v>745</v>
      </c>
      <c r="AD711" s="1786"/>
      <c r="AE711" s="1786"/>
      <c r="AF711" s="1786"/>
      <c r="AG711" s="1787"/>
      <c r="AH711" s="1794">
        <v>0.4</v>
      </c>
      <c r="AI711" s="1795"/>
      <c r="AJ711" s="1795"/>
      <c r="AK711" s="1795"/>
      <c r="AL711" s="1796"/>
      <c r="AM711" s="1797">
        <f t="shared" si="35"/>
        <v>0.37437185929648242</v>
      </c>
      <c r="AN711" s="1798"/>
      <c r="AO711" s="1799"/>
      <c r="BA711" s="75" t="str">
        <f t="shared" si="29"/>
        <v>N/A</v>
      </c>
      <c r="BB711" s="72"/>
      <c r="BC711" s="72"/>
      <c r="BD711" s="72"/>
      <c r="BE711" s="72"/>
      <c r="BF711" s="72"/>
      <c r="BG711" s="702">
        <f t="shared" si="30"/>
        <v>0</v>
      </c>
      <c r="BH711" s="714">
        <f t="shared" si="31"/>
        <v>0</v>
      </c>
      <c r="BI711" s="716" t="str">
        <f t="shared" si="32"/>
        <v xml:space="preserve"> </v>
      </c>
      <c r="BJ711" s="72"/>
      <c r="BK711" s="72"/>
      <c r="BL711" s="72"/>
      <c r="BM711" s="72"/>
      <c r="BN711" s="72"/>
      <c r="BO711" s="72"/>
      <c r="BP711" s="905" t="s">
        <v>452</v>
      </c>
      <c r="BQ711" s="904">
        <v>1266</v>
      </c>
      <c r="BR711" s="904">
        <v>1356</v>
      </c>
      <c r="BS711" s="904">
        <v>1626</v>
      </c>
      <c r="BT711" s="904">
        <v>1880</v>
      </c>
      <c r="BU711" s="904">
        <v>2096</v>
      </c>
      <c r="BV711" s="904">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1"/>
      <c r="B712" s="1771" t="s">
        <v>490</v>
      </c>
      <c r="C712" s="1772"/>
      <c r="D712" s="1772"/>
      <c r="E712" s="1772"/>
      <c r="F712" s="1773"/>
      <c r="G712" s="1768">
        <v>8</v>
      </c>
      <c r="H712" s="1769"/>
      <c r="I712" s="1769"/>
      <c r="J712" s="1770"/>
      <c r="K712" s="1779">
        <v>309</v>
      </c>
      <c r="L712" s="1780"/>
      <c r="M712" s="1780"/>
      <c r="N712" s="1781"/>
      <c r="O712" s="1782">
        <v>745</v>
      </c>
      <c r="P712" s="1783"/>
      <c r="Q712" s="1783"/>
      <c r="R712" s="1783"/>
      <c r="S712" s="1784"/>
      <c r="T712" s="1785">
        <f t="shared" si="33"/>
        <v>5960</v>
      </c>
      <c r="U712" s="1786"/>
      <c r="V712" s="1786"/>
      <c r="W712" s="1786"/>
      <c r="X712" s="1787"/>
      <c r="Y712" s="1782">
        <v>0</v>
      </c>
      <c r="Z712" s="1783"/>
      <c r="AA712" s="1783"/>
      <c r="AB712" s="1784"/>
      <c r="AC712" s="1785">
        <f t="shared" si="34"/>
        <v>745</v>
      </c>
      <c r="AD712" s="1786"/>
      <c r="AE712" s="1786"/>
      <c r="AF712" s="1786"/>
      <c r="AG712" s="1787"/>
      <c r="AH712" s="1794">
        <v>0.5</v>
      </c>
      <c r="AI712" s="1795"/>
      <c r="AJ712" s="1795"/>
      <c r="AK712" s="1795"/>
      <c r="AL712" s="1796"/>
      <c r="AM712" s="1797">
        <f t="shared" si="35"/>
        <v>0.37437185929648242</v>
      </c>
      <c r="AN712" s="1798"/>
      <c r="AO712" s="1799"/>
      <c r="BA712" s="75" t="str">
        <f t="shared" si="29"/>
        <v>N/A</v>
      </c>
      <c r="BB712" s="72"/>
      <c r="BC712" s="72"/>
      <c r="BD712" s="72"/>
      <c r="BE712" s="72"/>
      <c r="BF712" s="72"/>
      <c r="BG712" s="702">
        <f t="shared" si="30"/>
        <v>0</v>
      </c>
      <c r="BH712" s="714">
        <f t="shared" si="31"/>
        <v>0</v>
      </c>
      <c r="BI712" s="716" t="str">
        <f t="shared" si="32"/>
        <v xml:space="preserve"> </v>
      </c>
      <c r="BJ712" s="72"/>
      <c r="BK712" s="72"/>
      <c r="BL712" s="72"/>
      <c r="BM712" s="72"/>
      <c r="BN712" s="72"/>
      <c r="BO712" s="72"/>
      <c r="BP712" s="905" t="s">
        <v>453</v>
      </c>
      <c r="BQ712" s="904">
        <v>1220</v>
      </c>
      <c r="BR712" s="904">
        <v>1306</v>
      </c>
      <c r="BS712" s="904">
        <v>1570</v>
      </c>
      <c r="BT712" s="904">
        <v>1812</v>
      </c>
      <c r="BU712" s="904">
        <v>2022</v>
      </c>
      <c r="BV712" s="904">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1"/>
      <c r="B713" s="1771" t="s">
        <v>490</v>
      </c>
      <c r="C713" s="1772"/>
      <c r="D713" s="1772"/>
      <c r="E713" s="1772"/>
      <c r="F713" s="1773"/>
      <c r="G713" s="1768">
        <v>8</v>
      </c>
      <c r="H713" s="1769"/>
      <c r="I713" s="1769"/>
      <c r="J713" s="1770"/>
      <c r="K713" s="1779">
        <v>309</v>
      </c>
      <c r="L713" s="1780"/>
      <c r="M713" s="1780"/>
      <c r="N713" s="1781"/>
      <c r="O713" s="1782">
        <v>745</v>
      </c>
      <c r="P713" s="1783"/>
      <c r="Q713" s="1783"/>
      <c r="R713" s="1783"/>
      <c r="S713" s="1784"/>
      <c r="T713" s="1785">
        <f t="shared" si="33"/>
        <v>5960</v>
      </c>
      <c r="U713" s="1786"/>
      <c r="V713" s="1786"/>
      <c r="W713" s="1786"/>
      <c r="X713" s="1787"/>
      <c r="Y713" s="1782">
        <v>0</v>
      </c>
      <c r="Z713" s="1783"/>
      <c r="AA713" s="1783"/>
      <c r="AB713" s="1784"/>
      <c r="AC713" s="1785">
        <f t="shared" si="34"/>
        <v>745</v>
      </c>
      <c r="AD713" s="1786"/>
      <c r="AE713" s="1786"/>
      <c r="AF713" s="1786"/>
      <c r="AG713" s="1787"/>
      <c r="AH713" s="1794">
        <v>0.6</v>
      </c>
      <c r="AI713" s="1795"/>
      <c r="AJ713" s="1795"/>
      <c r="AK713" s="1795"/>
      <c r="AL713" s="1796"/>
      <c r="AM713" s="1797">
        <f t="shared" si="35"/>
        <v>0.37437185929648242</v>
      </c>
      <c r="AN713" s="1798"/>
      <c r="AO713" s="1799"/>
      <c r="BA713" s="75" t="str">
        <f t="shared" si="29"/>
        <v>N/A</v>
      </c>
      <c r="BB713" s="72"/>
      <c r="BC713" s="72"/>
      <c r="BD713" s="72"/>
      <c r="BE713" s="72"/>
      <c r="BF713" s="72"/>
      <c r="BG713" s="702">
        <f t="shared" si="30"/>
        <v>0</v>
      </c>
      <c r="BH713" s="714">
        <f t="shared" si="31"/>
        <v>0</v>
      </c>
      <c r="BI713" s="716" t="str">
        <f t="shared" si="32"/>
        <v xml:space="preserve"> </v>
      </c>
      <c r="BJ713" s="72"/>
      <c r="BK713" s="72"/>
      <c r="BL713" s="72"/>
      <c r="BM713" s="72"/>
      <c r="BN713" s="72"/>
      <c r="BO713" s="72"/>
      <c r="BP713" s="905" t="s">
        <v>454</v>
      </c>
      <c r="BQ713" s="904">
        <v>1220</v>
      </c>
      <c r="BR713" s="904">
        <v>1306</v>
      </c>
      <c r="BS713" s="904">
        <v>1570</v>
      </c>
      <c r="BT713" s="904">
        <v>1812</v>
      </c>
      <c r="BU713" s="904">
        <v>2022</v>
      </c>
      <c r="BV713" s="904">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1"/>
      <c r="B714" s="1771" t="s">
        <v>491</v>
      </c>
      <c r="C714" s="1772"/>
      <c r="D714" s="1772"/>
      <c r="E714" s="1772"/>
      <c r="F714" s="1773"/>
      <c r="G714" s="1768">
        <v>4</v>
      </c>
      <c r="H714" s="1769"/>
      <c r="I714" s="1769"/>
      <c r="J714" s="1770"/>
      <c r="K714" s="1779">
        <v>550</v>
      </c>
      <c r="L714" s="1780"/>
      <c r="M714" s="1780"/>
      <c r="N714" s="1781"/>
      <c r="O714" s="1782">
        <v>378</v>
      </c>
      <c r="P714" s="1783"/>
      <c r="Q714" s="1783"/>
      <c r="R714" s="1783"/>
      <c r="S714" s="1784"/>
      <c r="T714" s="1785">
        <f t="shared" si="33"/>
        <v>1512</v>
      </c>
      <c r="U714" s="1786"/>
      <c r="V714" s="1786"/>
      <c r="W714" s="1786"/>
      <c r="X714" s="1787"/>
      <c r="Y714" s="1782">
        <v>48</v>
      </c>
      <c r="Z714" s="1783"/>
      <c r="AA714" s="1783"/>
      <c r="AB714" s="1784"/>
      <c r="AC714" s="1785">
        <f t="shared" si="34"/>
        <v>426</v>
      </c>
      <c r="AD714" s="1786"/>
      <c r="AE714" s="1786"/>
      <c r="AF714" s="1786"/>
      <c r="AG714" s="1787"/>
      <c r="AH714" s="1794">
        <v>0.2</v>
      </c>
      <c r="AI714" s="1795"/>
      <c r="AJ714" s="1795"/>
      <c r="AK714" s="1795"/>
      <c r="AL714" s="1796"/>
      <c r="AM714" s="1797">
        <f t="shared" si="35"/>
        <v>0.19981238273921201</v>
      </c>
      <c r="AN714" s="1798"/>
      <c r="AO714" s="1799"/>
      <c r="BA714" s="72"/>
      <c r="BB714" s="72"/>
      <c r="BC714" s="72"/>
      <c r="BD714" s="72"/>
      <c r="BE714" s="72"/>
      <c r="BF714" s="72"/>
      <c r="BG714" s="703">
        <f t="shared" si="30"/>
        <v>0</v>
      </c>
      <c r="BH714" s="715">
        <f t="shared" si="31"/>
        <v>0</v>
      </c>
      <c r="BI714" s="716" t="str">
        <f t="shared" si="32"/>
        <v xml:space="preserve"> </v>
      </c>
      <c r="BJ714" s="72"/>
      <c r="BK714" s="72"/>
      <c r="BL714" s="72"/>
      <c r="BM714" s="72"/>
      <c r="BN714" s="72"/>
      <c r="BO714" s="72"/>
      <c r="BP714" s="905" t="s">
        <v>455</v>
      </c>
      <c r="BQ714" s="904">
        <v>1382</v>
      </c>
      <c r="BR714" s="904">
        <v>1480</v>
      </c>
      <c r="BS714" s="904">
        <v>1776</v>
      </c>
      <c r="BT714" s="904">
        <v>2052</v>
      </c>
      <c r="BU714" s="904">
        <v>2290</v>
      </c>
      <c r="BV714" s="904">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71" t="s">
        <v>491</v>
      </c>
      <c r="C715" s="1772"/>
      <c r="D715" s="1772"/>
      <c r="E715" s="1772"/>
      <c r="F715" s="1773"/>
      <c r="G715" s="1768">
        <v>2</v>
      </c>
      <c r="H715" s="1769"/>
      <c r="I715" s="1769"/>
      <c r="J715" s="1770"/>
      <c r="K715" s="1779">
        <v>550</v>
      </c>
      <c r="L715" s="1780"/>
      <c r="M715" s="1780"/>
      <c r="N715" s="1781"/>
      <c r="O715" s="1782">
        <v>591</v>
      </c>
      <c r="P715" s="1783"/>
      <c r="Q715" s="1783"/>
      <c r="R715" s="1783"/>
      <c r="S715" s="1784"/>
      <c r="T715" s="1785">
        <f t="shared" si="33"/>
        <v>1182</v>
      </c>
      <c r="U715" s="1786"/>
      <c r="V715" s="1786"/>
      <c r="W715" s="1786"/>
      <c r="X715" s="1787"/>
      <c r="Y715" s="1782">
        <v>48</v>
      </c>
      <c r="Z715" s="1783"/>
      <c r="AA715" s="1783"/>
      <c r="AB715" s="1784"/>
      <c r="AC715" s="1785">
        <f t="shared" si="34"/>
        <v>639</v>
      </c>
      <c r="AD715" s="1786"/>
      <c r="AE715" s="1786"/>
      <c r="AF715" s="1786"/>
      <c r="AG715" s="1787"/>
      <c r="AH715" s="1794">
        <v>0.3</v>
      </c>
      <c r="AI715" s="1795"/>
      <c r="AJ715" s="1795"/>
      <c r="AK715" s="1795"/>
      <c r="AL715" s="1796"/>
      <c r="AM715" s="1797">
        <f t="shared" si="35"/>
        <v>0.29971857410881803</v>
      </c>
      <c r="AN715" s="1798"/>
      <c r="AO715" s="1799"/>
      <c r="BA715" s="72"/>
      <c r="BB715" s="72"/>
      <c r="BC715" s="72"/>
      <c r="BD715" s="72"/>
      <c r="BE715" s="149"/>
      <c r="BF715" s="147" t="s">
        <v>974</v>
      </c>
      <c r="BG715" s="717">
        <f>SUM(BG690:BG714)</f>
        <v>88</v>
      </c>
      <c r="BH715" s="718">
        <f>SUM(BH690:BH714)</f>
        <v>0.99999999999999978</v>
      </c>
      <c r="BI715" s="718">
        <f>SUM(BI690:BI714)</f>
        <v>0.34772727272727272</v>
      </c>
      <c r="BJ715" s="72"/>
      <c r="BK715" s="72"/>
      <c r="BL715" s="72"/>
      <c r="BM715" s="72"/>
      <c r="BN715" s="72"/>
      <c r="BO715" s="72"/>
      <c r="BP715" s="905" t="s">
        <v>456</v>
      </c>
      <c r="BQ715" s="904">
        <v>1780</v>
      </c>
      <c r="BR715" s="904">
        <v>1906</v>
      </c>
      <c r="BS715" s="904">
        <v>2290</v>
      </c>
      <c r="BT715" s="904">
        <v>2644</v>
      </c>
      <c r="BU715" s="904">
        <v>2950</v>
      </c>
      <c r="BV715" s="904">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71" t="s">
        <v>853</v>
      </c>
      <c r="C716" s="1772"/>
      <c r="D716" s="1772"/>
      <c r="E716" s="1772"/>
      <c r="F716" s="1773"/>
      <c r="G716" s="1768">
        <v>1</v>
      </c>
      <c r="H716" s="1769"/>
      <c r="I716" s="1769"/>
      <c r="J716" s="1770"/>
      <c r="K716" s="1779">
        <v>810</v>
      </c>
      <c r="L716" s="1780"/>
      <c r="M716" s="1780"/>
      <c r="N716" s="1781"/>
      <c r="O716" s="1782">
        <v>699</v>
      </c>
      <c r="P716" s="1783"/>
      <c r="Q716" s="1783"/>
      <c r="R716" s="1783"/>
      <c r="S716" s="1784"/>
      <c r="T716" s="1785">
        <f t="shared" si="33"/>
        <v>699</v>
      </c>
      <c r="U716" s="1786"/>
      <c r="V716" s="1786"/>
      <c r="W716" s="1786"/>
      <c r="X716" s="1787"/>
      <c r="Y716" s="1782">
        <v>69</v>
      </c>
      <c r="Z716" s="1783"/>
      <c r="AA716" s="1783"/>
      <c r="AB716" s="1784"/>
      <c r="AC716" s="1785">
        <f t="shared" si="34"/>
        <v>768</v>
      </c>
      <c r="AD716" s="1786"/>
      <c r="AE716" s="1786"/>
      <c r="AF716" s="1786"/>
      <c r="AG716" s="1787"/>
      <c r="AH716" s="1794">
        <v>0.3</v>
      </c>
      <c r="AI716" s="1795"/>
      <c r="AJ716" s="1795"/>
      <c r="AK716" s="1795"/>
      <c r="AL716" s="1796"/>
      <c r="AM716" s="1797">
        <f t="shared" si="35"/>
        <v>0.3</v>
      </c>
      <c r="AN716" s="1798"/>
      <c r="AO716" s="1799"/>
      <c r="BA716" s="72"/>
      <c r="BB716" s="72"/>
      <c r="BC716" s="72"/>
      <c r="BD716" s="72"/>
      <c r="BE716" s="72"/>
      <c r="BF716" s="72"/>
      <c r="BG716" s="72"/>
      <c r="BH716" s="72"/>
      <c r="BI716" s="72"/>
      <c r="BJ716" s="72"/>
      <c r="BK716" s="72"/>
      <c r="BL716" s="72"/>
      <c r="BM716" s="72"/>
      <c r="BN716" s="72"/>
      <c r="BO716" s="72"/>
      <c r="BP716" s="905" t="s">
        <v>457</v>
      </c>
      <c r="BQ716" s="904">
        <v>1990</v>
      </c>
      <c r="BR716" s="904">
        <v>2132</v>
      </c>
      <c r="BS716" s="904">
        <v>2560</v>
      </c>
      <c r="BT716" s="904">
        <v>2956</v>
      </c>
      <c r="BU716" s="904">
        <v>3296</v>
      </c>
      <c r="BV716" s="904">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71" t="s">
        <v>854</v>
      </c>
      <c r="C717" s="1772"/>
      <c r="D717" s="1772"/>
      <c r="E717" s="1772"/>
      <c r="F717" s="1773"/>
      <c r="G717" s="1768">
        <v>1</v>
      </c>
      <c r="H717" s="1769"/>
      <c r="I717" s="1769"/>
      <c r="J717" s="1770"/>
      <c r="K717" s="1779">
        <v>1131</v>
      </c>
      <c r="L717" s="1780"/>
      <c r="M717" s="1780"/>
      <c r="N717" s="1781"/>
      <c r="O717" s="1782">
        <v>797</v>
      </c>
      <c r="P717" s="1783"/>
      <c r="Q717" s="1783"/>
      <c r="R717" s="1783"/>
      <c r="S717" s="1784"/>
      <c r="T717" s="1785">
        <f t="shared" si="33"/>
        <v>797</v>
      </c>
      <c r="U717" s="1786"/>
      <c r="V717" s="1786"/>
      <c r="W717" s="1786"/>
      <c r="X717" s="1787"/>
      <c r="Y717" s="1782">
        <v>89</v>
      </c>
      <c r="Z717" s="1783"/>
      <c r="AA717" s="1783"/>
      <c r="AB717" s="1784"/>
      <c r="AC717" s="1785">
        <f t="shared" si="34"/>
        <v>886</v>
      </c>
      <c r="AD717" s="1786"/>
      <c r="AE717" s="1786"/>
      <c r="AF717" s="1786"/>
      <c r="AG717" s="1787"/>
      <c r="AH717" s="1794">
        <v>0.3</v>
      </c>
      <c r="AI717" s="1795"/>
      <c r="AJ717" s="1795"/>
      <c r="AK717" s="1795"/>
      <c r="AL717" s="1796"/>
      <c r="AM717" s="1797">
        <f t="shared" si="35"/>
        <v>0.29972936400541272</v>
      </c>
      <c r="AN717" s="1798"/>
      <c r="AO717" s="1799"/>
      <c r="BA717" s="72"/>
      <c r="BB717" s="72"/>
      <c r="BC717" s="72"/>
      <c r="BD717" s="72"/>
      <c r="BE717" s="72"/>
      <c r="BF717" s="72"/>
      <c r="BG717" s="72"/>
      <c r="BH717" s="72"/>
      <c r="BI717" s="72"/>
      <c r="BJ717" s="72"/>
      <c r="BK717" s="72"/>
      <c r="BL717" s="72"/>
      <c r="BM717" s="72"/>
      <c r="BN717" s="72"/>
      <c r="BO717" s="72"/>
      <c r="BP717" s="905" t="s">
        <v>921</v>
      </c>
      <c r="BQ717" s="904">
        <v>1572</v>
      </c>
      <c r="BR717" s="904">
        <v>1684</v>
      </c>
      <c r="BS717" s="904">
        <v>2022</v>
      </c>
      <c r="BT717" s="904">
        <v>2334</v>
      </c>
      <c r="BU717" s="904">
        <v>2604</v>
      </c>
      <c r="BV717" s="904">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1"/>
      <c r="B718" s="1771" t="s">
        <v>491</v>
      </c>
      <c r="C718" s="1772"/>
      <c r="D718" s="1772"/>
      <c r="E718" s="1772"/>
      <c r="F718" s="1773"/>
      <c r="G718" s="1768">
        <v>2</v>
      </c>
      <c r="H718" s="1769"/>
      <c r="I718" s="1769"/>
      <c r="J718" s="1770"/>
      <c r="K718" s="1779">
        <v>550</v>
      </c>
      <c r="L718" s="1780"/>
      <c r="M718" s="1780"/>
      <c r="N718" s="1781"/>
      <c r="O718" s="1782">
        <v>1018</v>
      </c>
      <c r="P718" s="1783"/>
      <c r="Q718" s="1783"/>
      <c r="R718" s="1783"/>
      <c r="S718" s="1784"/>
      <c r="T718" s="1785">
        <f t="shared" si="33"/>
        <v>2036</v>
      </c>
      <c r="U718" s="1786"/>
      <c r="V718" s="1786"/>
      <c r="W718" s="1786"/>
      <c r="X718" s="1787"/>
      <c r="Y718" s="1782">
        <v>48</v>
      </c>
      <c r="Z718" s="1783"/>
      <c r="AA718" s="1783"/>
      <c r="AB718" s="1784"/>
      <c r="AC718" s="1785">
        <f t="shared" si="34"/>
        <v>1066</v>
      </c>
      <c r="AD718" s="1786"/>
      <c r="AE718" s="1786"/>
      <c r="AF718" s="1786"/>
      <c r="AG718" s="1787"/>
      <c r="AH718" s="1794">
        <v>0.5</v>
      </c>
      <c r="AI718" s="1795"/>
      <c r="AJ718" s="1795"/>
      <c r="AK718" s="1795"/>
      <c r="AL718" s="1796"/>
      <c r="AM718" s="1797">
        <f t="shared" si="35"/>
        <v>0.5</v>
      </c>
      <c r="AN718" s="1798"/>
      <c r="AO718" s="1799"/>
      <c r="BA718" s="72"/>
      <c r="BB718" s="72"/>
      <c r="BC718" s="72"/>
      <c r="BD718" s="72"/>
      <c r="BE718" s="72"/>
      <c r="BF718" s="72"/>
      <c r="BG718" s="72"/>
      <c r="BH718" s="72"/>
      <c r="BI718" s="72"/>
      <c r="BJ718" s="72"/>
      <c r="BK718" s="72"/>
      <c r="BL718" s="72"/>
      <c r="BM718" s="72"/>
      <c r="BN718" s="72"/>
      <c r="BO718" s="72"/>
      <c r="BP718" s="905" t="s">
        <v>922</v>
      </c>
      <c r="BQ718" s="904">
        <v>2354</v>
      </c>
      <c r="BR718" s="904">
        <v>2522</v>
      </c>
      <c r="BS718" s="904">
        <v>3026</v>
      </c>
      <c r="BT718" s="904">
        <v>3496</v>
      </c>
      <c r="BU718" s="904">
        <v>3902</v>
      </c>
      <c r="BV718" s="904">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1"/>
      <c r="B719" s="1771" t="s">
        <v>491</v>
      </c>
      <c r="C719" s="1772"/>
      <c r="D719" s="1772"/>
      <c r="E719" s="1772"/>
      <c r="F719" s="1773"/>
      <c r="G719" s="1768">
        <v>4</v>
      </c>
      <c r="H719" s="1769"/>
      <c r="I719" s="1769"/>
      <c r="J719" s="1770"/>
      <c r="K719" s="1779">
        <v>550</v>
      </c>
      <c r="L719" s="1780"/>
      <c r="M719" s="1780"/>
      <c r="N719" s="1781"/>
      <c r="O719" s="1782">
        <v>1231</v>
      </c>
      <c r="P719" s="1783"/>
      <c r="Q719" s="1783"/>
      <c r="R719" s="1783"/>
      <c r="S719" s="1784"/>
      <c r="T719" s="1785">
        <f t="shared" si="33"/>
        <v>4924</v>
      </c>
      <c r="U719" s="1786"/>
      <c r="V719" s="1786"/>
      <c r="W719" s="1786"/>
      <c r="X719" s="1787"/>
      <c r="Y719" s="1782">
        <v>48</v>
      </c>
      <c r="Z719" s="1783"/>
      <c r="AA719" s="1783"/>
      <c r="AB719" s="1784"/>
      <c r="AC719" s="1785">
        <f t="shared" si="34"/>
        <v>1279</v>
      </c>
      <c r="AD719" s="1786"/>
      <c r="AE719" s="1786"/>
      <c r="AF719" s="1786"/>
      <c r="AG719" s="1787"/>
      <c r="AH719" s="1794">
        <v>0.6</v>
      </c>
      <c r="AI719" s="1795"/>
      <c r="AJ719" s="1795"/>
      <c r="AK719" s="1795"/>
      <c r="AL719" s="1796"/>
      <c r="AM719" s="1797">
        <f t="shared" si="35"/>
        <v>0.59990619136960599</v>
      </c>
      <c r="AN719" s="1798"/>
      <c r="AO719" s="1799"/>
      <c r="BA719" s="72"/>
      <c r="BB719" s="72"/>
      <c r="BC719" s="72"/>
      <c r="BD719" s="72"/>
      <c r="BE719" s="72"/>
      <c r="BF719" s="72"/>
      <c r="BG719" s="1448" t="s">
        <v>2291</v>
      </c>
      <c r="BH719" s="1449"/>
      <c r="BI719" s="1449"/>
      <c r="BJ719" s="72"/>
      <c r="BK719" s="72"/>
      <c r="BL719" s="72"/>
      <c r="BM719" s="72"/>
      <c r="BN719" s="72"/>
      <c r="BO719" s="72"/>
      <c r="BP719" s="905" t="s">
        <v>923</v>
      </c>
      <c r="BQ719" s="904">
        <v>1586</v>
      </c>
      <c r="BR719" s="904">
        <v>1700</v>
      </c>
      <c r="BS719" s="904">
        <v>2040</v>
      </c>
      <c r="BT719" s="904">
        <v>2356</v>
      </c>
      <c r="BU719" s="904">
        <v>2626</v>
      </c>
      <c r="BV719" s="904">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1"/>
      <c r="B720" s="1771" t="s">
        <v>853</v>
      </c>
      <c r="C720" s="1772"/>
      <c r="D720" s="1772"/>
      <c r="E720" s="1772"/>
      <c r="F720" s="1773"/>
      <c r="G720" s="1768">
        <v>5</v>
      </c>
      <c r="H720" s="1769"/>
      <c r="I720" s="1769"/>
      <c r="J720" s="1770"/>
      <c r="K720" s="1779">
        <v>810</v>
      </c>
      <c r="L720" s="1780"/>
      <c r="M720" s="1780"/>
      <c r="N720" s="1781"/>
      <c r="O720" s="1782">
        <v>1467</v>
      </c>
      <c r="P720" s="1783"/>
      <c r="Q720" s="1783"/>
      <c r="R720" s="1783"/>
      <c r="S720" s="1784"/>
      <c r="T720" s="1785">
        <f t="shared" si="33"/>
        <v>7335</v>
      </c>
      <c r="U720" s="1786"/>
      <c r="V720" s="1786"/>
      <c r="W720" s="1786"/>
      <c r="X720" s="1787"/>
      <c r="Y720" s="1782">
        <v>69</v>
      </c>
      <c r="Z720" s="1783"/>
      <c r="AA720" s="1783"/>
      <c r="AB720" s="1784"/>
      <c r="AC720" s="1785">
        <f t="shared" si="34"/>
        <v>1536</v>
      </c>
      <c r="AD720" s="1786"/>
      <c r="AE720" s="1786"/>
      <c r="AF720" s="1786"/>
      <c r="AG720" s="1787"/>
      <c r="AH720" s="1794">
        <v>0.6</v>
      </c>
      <c r="AI720" s="1795"/>
      <c r="AJ720" s="1795"/>
      <c r="AK720" s="1795"/>
      <c r="AL720" s="1796"/>
      <c r="AM720" s="1797">
        <f t="shared" si="35"/>
        <v>0.6</v>
      </c>
      <c r="AN720" s="1798"/>
      <c r="AO720" s="1799"/>
      <c r="BA720" s="72"/>
      <c r="BB720" s="72"/>
      <c r="BC720" s="72"/>
      <c r="BD720" s="72"/>
      <c r="BE720" s="72"/>
      <c r="BF720" s="72"/>
      <c r="BG720" s="1450" t="s">
        <v>1259</v>
      </c>
      <c r="BH720" s="1451" t="s">
        <v>1260</v>
      </c>
      <c r="BI720" s="1452" t="s">
        <v>1261</v>
      </c>
      <c r="BJ720" s="72"/>
      <c r="BK720" s="72"/>
      <c r="BL720" s="72"/>
      <c r="BM720" s="72"/>
      <c r="BN720" s="72"/>
      <c r="BO720" s="72"/>
      <c r="BP720" s="905" t="s">
        <v>924</v>
      </c>
      <c r="BQ720" s="904">
        <v>1280</v>
      </c>
      <c r="BR720" s="904">
        <v>1370</v>
      </c>
      <c r="BS720" s="904">
        <v>1644</v>
      </c>
      <c r="BT720" s="904">
        <v>1900</v>
      </c>
      <c r="BU720" s="904">
        <v>2120</v>
      </c>
      <c r="BV720" s="904">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1"/>
      <c r="B721" s="1771" t="s">
        <v>854</v>
      </c>
      <c r="C721" s="1772"/>
      <c r="D721" s="1772"/>
      <c r="E721" s="1772"/>
      <c r="F721" s="1773"/>
      <c r="G721" s="1768">
        <v>4</v>
      </c>
      <c r="H721" s="1769"/>
      <c r="I721" s="1769"/>
      <c r="J721" s="1770"/>
      <c r="K721" s="1779">
        <v>1131</v>
      </c>
      <c r="L721" s="1780"/>
      <c r="M721" s="1780"/>
      <c r="N721" s="1781"/>
      <c r="O721" s="1782">
        <v>1684</v>
      </c>
      <c r="P721" s="1783"/>
      <c r="Q721" s="1783"/>
      <c r="R721" s="1783"/>
      <c r="S721" s="1784"/>
      <c r="T721" s="1785">
        <f t="shared" si="33"/>
        <v>6736</v>
      </c>
      <c r="U721" s="1786"/>
      <c r="V721" s="1786"/>
      <c r="W721" s="1786"/>
      <c r="X721" s="1787"/>
      <c r="Y721" s="1782">
        <v>89</v>
      </c>
      <c r="Z721" s="1783"/>
      <c r="AA721" s="1783"/>
      <c r="AB721" s="1784"/>
      <c r="AC721" s="1785">
        <f t="shared" si="34"/>
        <v>1773</v>
      </c>
      <c r="AD721" s="1786"/>
      <c r="AE721" s="1786"/>
      <c r="AF721" s="1786"/>
      <c r="AG721" s="1787"/>
      <c r="AH721" s="1794">
        <v>0.6</v>
      </c>
      <c r="AI721" s="1795"/>
      <c r="AJ721" s="1795"/>
      <c r="AK721" s="1795"/>
      <c r="AL721" s="1796"/>
      <c r="AM721" s="1797">
        <f t="shared" si="35"/>
        <v>0.59979702300405957</v>
      </c>
      <c r="AN721" s="1798"/>
      <c r="AO721" s="1799"/>
      <c r="BA721" s="72"/>
      <c r="BB721" s="72"/>
      <c r="BC721" s="72"/>
      <c r="BD721" s="72"/>
      <c r="BE721" s="72"/>
      <c r="BF721" s="72"/>
      <c r="BG721" s="1453">
        <f>G706</f>
        <v>36</v>
      </c>
      <c r="BH721" s="1457">
        <f>BG721/$BG$746</f>
        <v>0.40909090909090912</v>
      </c>
      <c r="BI721" s="1458">
        <f>IF(BH721=0," ",BH721*AM706)</f>
        <v>8.1818181818181832E-2</v>
      </c>
      <c r="BJ721" s="72"/>
      <c r="BK721" s="72"/>
      <c r="BL721" s="72"/>
      <c r="BM721" s="72"/>
      <c r="BN721" s="72"/>
      <c r="BO721" s="72"/>
      <c r="BP721" s="905" t="s">
        <v>120</v>
      </c>
      <c r="BQ721" s="904">
        <v>1382</v>
      </c>
      <c r="BR721" s="904">
        <v>1480</v>
      </c>
      <c r="BS721" s="904">
        <v>1776</v>
      </c>
      <c r="BT721" s="904">
        <v>2054</v>
      </c>
      <c r="BU721" s="904">
        <v>2292</v>
      </c>
      <c r="BV721" s="904">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1"/>
      <c r="B722" s="1771"/>
      <c r="C722" s="1772"/>
      <c r="D722" s="1772"/>
      <c r="E722" s="1772"/>
      <c r="F722" s="1773"/>
      <c r="G722" s="1768"/>
      <c r="H722" s="1769"/>
      <c r="I722" s="1769"/>
      <c r="J722" s="1770"/>
      <c r="K722" s="1779"/>
      <c r="L722" s="1780"/>
      <c r="M722" s="1780"/>
      <c r="N722" s="1781"/>
      <c r="O722" s="1782"/>
      <c r="P722" s="1783"/>
      <c r="Q722" s="1783"/>
      <c r="R722" s="1783"/>
      <c r="S722" s="1784"/>
      <c r="T722" s="1785">
        <f t="shared" si="33"/>
        <v>0</v>
      </c>
      <c r="U722" s="1786"/>
      <c r="V722" s="1786"/>
      <c r="W722" s="1786"/>
      <c r="X722" s="1787"/>
      <c r="Y722" s="1782">
        <v>0</v>
      </c>
      <c r="Z722" s="1783"/>
      <c r="AA722" s="1783"/>
      <c r="AB722" s="1784"/>
      <c r="AC722" s="1785">
        <f t="shared" si="34"/>
        <v>0</v>
      </c>
      <c r="AD722" s="1786"/>
      <c r="AE722" s="1786"/>
      <c r="AF722" s="1786"/>
      <c r="AG722" s="1787"/>
      <c r="AH722" s="1794">
        <v>0</v>
      </c>
      <c r="AI722" s="1795"/>
      <c r="AJ722" s="1795"/>
      <c r="AK722" s="1795"/>
      <c r="AL722" s="1796"/>
      <c r="AM722" s="1797" t="str">
        <f t="shared" si="35"/>
        <v xml:space="preserve"> </v>
      </c>
      <c r="AN722" s="1798"/>
      <c r="AO722" s="1799"/>
      <c r="BA722" s="72"/>
      <c r="BB722" s="72"/>
      <c r="BC722" s="72"/>
      <c r="BD722" s="72"/>
      <c r="BE722" s="72"/>
      <c r="BF722" s="72"/>
      <c r="BG722" s="1453">
        <f t="shared" ref="BG722:BG745" si="36">G707</f>
        <v>0</v>
      </c>
      <c r="BH722" s="1457">
        <f t="shared" ref="BH722:BH745" si="37">BG722/$BG$746</f>
        <v>0</v>
      </c>
      <c r="BI722" s="1458" t="str">
        <f t="shared" ref="BI722:BI745" si="38">IF(BH722=0," ",BH722*AM707)</f>
        <v xml:space="preserve"> </v>
      </c>
      <c r="BJ722" s="72"/>
      <c r="BK722" s="72"/>
      <c r="BL722" s="72"/>
      <c r="BM722" s="72"/>
      <c r="BN722" s="72"/>
      <c r="BO722" s="72"/>
      <c r="BP722" s="905" t="s">
        <v>121</v>
      </c>
      <c r="BQ722" s="904">
        <v>1586</v>
      </c>
      <c r="BR722" s="904">
        <v>1700</v>
      </c>
      <c r="BS722" s="904">
        <v>2040</v>
      </c>
      <c r="BT722" s="904">
        <v>2356</v>
      </c>
      <c r="BU722" s="904">
        <v>2626</v>
      </c>
      <c r="BV722" s="904">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1"/>
      <c r="B723" s="1771"/>
      <c r="C723" s="1772"/>
      <c r="D723" s="1772"/>
      <c r="E723" s="1772"/>
      <c r="F723" s="1773"/>
      <c r="G723" s="1768"/>
      <c r="H723" s="1769"/>
      <c r="I723" s="1769"/>
      <c r="J723" s="1770"/>
      <c r="K723" s="1779"/>
      <c r="L723" s="1780"/>
      <c r="M723" s="1780"/>
      <c r="N723" s="1781"/>
      <c r="O723" s="1782"/>
      <c r="P723" s="1783"/>
      <c r="Q723" s="1783"/>
      <c r="R723" s="1783"/>
      <c r="S723" s="1784"/>
      <c r="T723" s="1785">
        <f t="shared" si="33"/>
        <v>0</v>
      </c>
      <c r="U723" s="1786"/>
      <c r="V723" s="1786"/>
      <c r="W723" s="1786"/>
      <c r="X723" s="1787"/>
      <c r="Y723" s="1782">
        <v>0</v>
      </c>
      <c r="Z723" s="1783"/>
      <c r="AA723" s="1783"/>
      <c r="AB723" s="1784"/>
      <c r="AC723" s="1785">
        <f t="shared" si="34"/>
        <v>0</v>
      </c>
      <c r="AD723" s="1786"/>
      <c r="AE723" s="1786"/>
      <c r="AF723" s="1786"/>
      <c r="AG723" s="1787"/>
      <c r="AH723" s="1794">
        <v>0</v>
      </c>
      <c r="AI723" s="1795"/>
      <c r="AJ723" s="1795"/>
      <c r="AK723" s="1795"/>
      <c r="AL723" s="1796"/>
      <c r="AM723" s="1797" t="str">
        <f t="shared" si="35"/>
        <v xml:space="preserve"> </v>
      </c>
      <c r="AN723" s="1798"/>
      <c r="AO723" s="1799"/>
      <c r="BA723" s="75"/>
      <c r="BB723" s="75"/>
      <c r="BC723" s="75"/>
      <c r="BD723" s="75"/>
      <c r="BE723" s="75"/>
      <c r="BF723" s="75"/>
      <c r="BG723" s="1453">
        <f t="shared" si="36"/>
        <v>4</v>
      </c>
      <c r="BH723" s="1457">
        <f t="shared" si="37"/>
        <v>4.5454545454545456E-2</v>
      </c>
      <c r="BI723" s="1458">
        <f t="shared" si="38"/>
        <v>8.4854170220023881E-3</v>
      </c>
      <c r="BJ723" s="75"/>
      <c r="BK723" s="75"/>
      <c r="BL723" s="75"/>
      <c r="BM723" s="75"/>
      <c r="BN723" s="75"/>
      <c r="BO723" s="75"/>
      <c r="BP723" s="905" t="s">
        <v>122</v>
      </c>
      <c r="BQ723" s="904">
        <v>1710</v>
      </c>
      <c r="BR723" s="904">
        <v>1830</v>
      </c>
      <c r="BS723" s="904">
        <v>2196</v>
      </c>
      <c r="BT723" s="904">
        <v>2538</v>
      </c>
      <c r="BU723" s="904">
        <v>2832</v>
      </c>
      <c r="BV723" s="904">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1"/>
      <c r="B724" s="1771"/>
      <c r="C724" s="1772"/>
      <c r="D724" s="1772"/>
      <c r="E724" s="1772"/>
      <c r="F724" s="1773"/>
      <c r="G724" s="1768"/>
      <c r="H724" s="1769"/>
      <c r="I724" s="1769"/>
      <c r="J724" s="1770"/>
      <c r="K724" s="1779"/>
      <c r="L724" s="1780"/>
      <c r="M724" s="1780"/>
      <c r="N724" s="1781"/>
      <c r="O724" s="1782"/>
      <c r="P724" s="1783"/>
      <c r="Q724" s="1783"/>
      <c r="R724" s="1783"/>
      <c r="S724" s="1784"/>
      <c r="T724" s="1785">
        <f t="shared" si="33"/>
        <v>0</v>
      </c>
      <c r="U724" s="1786"/>
      <c r="V724" s="1786"/>
      <c r="W724" s="1786"/>
      <c r="X724" s="1787"/>
      <c r="Y724" s="1782">
        <v>0</v>
      </c>
      <c r="Z724" s="1783"/>
      <c r="AA724" s="1783"/>
      <c r="AB724" s="1784"/>
      <c r="AC724" s="1785">
        <f t="shared" si="34"/>
        <v>0</v>
      </c>
      <c r="AD724" s="1786"/>
      <c r="AE724" s="1786"/>
      <c r="AF724" s="1786"/>
      <c r="AG724" s="1787"/>
      <c r="AH724" s="1794">
        <v>0</v>
      </c>
      <c r="AI724" s="1795"/>
      <c r="AJ724" s="1795"/>
      <c r="AK724" s="1795"/>
      <c r="AL724" s="1796"/>
      <c r="AM724" s="1797" t="str">
        <f t="shared" si="35"/>
        <v xml:space="preserve"> </v>
      </c>
      <c r="AN724" s="1798"/>
      <c r="AO724" s="1799"/>
      <c r="BA724" s="75"/>
      <c r="BB724" s="75"/>
      <c r="BC724" s="75"/>
      <c r="BD724" s="75"/>
      <c r="BE724" s="75"/>
      <c r="BF724" s="75"/>
      <c r="BG724" s="1453">
        <f t="shared" si="36"/>
        <v>3</v>
      </c>
      <c r="BH724" s="1457">
        <f t="shared" si="37"/>
        <v>3.4090909090909088E-2</v>
      </c>
      <c r="BI724" s="1458">
        <f t="shared" si="38"/>
        <v>1.0227272727272725E-2</v>
      </c>
      <c r="BJ724" s="75"/>
      <c r="BK724" s="75"/>
      <c r="BL724" s="75"/>
      <c r="BM724" s="75"/>
      <c r="BN724" s="75"/>
      <c r="BO724" s="75"/>
      <c r="BP724" s="905" t="s">
        <v>123</v>
      </c>
      <c r="BQ724" s="904">
        <v>1382</v>
      </c>
      <c r="BR724" s="904">
        <v>1480</v>
      </c>
      <c r="BS724" s="904">
        <v>1776</v>
      </c>
      <c r="BT724" s="904">
        <v>2054</v>
      </c>
      <c r="BU724" s="904">
        <v>2292</v>
      </c>
      <c r="BV724" s="904">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1"/>
      <c r="B725" s="1771"/>
      <c r="C725" s="1772"/>
      <c r="D725" s="1772"/>
      <c r="E725" s="1772"/>
      <c r="F725" s="1773"/>
      <c r="G725" s="1768"/>
      <c r="H725" s="1769"/>
      <c r="I725" s="1769"/>
      <c r="J725" s="1770"/>
      <c r="K725" s="1779"/>
      <c r="L725" s="1780"/>
      <c r="M725" s="1780"/>
      <c r="N725" s="1781"/>
      <c r="O725" s="1782"/>
      <c r="P725" s="1783"/>
      <c r="Q725" s="1783"/>
      <c r="R725" s="1783"/>
      <c r="S725" s="1784"/>
      <c r="T725" s="1785">
        <f t="shared" si="33"/>
        <v>0</v>
      </c>
      <c r="U725" s="1786"/>
      <c r="V725" s="1786"/>
      <c r="W725" s="1786"/>
      <c r="X725" s="1787"/>
      <c r="Y725" s="1782">
        <v>0</v>
      </c>
      <c r="Z725" s="1783"/>
      <c r="AA725" s="1783"/>
      <c r="AB725" s="1784"/>
      <c r="AC725" s="1785">
        <f t="shared" si="34"/>
        <v>0</v>
      </c>
      <c r="AD725" s="1786"/>
      <c r="AE725" s="1786"/>
      <c r="AF725" s="1786"/>
      <c r="AG725" s="1787"/>
      <c r="AH725" s="1794">
        <v>0</v>
      </c>
      <c r="AI725" s="1795"/>
      <c r="AJ725" s="1795"/>
      <c r="AK725" s="1795"/>
      <c r="AL725" s="1796"/>
      <c r="AM725" s="1797" t="str">
        <f t="shared" si="35"/>
        <v xml:space="preserve"> </v>
      </c>
      <c r="AN725" s="1798"/>
      <c r="AO725" s="1799"/>
      <c r="BA725" s="75"/>
      <c r="BB725" s="75"/>
      <c r="BC725" s="75"/>
      <c r="BD725" s="75"/>
      <c r="BE725" s="75"/>
      <c r="BF725" s="75"/>
      <c r="BG725" s="1453">
        <f t="shared" si="36"/>
        <v>3</v>
      </c>
      <c r="BH725" s="1457">
        <f t="shared" si="37"/>
        <v>3.4090909090909088E-2</v>
      </c>
      <c r="BI725" s="1458">
        <f t="shared" si="38"/>
        <v>1.0217678662800614E-2</v>
      </c>
      <c r="BJ725" s="75"/>
      <c r="BK725" s="75"/>
      <c r="BL725" s="75"/>
      <c r="BM725" s="75"/>
      <c r="BN725" s="75"/>
      <c r="BO725" s="75"/>
      <c r="BP725" s="905" t="s">
        <v>124</v>
      </c>
      <c r="BQ725" s="904">
        <v>2122</v>
      </c>
      <c r="BR725" s="904">
        <v>2272</v>
      </c>
      <c r="BS725" s="904">
        <v>2726</v>
      </c>
      <c r="BT725" s="904">
        <v>3150</v>
      </c>
      <c r="BU725" s="904">
        <v>3514</v>
      </c>
      <c r="BV725" s="904">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1"/>
      <c r="B726" s="1771"/>
      <c r="C726" s="1772"/>
      <c r="D726" s="1772"/>
      <c r="E726" s="1772"/>
      <c r="F726" s="1773"/>
      <c r="G726" s="1768"/>
      <c r="H726" s="1769"/>
      <c r="I726" s="1769"/>
      <c r="J726" s="1770"/>
      <c r="K726" s="1779"/>
      <c r="L726" s="1780"/>
      <c r="M726" s="1780"/>
      <c r="N726" s="1781"/>
      <c r="O726" s="1782"/>
      <c r="P726" s="1783"/>
      <c r="Q726" s="1783"/>
      <c r="R726" s="1783"/>
      <c r="S726" s="1784"/>
      <c r="T726" s="1785">
        <f t="shared" si="33"/>
        <v>0</v>
      </c>
      <c r="U726" s="1786"/>
      <c r="V726" s="1786"/>
      <c r="W726" s="1786"/>
      <c r="X726" s="1787"/>
      <c r="Y726" s="1782">
        <v>0</v>
      </c>
      <c r="Z726" s="1783"/>
      <c r="AA726" s="1783"/>
      <c r="AB726" s="1784"/>
      <c r="AC726" s="1785">
        <f t="shared" si="34"/>
        <v>0</v>
      </c>
      <c r="AD726" s="1786"/>
      <c r="AE726" s="1786"/>
      <c r="AF726" s="1786"/>
      <c r="AG726" s="1787"/>
      <c r="AH726" s="1794">
        <v>0</v>
      </c>
      <c r="AI726" s="1795"/>
      <c r="AJ726" s="1795"/>
      <c r="AK726" s="1795"/>
      <c r="AL726" s="1796"/>
      <c r="AM726" s="1797" t="str">
        <f t="shared" si="35"/>
        <v xml:space="preserve"> </v>
      </c>
      <c r="AN726" s="1798"/>
      <c r="AO726" s="1799"/>
      <c r="BA726" s="75"/>
      <c r="BB726" s="75"/>
      <c r="BC726" s="75"/>
      <c r="BD726" s="75"/>
      <c r="BE726" s="75"/>
      <c r="BF726" s="75"/>
      <c r="BG726" s="1453">
        <f t="shared" si="36"/>
        <v>3</v>
      </c>
      <c r="BH726" s="1457">
        <f t="shared" si="37"/>
        <v>3.4090909090909088E-2</v>
      </c>
      <c r="BI726" s="1458">
        <f t="shared" si="38"/>
        <v>1.276267702147099E-2</v>
      </c>
      <c r="BJ726" s="75"/>
      <c r="BK726" s="75"/>
      <c r="BL726" s="75"/>
      <c r="BM726" s="75"/>
      <c r="BN726" s="75"/>
      <c r="BO726" s="75"/>
      <c r="BP726" s="905" t="s">
        <v>125</v>
      </c>
      <c r="BQ726" s="904">
        <v>3196</v>
      </c>
      <c r="BR726" s="904">
        <v>3426</v>
      </c>
      <c r="BS726" s="904">
        <v>4112</v>
      </c>
      <c r="BT726" s="904">
        <v>4750</v>
      </c>
      <c r="BU726" s="904">
        <v>5300</v>
      </c>
      <c r="BV726" s="904">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1"/>
      <c r="B727" s="1771"/>
      <c r="C727" s="1772"/>
      <c r="D727" s="1772"/>
      <c r="E727" s="1772"/>
      <c r="F727" s="1773"/>
      <c r="G727" s="1768"/>
      <c r="H727" s="1769"/>
      <c r="I727" s="1769"/>
      <c r="J727" s="1770"/>
      <c r="K727" s="1779"/>
      <c r="L727" s="1780"/>
      <c r="M727" s="1780"/>
      <c r="N727" s="1781"/>
      <c r="O727" s="1782"/>
      <c r="P727" s="1783"/>
      <c r="Q727" s="1783"/>
      <c r="R727" s="1783"/>
      <c r="S727" s="1784"/>
      <c r="T727" s="1785">
        <f t="shared" si="33"/>
        <v>0</v>
      </c>
      <c r="U727" s="1786"/>
      <c r="V727" s="1786"/>
      <c r="W727" s="1786"/>
      <c r="X727" s="1787"/>
      <c r="Y727" s="1782">
        <v>0</v>
      </c>
      <c r="Z727" s="1783"/>
      <c r="AA727" s="1783"/>
      <c r="AB727" s="1784"/>
      <c r="AC727" s="1785">
        <f t="shared" si="34"/>
        <v>0</v>
      </c>
      <c r="AD727" s="1786"/>
      <c r="AE727" s="1786"/>
      <c r="AF727" s="1786"/>
      <c r="AG727" s="1787"/>
      <c r="AH727" s="1794">
        <v>0</v>
      </c>
      <c r="AI727" s="1795"/>
      <c r="AJ727" s="1795"/>
      <c r="AK727" s="1795"/>
      <c r="AL727" s="1796"/>
      <c r="AM727" s="1797" t="str">
        <f t="shared" si="35"/>
        <v xml:space="preserve"> </v>
      </c>
      <c r="AN727" s="1798"/>
      <c r="AO727" s="1799"/>
      <c r="BA727" s="75"/>
      <c r="BB727" s="75"/>
      <c r="BC727" s="75"/>
      <c r="BD727" s="75"/>
      <c r="BE727" s="75"/>
      <c r="BF727" s="75"/>
      <c r="BG727" s="1453">
        <f t="shared" si="36"/>
        <v>8</v>
      </c>
      <c r="BH727" s="1457">
        <f t="shared" si="37"/>
        <v>9.0909090909090912E-2</v>
      </c>
      <c r="BI727" s="1458">
        <f t="shared" si="38"/>
        <v>3.4033805390589311E-2</v>
      </c>
      <c r="BJ727" s="75"/>
      <c r="BK727" s="75"/>
      <c r="BL727" s="75"/>
      <c r="BM727" s="75"/>
      <c r="BN727" s="75"/>
      <c r="BO727" s="75"/>
      <c r="BP727" s="905" t="s">
        <v>126</v>
      </c>
      <c r="BQ727" s="904">
        <v>1294</v>
      </c>
      <c r="BR727" s="904">
        <v>1386</v>
      </c>
      <c r="BS727" s="904">
        <v>1664</v>
      </c>
      <c r="BT727" s="904">
        <v>1924</v>
      </c>
      <c r="BU727" s="904">
        <v>2146</v>
      </c>
      <c r="BV727" s="904">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1"/>
      <c r="B728" s="1771"/>
      <c r="C728" s="1772"/>
      <c r="D728" s="1772"/>
      <c r="E728" s="1772"/>
      <c r="F728" s="1773"/>
      <c r="G728" s="1768"/>
      <c r="H728" s="1769"/>
      <c r="I728" s="1769"/>
      <c r="J728" s="1770"/>
      <c r="K728" s="1779"/>
      <c r="L728" s="1780"/>
      <c r="M728" s="1780"/>
      <c r="N728" s="1781"/>
      <c r="O728" s="1782"/>
      <c r="P728" s="1783"/>
      <c r="Q728" s="1783"/>
      <c r="R728" s="1783"/>
      <c r="S728" s="1784"/>
      <c r="T728" s="1785">
        <f t="shared" si="33"/>
        <v>0</v>
      </c>
      <c r="U728" s="1786"/>
      <c r="V728" s="1786"/>
      <c r="W728" s="1786"/>
      <c r="X728" s="1787"/>
      <c r="Y728" s="1782">
        <v>0</v>
      </c>
      <c r="Z728" s="1783"/>
      <c r="AA728" s="1783"/>
      <c r="AB728" s="1784"/>
      <c r="AC728" s="1785">
        <f t="shared" si="34"/>
        <v>0</v>
      </c>
      <c r="AD728" s="1786"/>
      <c r="AE728" s="1786"/>
      <c r="AF728" s="1786"/>
      <c r="AG728" s="1787"/>
      <c r="AH728" s="1794">
        <v>0</v>
      </c>
      <c r="AI728" s="1795"/>
      <c r="AJ728" s="1795"/>
      <c r="AK728" s="1795"/>
      <c r="AL728" s="1796"/>
      <c r="AM728" s="1797" t="str">
        <f t="shared" si="35"/>
        <v xml:space="preserve"> </v>
      </c>
      <c r="AN728" s="1798"/>
      <c r="AO728" s="1799"/>
      <c r="BA728" s="62"/>
      <c r="BB728" s="326"/>
      <c r="BC728" s="326"/>
      <c r="BD728" s="326"/>
      <c r="BE728" s="804"/>
      <c r="BF728" s="804"/>
      <c r="BG728" s="1453">
        <f t="shared" si="36"/>
        <v>8</v>
      </c>
      <c r="BH728" s="1457">
        <f t="shared" si="37"/>
        <v>9.0909090909090912E-2</v>
      </c>
      <c r="BI728" s="1458">
        <f t="shared" si="38"/>
        <v>3.4033805390589311E-2</v>
      </c>
      <c r="BJ728" s="75"/>
      <c r="BK728" s="75"/>
      <c r="BL728" s="75"/>
      <c r="BM728" s="75"/>
      <c r="BN728" s="75"/>
      <c r="BO728" s="75"/>
      <c r="BP728" s="905" t="s">
        <v>127</v>
      </c>
      <c r="BQ728" s="904">
        <v>1712</v>
      </c>
      <c r="BR728" s="904">
        <v>1834</v>
      </c>
      <c r="BS728" s="904">
        <v>2202</v>
      </c>
      <c r="BT728" s="904">
        <v>2542</v>
      </c>
      <c r="BU728" s="904">
        <v>2836</v>
      </c>
      <c r="BV728" s="904">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1"/>
      <c r="B729" s="1771"/>
      <c r="C729" s="1772"/>
      <c r="D729" s="1772"/>
      <c r="E729" s="1772"/>
      <c r="F729" s="1773"/>
      <c r="G729" s="1768"/>
      <c r="H729" s="1769"/>
      <c r="I729" s="1769"/>
      <c r="J729" s="1770"/>
      <c r="K729" s="1779"/>
      <c r="L729" s="1780"/>
      <c r="M729" s="1780"/>
      <c r="N729" s="1781"/>
      <c r="O729" s="1782"/>
      <c r="P729" s="1783"/>
      <c r="Q729" s="1783"/>
      <c r="R729" s="1783"/>
      <c r="S729" s="1784"/>
      <c r="T729" s="1785">
        <f t="shared" si="33"/>
        <v>0</v>
      </c>
      <c r="U729" s="1786"/>
      <c r="V729" s="1786"/>
      <c r="W729" s="1786"/>
      <c r="X729" s="1787"/>
      <c r="Y729" s="1782">
        <v>0</v>
      </c>
      <c r="Z729" s="1783"/>
      <c r="AA729" s="1783"/>
      <c r="AB729" s="1784"/>
      <c r="AC729" s="1785">
        <f t="shared" si="34"/>
        <v>0</v>
      </c>
      <c r="AD729" s="1786"/>
      <c r="AE729" s="1786"/>
      <c r="AF729" s="1786"/>
      <c r="AG729" s="1787"/>
      <c r="AH729" s="1794">
        <v>0</v>
      </c>
      <c r="AI729" s="1795"/>
      <c r="AJ729" s="1795"/>
      <c r="AK729" s="1795"/>
      <c r="AL729" s="1796"/>
      <c r="AM729" s="1797" t="str">
        <f t="shared" si="35"/>
        <v xml:space="preserve"> </v>
      </c>
      <c r="AN729" s="1798"/>
      <c r="AO729" s="1799"/>
      <c r="BA729" s="326"/>
      <c r="BB729" s="326"/>
      <c r="BC729" s="326"/>
      <c r="BD729" s="326"/>
      <c r="BE729" s="804"/>
      <c r="BF729" s="804"/>
      <c r="BG729" s="1453">
        <f t="shared" si="36"/>
        <v>4</v>
      </c>
      <c r="BH729" s="1457">
        <f t="shared" si="37"/>
        <v>4.5454545454545456E-2</v>
      </c>
      <c r="BI729" s="1458">
        <f t="shared" si="38"/>
        <v>9.0823810336005464E-3</v>
      </c>
      <c r="BJ729" s="75"/>
      <c r="BK729" s="75"/>
      <c r="BL729" s="75"/>
      <c r="BM729" s="75"/>
      <c r="BN729" s="75"/>
      <c r="BO729" s="75"/>
      <c r="BP729" s="905" t="s">
        <v>128</v>
      </c>
      <c r="BQ729" s="904">
        <v>3196</v>
      </c>
      <c r="BR729" s="904">
        <v>3426</v>
      </c>
      <c r="BS729" s="904">
        <v>4112</v>
      </c>
      <c r="BT729" s="904">
        <v>4750</v>
      </c>
      <c r="BU729" s="904">
        <v>5300</v>
      </c>
      <c r="BV729" s="904">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1"/>
      <c r="B730" s="1771"/>
      <c r="C730" s="1772"/>
      <c r="D730" s="1772"/>
      <c r="E730" s="1772"/>
      <c r="F730" s="1773"/>
      <c r="G730" s="1768"/>
      <c r="H730" s="1769"/>
      <c r="I730" s="1769"/>
      <c r="J730" s="1770"/>
      <c r="K730" s="1779"/>
      <c r="L730" s="1780"/>
      <c r="M730" s="1780"/>
      <c r="N730" s="1781"/>
      <c r="O730" s="1782"/>
      <c r="P730" s="1783"/>
      <c r="Q730" s="1783"/>
      <c r="R730" s="1783"/>
      <c r="S730" s="1784"/>
      <c r="T730" s="1785">
        <f t="shared" si="33"/>
        <v>0</v>
      </c>
      <c r="U730" s="1786"/>
      <c r="V730" s="1786"/>
      <c r="W730" s="1786"/>
      <c r="X730" s="1787"/>
      <c r="Y730" s="1782">
        <v>0</v>
      </c>
      <c r="Z730" s="1783"/>
      <c r="AA730" s="1783"/>
      <c r="AB730" s="1784"/>
      <c r="AC730" s="1785">
        <f t="shared" si="34"/>
        <v>0</v>
      </c>
      <c r="AD730" s="1786"/>
      <c r="AE730" s="1786"/>
      <c r="AF730" s="1786"/>
      <c r="AG730" s="1787"/>
      <c r="AH730" s="1794">
        <v>0</v>
      </c>
      <c r="AI730" s="1795"/>
      <c r="AJ730" s="1795"/>
      <c r="AK730" s="1795"/>
      <c r="AL730" s="1796"/>
      <c r="AM730" s="1797" t="str">
        <f t="shared" si="35"/>
        <v xml:space="preserve"> </v>
      </c>
      <c r="AN730" s="1798"/>
      <c r="AO730" s="1799"/>
      <c r="BA730" s="326"/>
      <c r="BB730" s="326"/>
      <c r="BC730" s="326"/>
      <c r="BD730" s="326"/>
      <c r="BE730" s="804"/>
      <c r="BF730" s="804"/>
      <c r="BG730" s="1453">
        <f t="shared" si="36"/>
        <v>2</v>
      </c>
      <c r="BH730" s="1457">
        <f t="shared" si="37"/>
        <v>2.2727272727272728E-2</v>
      </c>
      <c r="BI730" s="1458">
        <f t="shared" si="38"/>
        <v>6.8117857752004098E-3</v>
      </c>
      <c r="BJ730" s="75"/>
      <c r="BK730" s="75"/>
      <c r="BL730" s="75"/>
      <c r="BM730" s="75"/>
      <c r="BN730" s="75"/>
      <c r="BO730" s="75"/>
      <c r="BP730" s="905" t="s">
        <v>885</v>
      </c>
      <c r="BQ730" s="904">
        <v>2186</v>
      </c>
      <c r="BR730" s="904">
        <v>2342</v>
      </c>
      <c r="BS730" s="904">
        <v>2812</v>
      </c>
      <c r="BT730" s="904">
        <v>3246</v>
      </c>
      <c r="BU730" s="904">
        <v>3622</v>
      </c>
      <c r="BV730" s="904">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1"/>
      <c r="B731" s="1807" t="s">
        <v>976</v>
      </c>
      <c r="C731" s="1808"/>
      <c r="D731" s="1808"/>
      <c r="E731" s="1808"/>
      <c r="F731" s="1809"/>
      <c r="G731" s="1888">
        <f>SUM(G706:J730)</f>
        <v>88</v>
      </c>
      <c r="H731" s="1889"/>
      <c r="I731" s="1889"/>
      <c r="J731" s="1890"/>
      <c r="K731" s="1391"/>
      <c r="L731" s="1391"/>
      <c r="M731" s="1391"/>
      <c r="N731" s="1391"/>
      <c r="O731" s="681" t="s">
        <v>975</v>
      </c>
      <c r="P731" s="682"/>
      <c r="Q731" s="682"/>
      <c r="R731" s="682"/>
      <c r="S731" s="1443"/>
      <c r="T731" s="1785">
        <f>SUM(T706:X730)</f>
        <v>59004</v>
      </c>
      <c r="U731" s="1786"/>
      <c r="V731" s="1786"/>
      <c r="W731" s="1786"/>
      <c r="X731" s="1787"/>
      <c r="Y731" s="1391"/>
      <c r="Z731" s="1391"/>
      <c r="AA731" s="1391"/>
      <c r="AB731" s="1391"/>
      <c r="AC731" s="1444" t="s">
        <v>1262</v>
      </c>
      <c r="AD731" s="1445"/>
      <c r="AE731" s="1445"/>
      <c r="AF731" s="1445"/>
      <c r="AG731" s="1446"/>
      <c r="AH731" s="1953">
        <f>BI715</f>
        <v>0.34772727272727272</v>
      </c>
      <c r="AI731" s="1954"/>
      <c r="AJ731" s="1954"/>
      <c r="AK731" s="1954"/>
      <c r="AL731" s="1955"/>
      <c r="AM731" s="1953">
        <f>BI746</f>
        <v>0.31427462099511799</v>
      </c>
      <c r="AN731" s="1954"/>
      <c r="AO731" s="1955"/>
      <c r="BA731" s="326"/>
      <c r="BB731" s="326"/>
      <c r="BC731" s="326"/>
      <c r="BD731" s="326"/>
      <c r="BE731" s="804"/>
      <c r="BF731" s="804"/>
      <c r="BG731" s="1453">
        <f t="shared" si="36"/>
        <v>1</v>
      </c>
      <c r="BH731" s="1457">
        <f t="shared" si="37"/>
        <v>1.1363636363636364E-2</v>
      </c>
      <c r="BI731" s="1458">
        <f t="shared" si="38"/>
        <v>3.4090909090909089E-3</v>
      </c>
      <c r="BJ731" s="75"/>
      <c r="BK731" s="75"/>
      <c r="BL731" s="75"/>
      <c r="BM731" s="75"/>
      <c r="BN731" s="75"/>
      <c r="BO731" s="75"/>
      <c r="BP731" s="905" t="s">
        <v>886</v>
      </c>
      <c r="BQ731" s="904">
        <v>2900</v>
      </c>
      <c r="BR731" s="904">
        <v>3106</v>
      </c>
      <c r="BS731" s="904">
        <v>3730</v>
      </c>
      <c r="BT731" s="904">
        <v>4308</v>
      </c>
      <c r="BU731" s="904">
        <v>4806</v>
      </c>
      <c r="BV731" s="904">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1"/>
      <c r="H732" s="781"/>
      <c r="I732" s="781"/>
      <c r="J732" s="781"/>
      <c r="K732" s="103"/>
      <c r="L732" s="103"/>
      <c r="M732" s="103"/>
      <c r="N732" s="103"/>
      <c r="O732" s="103"/>
      <c r="P732" s="468"/>
      <c r="Q732" s="468"/>
      <c r="R732" s="468"/>
      <c r="S732" s="468"/>
      <c r="T732" s="468"/>
      <c r="U732" s="500"/>
      <c r="Y732" s="103"/>
      <c r="Z732" s="103"/>
      <c r="AA732" s="103"/>
      <c r="AB732" s="103"/>
      <c r="AC732" s="103"/>
      <c r="AD732" s="780"/>
      <c r="AE732" s="89"/>
      <c r="AF732" s="89"/>
      <c r="AG732" s="89"/>
      <c r="AH732" s="89"/>
      <c r="AL732" s="72"/>
      <c r="AM732" s="804"/>
      <c r="BA732" s="72"/>
      <c r="BB732" s="72"/>
      <c r="BC732" s="72"/>
      <c r="BD732" s="72"/>
      <c r="BE732" s="72"/>
      <c r="BF732" s="72"/>
      <c r="BG732" s="1453">
        <f t="shared" si="36"/>
        <v>1</v>
      </c>
      <c r="BH732" s="1457">
        <f t="shared" si="37"/>
        <v>1.1363636363636364E-2</v>
      </c>
      <c r="BI732" s="1458">
        <f t="shared" si="38"/>
        <v>3.4060155000615083E-3</v>
      </c>
      <c r="BJ732" s="72"/>
      <c r="BK732" s="72"/>
      <c r="BL732" s="72"/>
      <c r="BM732" s="72"/>
      <c r="BN732" s="72"/>
      <c r="BO732" s="72"/>
      <c r="BP732" s="905" t="s">
        <v>887</v>
      </c>
      <c r="BQ732" s="904">
        <v>2432</v>
      </c>
      <c r="BR732" s="904">
        <v>2606</v>
      </c>
      <c r="BS732" s="904">
        <v>3126</v>
      </c>
      <c r="BT732" s="904">
        <v>3614</v>
      </c>
      <c r="BU732" s="904">
        <v>4032</v>
      </c>
      <c r="BV732" s="904">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4" t="s">
        <v>1371</v>
      </c>
      <c r="C733" s="783"/>
      <c r="D733" s="783"/>
      <c r="E733" s="783"/>
      <c r="F733" s="783"/>
      <c r="G733" s="786"/>
      <c r="H733" s="786"/>
      <c r="I733" s="786"/>
      <c r="J733" s="786"/>
      <c r="K733" s="783"/>
      <c r="L733" s="783"/>
      <c r="M733" s="783"/>
      <c r="N733" s="783"/>
      <c r="O733" s="783"/>
      <c r="P733" s="785"/>
      <c r="Q733" s="785"/>
      <c r="R733" s="785"/>
      <c r="S733" s="785"/>
      <c r="T733" s="785"/>
      <c r="U733" s="597"/>
      <c r="V733" s="597"/>
      <c r="W733" s="597"/>
      <c r="X733" s="597"/>
      <c r="Y733" s="783"/>
      <c r="Z733" s="783"/>
      <c r="AA733" s="783"/>
      <c r="AB733" s="783"/>
      <c r="AC733" s="783"/>
      <c r="AD733" s="787"/>
      <c r="AE733" s="788"/>
      <c r="AF733" s="2155" t="s">
        <v>136</v>
      </c>
      <c r="AG733" s="2155"/>
      <c r="AH733" s="2155"/>
      <c r="AL733" s="72"/>
      <c r="AM733" s="72"/>
      <c r="BA733" s="72"/>
      <c r="BB733" s="72"/>
      <c r="BC733" s="72"/>
      <c r="BD733" s="72"/>
      <c r="BE733" s="72"/>
      <c r="BF733" s="72"/>
      <c r="BG733" s="1453">
        <f t="shared" si="36"/>
        <v>2</v>
      </c>
      <c r="BH733" s="1457">
        <f t="shared" si="37"/>
        <v>2.2727272727272728E-2</v>
      </c>
      <c r="BI733" s="1458">
        <f t="shared" si="38"/>
        <v>1.1363636363636364E-2</v>
      </c>
      <c r="BJ733" s="72"/>
      <c r="BK733" s="72"/>
      <c r="BL733" s="72"/>
      <c r="BM733" s="72"/>
      <c r="BN733" s="72"/>
      <c r="BO733" s="72"/>
      <c r="BP733" s="905" t="s">
        <v>888</v>
      </c>
      <c r="BQ733" s="904">
        <v>1242</v>
      </c>
      <c r="BR733" s="904">
        <v>1330</v>
      </c>
      <c r="BS733" s="904">
        <v>1596</v>
      </c>
      <c r="BT733" s="904">
        <v>1846</v>
      </c>
      <c r="BU733" s="904">
        <v>2060</v>
      </c>
      <c r="BV733" s="904">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2" t="s">
        <v>1702</v>
      </c>
      <c r="C734" s="801"/>
      <c r="D734" s="801"/>
      <c r="E734" s="801"/>
      <c r="F734" s="801"/>
      <c r="G734" s="786"/>
      <c r="H734" s="786"/>
      <c r="I734" s="786"/>
      <c r="J734" s="786"/>
      <c r="K734" s="801"/>
      <c r="L734" s="801"/>
      <c r="M734" s="801"/>
      <c r="N734" s="801"/>
      <c r="O734" s="801"/>
      <c r="P734" s="785"/>
      <c r="Q734" s="785"/>
      <c r="R734" s="785"/>
      <c r="S734" s="785"/>
      <c r="T734" s="785"/>
      <c r="U734" s="791"/>
      <c r="V734" s="791"/>
      <c r="W734" s="791"/>
      <c r="X734" s="791"/>
      <c r="Y734" s="801"/>
      <c r="Z734" s="801"/>
      <c r="AA734" s="801"/>
      <c r="AB734" s="801"/>
      <c r="AC734" s="801"/>
      <c r="AD734" s="802"/>
      <c r="AE734" s="803"/>
      <c r="AF734" s="803"/>
      <c r="AG734" s="803"/>
      <c r="AH734" s="803"/>
      <c r="AI734" s="50"/>
      <c r="AJ734" s="50"/>
      <c r="AK734" s="50"/>
      <c r="AL734" s="72"/>
      <c r="AM734" s="72"/>
      <c r="BA734" s="72"/>
      <c r="BB734" s="72"/>
      <c r="BC734" s="72"/>
      <c r="BD734" s="72"/>
      <c r="BE734" s="72"/>
      <c r="BF734" s="72"/>
      <c r="BG734" s="1453">
        <f t="shared" si="36"/>
        <v>4</v>
      </c>
      <c r="BH734" s="1457">
        <f t="shared" si="37"/>
        <v>4.5454545454545456E-2</v>
      </c>
      <c r="BI734" s="1458">
        <f t="shared" si="38"/>
        <v>2.7268463244073001E-2</v>
      </c>
      <c r="BJ734" s="72"/>
      <c r="BK734" s="72"/>
      <c r="BL734" s="72"/>
      <c r="BM734" s="72"/>
      <c r="BN734" s="72"/>
      <c r="BO734" s="72"/>
      <c r="BP734" s="905" t="s">
        <v>889</v>
      </c>
      <c r="BQ734" s="904">
        <v>1480</v>
      </c>
      <c r="BR734" s="904">
        <v>1584</v>
      </c>
      <c r="BS734" s="904">
        <v>1902</v>
      </c>
      <c r="BT734" s="904">
        <v>2196</v>
      </c>
      <c r="BU734" s="904">
        <v>2452</v>
      </c>
      <c r="BV734" s="904">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2" t="s">
        <v>1703</v>
      </c>
      <c r="C735" s="801"/>
      <c r="D735" s="801"/>
      <c r="E735" s="801"/>
      <c r="F735" s="801"/>
      <c r="G735" s="786"/>
      <c r="H735" s="786"/>
      <c r="I735" s="786"/>
      <c r="J735" s="786"/>
      <c r="K735" s="801"/>
      <c r="L735" s="801"/>
      <c r="M735" s="801"/>
      <c r="N735" s="801"/>
      <c r="O735" s="801"/>
      <c r="P735" s="785"/>
      <c r="Q735" s="785"/>
      <c r="R735" s="785"/>
      <c r="S735" s="785"/>
      <c r="T735" s="785"/>
      <c r="U735" s="791"/>
      <c r="V735" s="791"/>
      <c r="W735" s="791"/>
      <c r="X735" s="791"/>
      <c r="Y735" s="801"/>
      <c r="Z735" s="801"/>
      <c r="AA735" s="801"/>
      <c r="AB735" s="801"/>
      <c r="AC735" s="801"/>
      <c r="AD735" s="802"/>
      <c r="AE735" s="803"/>
      <c r="AF735" s="803"/>
      <c r="AG735" s="803"/>
      <c r="AH735" s="803"/>
      <c r="AI735" s="50"/>
      <c r="AJ735" s="50"/>
      <c r="AK735" s="50"/>
      <c r="AL735" s="72"/>
      <c r="AM735" s="72"/>
      <c r="BA735" s="72"/>
      <c r="BB735" s="72"/>
      <c r="BC735" s="72"/>
      <c r="BD735" s="72"/>
      <c r="BE735" s="72"/>
      <c r="BF735" s="72"/>
      <c r="BG735" s="1453">
        <f t="shared" si="36"/>
        <v>5</v>
      </c>
      <c r="BH735" s="1457">
        <f t="shared" si="37"/>
        <v>5.6818181818181816E-2</v>
      </c>
      <c r="BI735" s="1458">
        <f t="shared" si="38"/>
        <v>3.4090909090909088E-2</v>
      </c>
      <c r="BJ735" s="72"/>
      <c r="BK735" s="72"/>
      <c r="BL735" s="72"/>
      <c r="BM735" s="72"/>
      <c r="BN735" s="72"/>
      <c r="BO735" s="72"/>
      <c r="BP735" s="905" t="s">
        <v>890</v>
      </c>
      <c r="BQ735" s="904">
        <v>1220</v>
      </c>
      <c r="BR735" s="904">
        <v>1306</v>
      </c>
      <c r="BS735" s="904">
        <v>1570</v>
      </c>
      <c r="BT735" s="904">
        <v>1812</v>
      </c>
      <c r="BU735" s="904">
        <v>2022</v>
      </c>
      <c r="BV735" s="904">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2"/>
      <c r="C736" s="783"/>
      <c r="D736" s="783"/>
      <c r="E736" s="783"/>
      <c r="F736" s="783"/>
      <c r="G736" s="786"/>
      <c r="H736" s="786"/>
      <c r="I736" s="786"/>
      <c r="J736" s="786"/>
      <c r="K736" s="783"/>
      <c r="L736" s="783"/>
      <c r="M736" s="783"/>
      <c r="N736" s="783"/>
      <c r="O736" s="783"/>
      <c r="P736" s="785"/>
      <c r="Q736" s="785"/>
      <c r="R736" s="785"/>
      <c r="S736" s="785"/>
      <c r="T736" s="785"/>
      <c r="U736" s="597"/>
      <c r="V736" s="597"/>
      <c r="W736" s="597"/>
      <c r="X736" s="597"/>
      <c r="Y736" s="783"/>
      <c r="Z736" s="783"/>
      <c r="AA736" s="783"/>
      <c r="AB736" s="597"/>
      <c r="AC736" s="597"/>
      <c r="AD736" s="597"/>
      <c r="AE736" s="597"/>
      <c r="AF736" s="597"/>
      <c r="AG736" s="788"/>
      <c r="AH736" s="788"/>
      <c r="AL736" s="72"/>
      <c r="AM736" s="72"/>
      <c r="BA736" s="72"/>
      <c r="BB736" s="72"/>
      <c r="BC736" s="72"/>
      <c r="BD736" s="72"/>
      <c r="BE736" s="72"/>
      <c r="BF736" s="72"/>
      <c r="BG736" s="1453">
        <f t="shared" si="36"/>
        <v>4</v>
      </c>
      <c r="BH736" s="1457">
        <f t="shared" si="37"/>
        <v>4.5454545454545456E-2</v>
      </c>
      <c r="BI736" s="1458">
        <f t="shared" si="38"/>
        <v>2.7263501045639071E-2</v>
      </c>
      <c r="BJ736" s="72"/>
      <c r="BK736" s="72"/>
      <c r="BL736" s="72"/>
      <c r="BM736" s="72"/>
      <c r="BN736" s="72"/>
      <c r="BO736" s="72"/>
      <c r="BP736" s="905" t="s">
        <v>891</v>
      </c>
      <c r="BQ736" s="904">
        <v>1700</v>
      </c>
      <c r="BR736" s="904">
        <v>1820</v>
      </c>
      <c r="BS736" s="904">
        <v>2184</v>
      </c>
      <c r="BT736" s="904">
        <v>2524</v>
      </c>
      <c r="BU736" s="904">
        <v>2816</v>
      </c>
      <c r="BV736" s="904">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2"/>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3">
        <f t="shared" si="36"/>
        <v>0</v>
      </c>
      <c r="BH737" s="1457">
        <f t="shared" si="37"/>
        <v>0</v>
      </c>
      <c r="BI737" s="1458" t="str">
        <f t="shared" si="38"/>
        <v xml:space="preserve"> </v>
      </c>
      <c r="BJ737" s="72"/>
      <c r="BK737" s="72"/>
      <c r="BL737" s="72"/>
      <c r="BM737" s="72"/>
      <c r="BN737" s="72"/>
      <c r="BO737" s="72"/>
      <c r="BP737" s="905" t="s">
        <v>927</v>
      </c>
      <c r="BQ737" s="904">
        <v>2036</v>
      </c>
      <c r="BR737" s="904">
        <v>2182</v>
      </c>
      <c r="BS737" s="904">
        <v>2616</v>
      </c>
      <c r="BT737" s="904">
        <v>3024</v>
      </c>
      <c r="BU737" s="904">
        <v>3374</v>
      </c>
      <c r="BV737" s="904">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68" t="s">
        <v>1701</v>
      </c>
      <c r="D738" s="2068"/>
      <c r="E738" s="2068"/>
      <c r="F738" s="2068"/>
      <c r="G738" s="2068"/>
      <c r="H738" s="2068"/>
      <c r="I738" s="2068"/>
      <c r="J738" s="2068"/>
      <c r="K738" s="2068"/>
      <c r="L738" s="2068"/>
      <c r="M738" s="2068"/>
      <c r="N738" s="2068"/>
      <c r="O738" s="2068"/>
      <c r="P738" s="2068"/>
      <c r="Q738" s="2068"/>
      <c r="R738" s="2068"/>
      <c r="S738" s="2068"/>
      <c r="T738" s="2068"/>
      <c r="U738" s="2068"/>
      <c r="V738" s="2068"/>
      <c r="W738" s="2068"/>
      <c r="X738" s="2068"/>
      <c r="Y738" s="2068"/>
      <c r="Z738" s="2068"/>
      <c r="AA738" s="2068"/>
      <c r="AB738" s="2068"/>
      <c r="AC738" s="2068"/>
      <c r="AD738" s="2068"/>
      <c r="AE738" s="2068"/>
      <c r="AF738" s="2068"/>
      <c r="AG738" s="2068"/>
      <c r="AH738" s="2068"/>
      <c r="AI738" s="2068"/>
      <c r="AJ738" s="2068"/>
      <c r="AK738" s="2068"/>
      <c r="AM738" s="72"/>
      <c r="BA738" s="72"/>
      <c r="BB738" s="72"/>
      <c r="BC738" s="72"/>
      <c r="BD738" s="72"/>
      <c r="BE738" s="72"/>
      <c r="BF738" s="72"/>
      <c r="BG738" s="1453">
        <f t="shared" si="36"/>
        <v>0</v>
      </c>
      <c r="BH738" s="1457">
        <f t="shared" si="37"/>
        <v>0</v>
      </c>
      <c r="BI738" s="1458" t="str">
        <f t="shared" si="38"/>
        <v xml:space="preserve"> </v>
      </c>
      <c r="BJ738" s="72"/>
      <c r="BK738" s="72"/>
      <c r="BL738" s="72"/>
      <c r="BM738" s="72"/>
      <c r="BN738" s="72"/>
      <c r="BO738" s="72"/>
      <c r="BP738" s="905" t="s">
        <v>892</v>
      </c>
      <c r="BQ738" s="904">
        <v>1250</v>
      </c>
      <c r="BR738" s="904">
        <v>1338</v>
      </c>
      <c r="BS738" s="904">
        <v>1604</v>
      </c>
      <c r="BT738" s="904">
        <v>1854</v>
      </c>
      <c r="BU738" s="904">
        <v>2070</v>
      </c>
      <c r="BV738" s="904">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68"/>
      <c r="D739" s="2068"/>
      <c r="E739" s="2068"/>
      <c r="F739" s="2068"/>
      <c r="G739" s="2068"/>
      <c r="H739" s="2068"/>
      <c r="I739" s="2068"/>
      <c r="J739" s="2068"/>
      <c r="K739" s="2068"/>
      <c r="L739" s="2068"/>
      <c r="M739" s="2068"/>
      <c r="N739" s="2068"/>
      <c r="O739" s="2068"/>
      <c r="P739" s="2068"/>
      <c r="Q739" s="2068"/>
      <c r="R739" s="2068"/>
      <c r="S739" s="2068"/>
      <c r="T739" s="2068"/>
      <c r="U739" s="2068"/>
      <c r="V739" s="2068"/>
      <c r="W739" s="2068"/>
      <c r="X739" s="2068"/>
      <c r="Y739" s="2068"/>
      <c r="Z739" s="2068"/>
      <c r="AA739" s="2068"/>
      <c r="AB739" s="2068"/>
      <c r="AC739" s="2068"/>
      <c r="AD739" s="2068"/>
      <c r="AE739" s="2068"/>
      <c r="AF739" s="2068"/>
      <c r="AG739" s="2068"/>
      <c r="AH739" s="2068"/>
      <c r="AI739" s="2068"/>
      <c r="AJ739" s="2068"/>
      <c r="AK739" s="2068"/>
      <c r="AM739" s="72"/>
      <c r="BA739" s="72"/>
      <c r="BB739" s="72"/>
      <c r="BC739" s="72"/>
      <c r="BD739" s="72"/>
      <c r="BE739" s="72"/>
      <c r="BF739" s="72"/>
      <c r="BG739" s="1453">
        <f t="shared" si="36"/>
        <v>0</v>
      </c>
      <c r="BH739" s="1457">
        <f t="shared" si="37"/>
        <v>0</v>
      </c>
      <c r="BI739" s="1458" t="str">
        <f t="shared" si="38"/>
        <v xml:space="preserve"> </v>
      </c>
      <c r="BJ739" s="72"/>
      <c r="BK739" s="72"/>
      <c r="BL739" s="72"/>
      <c r="BM739" s="72"/>
      <c r="BN739" s="72"/>
      <c r="BO739" s="72"/>
      <c r="BP739" s="905" t="s">
        <v>893</v>
      </c>
      <c r="BQ739" s="904">
        <v>1220</v>
      </c>
      <c r="BR739" s="904">
        <v>1306</v>
      </c>
      <c r="BS739" s="904">
        <v>1570</v>
      </c>
      <c r="BT739" s="904">
        <v>1812</v>
      </c>
      <c r="BU739" s="904">
        <v>2022</v>
      </c>
      <c r="BV739" s="904">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95" customHeight="1">
      <c r="A740" s="63"/>
      <c r="B740" s="105"/>
      <c r="C740" s="2068"/>
      <c r="D740" s="2068"/>
      <c r="E740" s="2068"/>
      <c r="F740" s="2068"/>
      <c r="G740" s="2068"/>
      <c r="H740" s="2068"/>
      <c r="I740" s="2068"/>
      <c r="J740" s="2068"/>
      <c r="K740" s="2068"/>
      <c r="L740" s="2068"/>
      <c r="M740" s="2068"/>
      <c r="N740" s="2068"/>
      <c r="O740" s="2068"/>
      <c r="P740" s="2068"/>
      <c r="Q740" s="2068"/>
      <c r="R740" s="2068"/>
      <c r="S740" s="2068"/>
      <c r="T740" s="2068"/>
      <c r="U740" s="2068"/>
      <c r="V740" s="2068"/>
      <c r="W740" s="2068"/>
      <c r="X740" s="2068"/>
      <c r="Y740" s="2068"/>
      <c r="Z740" s="2068"/>
      <c r="AA740" s="2068"/>
      <c r="AB740" s="2068"/>
      <c r="AC740" s="2068"/>
      <c r="AD740" s="2068"/>
      <c r="AE740" s="2068"/>
      <c r="AF740" s="2068"/>
      <c r="AG740" s="2068"/>
      <c r="AH740" s="2068"/>
      <c r="AI740" s="2068"/>
      <c r="AJ740" s="2068"/>
      <c r="AK740" s="2068"/>
      <c r="AM740" s="72"/>
      <c r="BA740" s="72"/>
      <c r="BB740" s="72"/>
      <c r="BC740" s="72"/>
      <c r="BD740" s="72"/>
      <c r="BE740" s="72"/>
      <c r="BF740" s="72"/>
      <c r="BG740" s="1453">
        <f t="shared" si="36"/>
        <v>0</v>
      </c>
      <c r="BH740" s="1457">
        <f t="shared" si="37"/>
        <v>0</v>
      </c>
      <c r="BI740" s="1458" t="str">
        <f t="shared" si="38"/>
        <v xml:space="preserve"> </v>
      </c>
      <c r="BJ740" s="72"/>
      <c r="BK740" s="72"/>
      <c r="BL740" s="72"/>
      <c r="BM740" s="72"/>
      <c r="BN740" s="72"/>
      <c r="BO740" s="72"/>
      <c r="BP740" s="905" t="s">
        <v>894</v>
      </c>
      <c r="BQ740" s="904">
        <v>1220</v>
      </c>
      <c r="BR740" s="904">
        <v>1306</v>
      </c>
      <c r="BS740" s="904">
        <v>1570</v>
      </c>
      <c r="BT740" s="904">
        <v>1812</v>
      </c>
      <c r="BU740" s="904">
        <v>2022</v>
      </c>
      <c r="BV740" s="904">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68"/>
      <c r="D741" s="2068"/>
      <c r="E741" s="2068"/>
      <c r="F741" s="2068"/>
      <c r="G741" s="2068"/>
      <c r="H741" s="2068"/>
      <c r="I741" s="2068"/>
      <c r="J741" s="2068"/>
      <c r="K741" s="2068"/>
      <c r="L741" s="2068"/>
      <c r="M741" s="2068"/>
      <c r="N741" s="2068"/>
      <c r="O741" s="2068"/>
      <c r="P741" s="2068"/>
      <c r="Q741" s="2068"/>
      <c r="R741" s="2068"/>
      <c r="S741" s="2068"/>
      <c r="T741" s="2068"/>
      <c r="U741" s="2068"/>
      <c r="V741" s="2068"/>
      <c r="W741" s="2068"/>
      <c r="X741" s="2068"/>
      <c r="Y741" s="2068"/>
      <c r="Z741" s="2068"/>
      <c r="AA741" s="2068"/>
      <c r="AB741" s="2068"/>
      <c r="AC741" s="2068"/>
      <c r="AD741" s="2068"/>
      <c r="AE741" s="2068"/>
      <c r="AF741" s="2068"/>
      <c r="AG741" s="2068"/>
      <c r="AH741" s="2068"/>
      <c r="AI741" s="2068"/>
      <c r="AJ741" s="2068"/>
      <c r="AK741" s="2068"/>
      <c r="AM741" s="72"/>
      <c r="BA741" s="72"/>
      <c r="BB741" s="72"/>
      <c r="BC741" s="72"/>
      <c r="BD741" s="72"/>
      <c r="BE741" s="72"/>
      <c r="BF741" s="72"/>
      <c r="BG741" s="1453">
        <f t="shared" si="36"/>
        <v>0</v>
      </c>
      <c r="BH741" s="1457">
        <f t="shared" si="37"/>
        <v>0</v>
      </c>
      <c r="BI741" s="1458" t="str">
        <f t="shared" si="38"/>
        <v xml:space="preserve"> </v>
      </c>
      <c r="BJ741" s="72"/>
      <c r="BK741" s="72"/>
      <c r="BL741" s="72"/>
      <c r="BM741" s="72"/>
      <c r="BN741" s="72"/>
      <c r="BO741" s="72"/>
      <c r="BP741" s="905" t="s">
        <v>895</v>
      </c>
      <c r="BQ741" s="904">
        <v>1220</v>
      </c>
      <c r="BR741" s="904">
        <v>1306</v>
      </c>
      <c r="BS741" s="904">
        <v>1570</v>
      </c>
      <c r="BT741" s="904">
        <v>1812</v>
      </c>
      <c r="BU741" s="904">
        <v>2022</v>
      </c>
      <c r="BV741" s="904">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68"/>
      <c r="D742" s="2068"/>
      <c r="E742" s="2068"/>
      <c r="F742" s="2068"/>
      <c r="G742" s="2068"/>
      <c r="H742" s="2068"/>
      <c r="I742" s="2068"/>
      <c r="J742" s="2068"/>
      <c r="K742" s="2068"/>
      <c r="L742" s="2068"/>
      <c r="M742" s="2068"/>
      <c r="N742" s="2068"/>
      <c r="O742" s="2068"/>
      <c r="P742" s="2068"/>
      <c r="Q742" s="2068"/>
      <c r="R742" s="2068"/>
      <c r="S742" s="2068"/>
      <c r="T742" s="2068"/>
      <c r="U742" s="2068"/>
      <c r="V742" s="2068"/>
      <c r="W742" s="2068"/>
      <c r="X742" s="2068"/>
      <c r="Y742" s="2068"/>
      <c r="Z742" s="2068"/>
      <c r="AA742" s="2068"/>
      <c r="AB742" s="2068"/>
      <c r="AC742" s="2068"/>
      <c r="AD742" s="2068"/>
      <c r="AE742" s="2068"/>
      <c r="AF742" s="2068"/>
      <c r="AG742" s="2068"/>
      <c r="AH742" s="2068"/>
      <c r="AI742" s="2068"/>
      <c r="AJ742" s="2068"/>
      <c r="AK742" s="2068"/>
      <c r="AM742" s="72"/>
      <c r="BA742" s="72"/>
      <c r="BB742" s="72"/>
      <c r="BC742" s="72"/>
      <c r="BD742" s="72"/>
      <c r="BE742" s="72"/>
      <c r="BF742" s="72"/>
      <c r="BG742" s="1453">
        <f t="shared" si="36"/>
        <v>0</v>
      </c>
      <c r="BH742" s="1457">
        <f t="shared" si="37"/>
        <v>0</v>
      </c>
      <c r="BI742" s="1458" t="str">
        <f t="shared" si="38"/>
        <v xml:space="preserve"> </v>
      </c>
      <c r="BJ742" s="72"/>
      <c r="BK742" s="72"/>
      <c r="BL742" s="72"/>
      <c r="BM742" s="72"/>
      <c r="BN742" s="72"/>
      <c r="BO742" s="72"/>
      <c r="BP742" s="905" t="s">
        <v>896</v>
      </c>
      <c r="BQ742" s="904">
        <v>1220</v>
      </c>
      <c r="BR742" s="904">
        <v>1306</v>
      </c>
      <c r="BS742" s="904">
        <v>1570</v>
      </c>
      <c r="BT742" s="904">
        <v>1812</v>
      </c>
      <c r="BU742" s="904">
        <v>2022</v>
      </c>
      <c r="BV742" s="904">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68"/>
      <c r="D743" s="2068"/>
      <c r="E743" s="2068"/>
      <c r="F743" s="2068"/>
      <c r="G743" s="2068"/>
      <c r="H743" s="2068"/>
      <c r="I743" s="2068"/>
      <c r="J743" s="2068"/>
      <c r="K743" s="2068"/>
      <c r="L743" s="2068"/>
      <c r="M743" s="2068"/>
      <c r="N743" s="2068"/>
      <c r="O743" s="2068"/>
      <c r="P743" s="2068"/>
      <c r="Q743" s="2068"/>
      <c r="R743" s="2068"/>
      <c r="S743" s="2068"/>
      <c r="T743" s="2068"/>
      <c r="U743" s="2068"/>
      <c r="V743" s="2068"/>
      <c r="W743" s="2068"/>
      <c r="X743" s="2068"/>
      <c r="Y743" s="2068"/>
      <c r="Z743" s="2068"/>
      <c r="AA743" s="2068"/>
      <c r="AB743" s="2068"/>
      <c r="AC743" s="2068"/>
      <c r="AD743" s="2068"/>
      <c r="AE743" s="2068"/>
      <c r="AF743" s="2068"/>
      <c r="AG743" s="2068"/>
      <c r="AH743" s="2068"/>
      <c r="AI743" s="2068"/>
      <c r="AJ743" s="2068"/>
      <c r="AK743" s="2068"/>
      <c r="AM743" s="72"/>
      <c r="BA743" s="72"/>
      <c r="BB743" s="72"/>
      <c r="BC743" s="72"/>
      <c r="BD743" s="72"/>
      <c r="BE743" s="72"/>
      <c r="BF743" s="72"/>
      <c r="BG743" s="1453">
        <f t="shared" si="36"/>
        <v>0</v>
      </c>
      <c r="BH743" s="1457">
        <f t="shared" si="37"/>
        <v>0</v>
      </c>
      <c r="BI743" s="1458" t="str">
        <f t="shared" si="38"/>
        <v xml:space="preserve"> </v>
      </c>
      <c r="BJ743" s="72"/>
      <c r="BK743" s="72"/>
      <c r="BL743" s="72"/>
      <c r="BM743" s="72"/>
      <c r="BN743" s="72"/>
      <c r="BO743" s="72"/>
      <c r="BP743" s="905" t="s">
        <v>22</v>
      </c>
      <c r="BQ743" s="904">
        <v>1302</v>
      </c>
      <c r="BR743" s="904">
        <v>1396</v>
      </c>
      <c r="BS743" s="904">
        <v>1674</v>
      </c>
      <c r="BT743" s="904">
        <v>1934</v>
      </c>
      <c r="BU743" s="904">
        <v>2160</v>
      </c>
      <c r="BV743" s="904">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68"/>
      <c r="D744" s="2068"/>
      <c r="E744" s="2068"/>
      <c r="F744" s="2068"/>
      <c r="G744" s="2068"/>
      <c r="H744" s="2068"/>
      <c r="I744" s="2068"/>
      <c r="J744" s="2068"/>
      <c r="K744" s="2068"/>
      <c r="L744" s="2068"/>
      <c r="M744" s="2068"/>
      <c r="N744" s="2068"/>
      <c r="O744" s="2068"/>
      <c r="P744" s="2068"/>
      <c r="Q744" s="2068"/>
      <c r="R744" s="2068"/>
      <c r="S744" s="2068"/>
      <c r="T744" s="2068"/>
      <c r="U744" s="2068"/>
      <c r="V744" s="2068"/>
      <c r="W744" s="2068"/>
      <c r="X744" s="2068"/>
      <c r="Y744" s="2068"/>
      <c r="Z744" s="2068"/>
      <c r="AA744" s="2068"/>
      <c r="AB744" s="2068"/>
      <c r="AC744" s="2068"/>
      <c r="AD744" s="2068"/>
      <c r="AE744" s="2068"/>
      <c r="AF744" s="2068"/>
      <c r="AG744" s="2068"/>
      <c r="AH744" s="2068"/>
      <c r="AI744" s="2068"/>
      <c r="AJ744" s="2068"/>
      <c r="AK744" s="2068"/>
      <c r="AM744" s="72"/>
      <c r="BA744" s="72"/>
      <c r="BB744" s="72"/>
      <c r="BC744" s="72"/>
      <c r="BD744" s="72"/>
      <c r="BE744" s="72"/>
      <c r="BF744" s="72"/>
      <c r="BG744" s="1453">
        <f t="shared" si="36"/>
        <v>0</v>
      </c>
      <c r="BH744" s="1457">
        <f t="shared" si="37"/>
        <v>0</v>
      </c>
      <c r="BI744" s="1458" t="str">
        <f t="shared" si="38"/>
        <v xml:space="preserve"> </v>
      </c>
      <c r="BJ744" s="72"/>
      <c r="BK744" s="72"/>
      <c r="BL744" s="72"/>
      <c r="BM744" s="72"/>
      <c r="BN744" s="72"/>
      <c r="BO744" s="72"/>
      <c r="BP744" s="905" t="s">
        <v>897</v>
      </c>
      <c r="BQ744" s="904">
        <v>1962</v>
      </c>
      <c r="BR744" s="904">
        <v>2102</v>
      </c>
      <c r="BS744" s="904">
        <v>2522</v>
      </c>
      <c r="BT744" s="904">
        <v>2914</v>
      </c>
      <c r="BU744" s="904">
        <v>3252</v>
      </c>
      <c r="BV744" s="904">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68"/>
      <c r="D745" s="2068"/>
      <c r="E745" s="2068"/>
      <c r="F745" s="2068"/>
      <c r="G745" s="2068"/>
      <c r="H745" s="2068"/>
      <c r="I745" s="2068"/>
      <c r="J745" s="2068"/>
      <c r="K745" s="2068"/>
      <c r="L745" s="2068"/>
      <c r="M745" s="2068"/>
      <c r="N745" s="2068"/>
      <c r="O745" s="2068"/>
      <c r="P745" s="2068"/>
      <c r="Q745" s="2068"/>
      <c r="R745" s="2068"/>
      <c r="S745" s="2068"/>
      <c r="T745" s="2068"/>
      <c r="U745" s="2068"/>
      <c r="V745" s="2068"/>
      <c r="W745" s="2068"/>
      <c r="X745" s="2068"/>
      <c r="Y745" s="2068"/>
      <c r="Z745" s="2068"/>
      <c r="AA745" s="2068"/>
      <c r="AB745" s="2068"/>
      <c r="AC745" s="2068"/>
      <c r="AD745" s="2068"/>
      <c r="AE745" s="2068"/>
      <c r="AF745" s="2068"/>
      <c r="AG745" s="2068"/>
      <c r="AH745" s="2068"/>
      <c r="AI745" s="2068"/>
      <c r="AJ745" s="2068"/>
      <c r="AK745" s="2068"/>
      <c r="AM745" s="72"/>
      <c r="BA745" s="72"/>
      <c r="BB745" s="72"/>
      <c r="BC745" s="72"/>
      <c r="BD745" s="72"/>
      <c r="BE745" s="72"/>
      <c r="BF745" s="72"/>
      <c r="BG745" s="1456">
        <f t="shared" si="36"/>
        <v>0</v>
      </c>
      <c r="BH745" s="1457">
        <f t="shared" si="37"/>
        <v>0</v>
      </c>
      <c r="BI745" s="1458" t="str">
        <f t="shared" si="38"/>
        <v xml:space="preserve"> </v>
      </c>
      <c r="BJ745" s="72"/>
      <c r="BK745" s="72"/>
      <c r="BL745" s="72"/>
      <c r="BM745" s="72"/>
      <c r="BN745" s="72"/>
      <c r="BO745" s="72"/>
      <c r="BP745" s="905" t="s">
        <v>898</v>
      </c>
      <c r="BQ745" s="904">
        <v>1552</v>
      </c>
      <c r="BR745" s="904">
        <v>1662</v>
      </c>
      <c r="BS745" s="904">
        <v>1994</v>
      </c>
      <c r="BT745" s="904">
        <v>2302</v>
      </c>
      <c r="BU745" s="904">
        <v>2570</v>
      </c>
      <c r="BV745" s="904">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68"/>
      <c r="D746" s="2068"/>
      <c r="E746" s="2068"/>
      <c r="F746" s="2068"/>
      <c r="G746" s="2068"/>
      <c r="H746" s="2068"/>
      <c r="I746" s="2068"/>
      <c r="J746" s="2068"/>
      <c r="K746" s="2068"/>
      <c r="L746" s="2068"/>
      <c r="M746" s="2068"/>
      <c r="N746" s="2068"/>
      <c r="O746" s="2068"/>
      <c r="P746" s="2068"/>
      <c r="Q746" s="2068"/>
      <c r="R746" s="2068"/>
      <c r="S746" s="2068"/>
      <c r="T746" s="2068"/>
      <c r="U746" s="2068"/>
      <c r="V746" s="2068"/>
      <c r="W746" s="2068"/>
      <c r="X746" s="2068"/>
      <c r="Y746" s="2068"/>
      <c r="Z746" s="2068"/>
      <c r="AA746" s="2068"/>
      <c r="AB746" s="2068"/>
      <c r="AC746" s="2068"/>
      <c r="AD746" s="2068"/>
      <c r="AE746" s="2068"/>
      <c r="AF746" s="2068"/>
      <c r="AG746" s="2068"/>
      <c r="AH746" s="2068"/>
      <c r="AI746" s="2068"/>
      <c r="AJ746" s="2068"/>
      <c r="AK746" s="2068"/>
      <c r="AM746" s="72"/>
      <c r="BA746" s="72"/>
      <c r="BB746" s="72"/>
      <c r="BC746" s="72"/>
      <c r="BD746" s="72"/>
      <c r="BE746" s="72"/>
      <c r="BF746" s="72"/>
      <c r="BG746" s="1454">
        <f>SUM(BG721:BG745)</f>
        <v>88</v>
      </c>
      <c r="BH746" s="1455">
        <f>SUM(BH721:BH745)</f>
        <v>0.99999999999999978</v>
      </c>
      <c r="BI746" s="1455">
        <f>SUM(BI721:BI745)</f>
        <v>0.31427462099511799</v>
      </c>
      <c r="BJ746" s="72"/>
      <c r="BK746" s="72"/>
      <c r="BL746" s="72"/>
      <c r="BM746" s="72"/>
      <c r="BN746" s="72"/>
      <c r="BO746" s="72"/>
      <c r="BP746" s="905" t="s">
        <v>899</v>
      </c>
      <c r="BQ746" s="904">
        <v>1220</v>
      </c>
      <c r="BR746" s="904">
        <v>1306</v>
      </c>
      <c r="BS746" s="904">
        <v>1570</v>
      </c>
      <c r="BT746" s="904">
        <v>1812</v>
      </c>
      <c r="BU746" s="904">
        <v>2022</v>
      </c>
      <c r="BV746" s="904">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6"/>
      <c r="BQ747" s="502"/>
      <c r="BR747" s="727"/>
      <c r="BS747" s="727"/>
      <c r="BT747" s="727"/>
      <c r="BU747" s="727"/>
      <c r="BV747" s="727"/>
      <c r="BW747" s="72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29" t="s">
        <v>59</v>
      </c>
      <c r="K748" s="1830"/>
      <c r="L748" s="1830"/>
      <c r="M748" s="1830"/>
      <c r="N748" s="1831"/>
      <c r="O748" s="1805" t="s">
        <v>284</v>
      </c>
      <c r="P748" s="1805"/>
      <c r="Q748" s="1805"/>
      <c r="R748" s="1805"/>
      <c r="S748" s="1805"/>
      <c r="T748" s="1956" t="s">
        <v>2288</v>
      </c>
      <c r="U748" s="1957"/>
      <c r="V748" s="1957"/>
      <c r="W748" s="1958"/>
      <c r="X748" s="1829" t="s">
        <v>655</v>
      </c>
      <c r="Y748" s="1830"/>
      <c r="Z748" s="1830"/>
      <c r="AA748" s="1830"/>
      <c r="AB748" s="1831"/>
      <c r="AC748" s="1829" t="s">
        <v>285</v>
      </c>
      <c r="AD748" s="1830"/>
      <c r="AE748" s="1830"/>
      <c r="AF748" s="1830"/>
      <c r="AG748" s="183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32"/>
      <c r="K749" s="1833"/>
      <c r="L749" s="1833"/>
      <c r="M749" s="1833"/>
      <c r="N749" s="1834"/>
      <c r="O749" s="1805"/>
      <c r="P749" s="1805"/>
      <c r="Q749" s="1805"/>
      <c r="R749" s="1805"/>
      <c r="S749" s="1805"/>
      <c r="T749" s="1959"/>
      <c r="U749" s="1960"/>
      <c r="V749" s="1960"/>
      <c r="W749" s="1961"/>
      <c r="X749" s="1832"/>
      <c r="Y749" s="1833"/>
      <c r="Z749" s="1833"/>
      <c r="AA749" s="1833"/>
      <c r="AB749" s="1834"/>
      <c r="AC749" s="1832"/>
      <c r="AD749" s="1833"/>
      <c r="AE749" s="1833"/>
      <c r="AF749" s="1833"/>
      <c r="AG749" s="183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832"/>
      <c r="K750" s="1833"/>
      <c r="L750" s="1833"/>
      <c r="M750" s="1833"/>
      <c r="N750" s="1834"/>
      <c r="O750" s="1805"/>
      <c r="P750" s="1805"/>
      <c r="Q750" s="1805"/>
      <c r="R750" s="1805"/>
      <c r="S750" s="1805"/>
      <c r="T750" s="1959"/>
      <c r="U750" s="1960"/>
      <c r="V750" s="1960"/>
      <c r="W750" s="1961"/>
      <c r="X750" s="1832"/>
      <c r="Y750" s="1833"/>
      <c r="Z750" s="1833"/>
      <c r="AA750" s="1833"/>
      <c r="AB750" s="1834"/>
      <c r="AC750" s="1832"/>
      <c r="AD750" s="1833"/>
      <c r="AE750" s="1833"/>
      <c r="AF750" s="1833"/>
      <c r="AG750" s="183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835"/>
      <c r="K751" s="1836"/>
      <c r="L751" s="1836"/>
      <c r="M751" s="1836"/>
      <c r="N751" s="1837"/>
      <c r="O751" s="1805"/>
      <c r="P751" s="1805"/>
      <c r="Q751" s="1805"/>
      <c r="R751" s="1805"/>
      <c r="S751" s="1805"/>
      <c r="T751" s="1962"/>
      <c r="U751" s="1963"/>
      <c r="V751" s="1963"/>
      <c r="W751" s="1964"/>
      <c r="X751" s="1835"/>
      <c r="Y751" s="1836"/>
      <c r="Z751" s="1836"/>
      <c r="AA751" s="1836"/>
      <c r="AB751" s="1837"/>
      <c r="AC751" s="1835"/>
      <c r="AD751" s="1836"/>
      <c r="AE751" s="1836"/>
      <c r="AF751" s="1836"/>
      <c r="AG751" s="183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71" t="s">
        <v>491</v>
      </c>
      <c r="K752" s="1772"/>
      <c r="L752" s="1772"/>
      <c r="M752" s="1772"/>
      <c r="N752" s="1773"/>
      <c r="O752" s="1778">
        <v>1</v>
      </c>
      <c r="P752" s="1778"/>
      <c r="Q752" s="1778"/>
      <c r="R752" s="1778"/>
      <c r="S752" s="1778"/>
      <c r="T752" s="1779">
        <v>600</v>
      </c>
      <c r="U752" s="1780"/>
      <c r="V752" s="1780"/>
      <c r="W752" s="1781"/>
      <c r="X752" s="1782">
        <v>0</v>
      </c>
      <c r="Y752" s="1783"/>
      <c r="Z752" s="1783"/>
      <c r="AA752" s="1783"/>
      <c r="AB752" s="1784"/>
      <c r="AC752" s="1785">
        <f>X752*O752</f>
        <v>0</v>
      </c>
      <c r="AD752" s="1786"/>
      <c r="AE752" s="1786"/>
      <c r="AF752" s="1786"/>
      <c r="AG752" s="178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71" t="s">
        <v>854</v>
      </c>
      <c r="K753" s="1772"/>
      <c r="L753" s="1772"/>
      <c r="M753" s="1772"/>
      <c r="N753" s="1773"/>
      <c r="O753" s="1778">
        <v>1</v>
      </c>
      <c r="P753" s="1778"/>
      <c r="Q753" s="1778"/>
      <c r="R753" s="1778"/>
      <c r="S753" s="1778"/>
      <c r="T753" s="1779">
        <v>1131</v>
      </c>
      <c r="U753" s="1780"/>
      <c r="V753" s="1780"/>
      <c r="W753" s="1781"/>
      <c r="X753" s="1782">
        <v>0</v>
      </c>
      <c r="Y753" s="1783"/>
      <c r="Z753" s="1783"/>
      <c r="AA753" s="1783"/>
      <c r="AB753" s="1784"/>
      <c r="AC753" s="1785">
        <f>X753*O753</f>
        <v>0</v>
      </c>
      <c r="AD753" s="1786"/>
      <c r="AE753" s="1786"/>
      <c r="AF753" s="1786"/>
      <c r="AG753" s="178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71"/>
      <c r="K754" s="1772"/>
      <c r="L754" s="1772"/>
      <c r="M754" s="1772"/>
      <c r="N754" s="1773"/>
      <c r="O754" s="1778"/>
      <c r="P754" s="1778"/>
      <c r="Q754" s="1778"/>
      <c r="R754" s="1778"/>
      <c r="S754" s="1778"/>
      <c r="T754" s="1779"/>
      <c r="U754" s="1780"/>
      <c r="V754" s="1780"/>
      <c r="W754" s="1781"/>
      <c r="X754" s="1782"/>
      <c r="Y754" s="1783"/>
      <c r="Z754" s="1783"/>
      <c r="AA754" s="1783"/>
      <c r="AB754" s="1784"/>
      <c r="AC754" s="1785">
        <f>X754*O754</f>
        <v>0</v>
      </c>
      <c r="AD754" s="1786"/>
      <c r="AE754" s="1786"/>
      <c r="AF754" s="1786"/>
      <c r="AG754" s="178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71"/>
      <c r="K755" s="1772"/>
      <c r="L755" s="1772"/>
      <c r="M755" s="1772"/>
      <c r="N755" s="1773"/>
      <c r="O755" s="1778"/>
      <c r="P755" s="1778"/>
      <c r="Q755" s="1778"/>
      <c r="R755" s="1778"/>
      <c r="S755" s="1778"/>
      <c r="T755" s="1779"/>
      <c r="U755" s="1780"/>
      <c r="V755" s="1780"/>
      <c r="W755" s="1781"/>
      <c r="X755" s="1782"/>
      <c r="Y755" s="1783"/>
      <c r="Z755" s="1783"/>
      <c r="AA755" s="1783"/>
      <c r="AB755" s="1784"/>
      <c r="AC755" s="1785">
        <f>X755*O755</f>
        <v>0</v>
      </c>
      <c r="AD755" s="1786"/>
      <c r="AE755" s="1786"/>
      <c r="AF755" s="1786"/>
      <c r="AG755" s="178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807" t="s">
        <v>976</v>
      </c>
      <c r="K756" s="1808"/>
      <c r="L756" s="1808"/>
      <c r="M756" s="1808"/>
      <c r="N756" s="1809"/>
      <c r="O756" s="2053">
        <f>SUM(O752:S755)</f>
        <v>2</v>
      </c>
      <c r="P756" s="2054"/>
      <c r="Q756" s="2054"/>
      <c r="R756" s="2054"/>
      <c r="S756" s="2055"/>
      <c r="X756" s="2156" t="s">
        <v>975</v>
      </c>
      <c r="Y756" s="2157"/>
      <c r="Z756" s="2157"/>
      <c r="AA756" s="2157"/>
      <c r="AB756" s="2158"/>
      <c r="AC756" s="1785">
        <f>SUM(AC752:AG755)</f>
        <v>0</v>
      </c>
      <c r="AD756" s="1786"/>
      <c r="AE756" s="1786"/>
      <c r="AF756" s="1786"/>
      <c r="AG756" s="178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870" t="s">
        <v>531</v>
      </c>
      <c r="K758" s="1870"/>
      <c r="L758" s="105"/>
      <c r="M758" s="805"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5"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29" t="s">
        <v>59</v>
      </c>
      <c r="K762" s="1830"/>
      <c r="L762" s="1830"/>
      <c r="M762" s="1830"/>
      <c r="N762" s="1831"/>
      <c r="O762" s="1805" t="s">
        <v>284</v>
      </c>
      <c r="P762" s="1805"/>
      <c r="Q762" s="1805"/>
      <c r="R762" s="1805"/>
      <c r="S762" s="1805"/>
      <c r="T762" s="1956" t="s">
        <v>2288</v>
      </c>
      <c r="U762" s="1957"/>
      <c r="V762" s="1957"/>
      <c r="W762" s="1958"/>
      <c r="X762" s="1829" t="s">
        <v>655</v>
      </c>
      <c r="Y762" s="1830"/>
      <c r="Z762" s="1830"/>
      <c r="AA762" s="1830"/>
      <c r="AB762" s="1831"/>
      <c r="AC762" s="1829" t="s">
        <v>285</v>
      </c>
      <c r="AD762" s="1830"/>
      <c r="AE762" s="1830"/>
      <c r="AF762" s="1830"/>
      <c r="AG762" s="183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32"/>
      <c r="K763" s="1833"/>
      <c r="L763" s="1833"/>
      <c r="M763" s="1833"/>
      <c r="N763" s="1834"/>
      <c r="O763" s="1805"/>
      <c r="P763" s="1805"/>
      <c r="Q763" s="1805"/>
      <c r="R763" s="1805"/>
      <c r="S763" s="1805"/>
      <c r="T763" s="1959"/>
      <c r="U763" s="1960"/>
      <c r="V763" s="1960"/>
      <c r="W763" s="1961"/>
      <c r="X763" s="1832"/>
      <c r="Y763" s="1833"/>
      <c r="Z763" s="1833"/>
      <c r="AA763" s="1833"/>
      <c r="AB763" s="1834"/>
      <c r="AC763" s="1832"/>
      <c r="AD763" s="1833"/>
      <c r="AE763" s="1833"/>
      <c r="AF763" s="1833"/>
      <c r="AG763" s="183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832"/>
      <c r="K764" s="1833"/>
      <c r="L764" s="1833"/>
      <c r="M764" s="1833"/>
      <c r="N764" s="1834"/>
      <c r="O764" s="1805"/>
      <c r="P764" s="1805"/>
      <c r="Q764" s="1805"/>
      <c r="R764" s="1805"/>
      <c r="S764" s="1805"/>
      <c r="T764" s="1959"/>
      <c r="U764" s="1960"/>
      <c r="V764" s="1960"/>
      <c r="W764" s="1961"/>
      <c r="X764" s="1832"/>
      <c r="Y764" s="1833"/>
      <c r="Z764" s="1833"/>
      <c r="AA764" s="1833"/>
      <c r="AB764" s="1834"/>
      <c r="AC764" s="1832"/>
      <c r="AD764" s="1833"/>
      <c r="AE764" s="1833"/>
      <c r="AF764" s="1833"/>
      <c r="AG764" s="183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835"/>
      <c r="K765" s="1836"/>
      <c r="L765" s="1836"/>
      <c r="M765" s="1836"/>
      <c r="N765" s="1837"/>
      <c r="O765" s="1805"/>
      <c r="P765" s="1805"/>
      <c r="Q765" s="1805"/>
      <c r="R765" s="1805"/>
      <c r="S765" s="1805"/>
      <c r="T765" s="1962"/>
      <c r="U765" s="1963"/>
      <c r="V765" s="1963"/>
      <c r="W765" s="1964"/>
      <c r="X765" s="1835"/>
      <c r="Y765" s="1836"/>
      <c r="Z765" s="1836"/>
      <c r="AA765" s="1836"/>
      <c r="AB765" s="1837"/>
      <c r="AC765" s="1835"/>
      <c r="AD765" s="1836"/>
      <c r="AE765" s="1836"/>
      <c r="AF765" s="1836"/>
      <c r="AG765" s="183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71"/>
      <c r="K766" s="1772"/>
      <c r="L766" s="1772"/>
      <c r="M766" s="1772"/>
      <c r="N766" s="1773"/>
      <c r="O766" s="1778"/>
      <c r="P766" s="1778"/>
      <c r="Q766" s="1778"/>
      <c r="R766" s="1778"/>
      <c r="S766" s="1778"/>
      <c r="T766" s="1779"/>
      <c r="U766" s="1780"/>
      <c r="V766" s="1780"/>
      <c r="W766" s="1781"/>
      <c r="X766" s="1782"/>
      <c r="Y766" s="1783"/>
      <c r="Z766" s="1783"/>
      <c r="AA766" s="1783"/>
      <c r="AB766" s="1784"/>
      <c r="AC766" s="1785">
        <f t="shared" ref="AC766:AC775" si="39">X766*O766</f>
        <v>0</v>
      </c>
      <c r="AD766" s="1786"/>
      <c r="AE766" s="1786"/>
      <c r="AF766" s="1786"/>
      <c r="AG766" s="178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71"/>
      <c r="K767" s="1772"/>
      <c r="L767" s="1772"/>
      <c r="M767" s="1772"/>
      <c r="N767" s="1773"/>
      <c r="O767" s="1778"/>
      <c r="P767" s="1778"/>
      <c r="Q767" s="1778"/>
      <c r="R767" s="1778"/>
      <c r="S767" s="1778"/>
      <c r="T767" s="1779"/>
      <c r="U767" s="1780"/>
      <c r="V767" s="1780"/>
      <c r="W767" s="1781"/>
      <c r="X767" s="1782"/>
      <c r="Y767" s="1783"/>
      <c r="Z767" s="1783"/>
      <c r="AA767" s="1783"/>
      <c r="AB767" s="1784"/>
      <c r="AC767" s="1785">
        <f t="shared" si="39"/>
        <v>0</v>
      </c>
      <c r="AD767" s="1786"/>
      <c r="AE767" s="1786"/>
      <c r="AF767" s="1786"/>
      <c r="AG767" s="178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71"/>
      <c r="K768" s="1772"/>
      <c r="L768" s="1772"/>
      <c r="M768" s="1772"/>
      <c r="N768" s="1773"/>
      <c r="O768" s="1778"/>
      <c r="P768" s="1778"/>
      <c r="Q768" s="1778"/>
      <c r="R768" s="1778"/>
      <c r="S768" s="1778"/>
      <c r="T768" s="1779"/>
      <c r="U768" s="1780"/>
      <c r="V768" s="1780"/>
      <c r="W768" s="1781"/>
      <c r="X768" s="1782"/>
      <c r="Y768" s="1783"/>
      <c r="Z768" s="1783"/>
      <c r="AA768" s="1783"/>
      <c r="AB768" s="1784"/>
      <c r="AC768" s="1785">
        <f t="shared" si="39"/>
        <v>0</v>
      </c>
      <c r="AD768" s="1786"/>
      <c r="AE768" s="1786"/>
      <c r="AF768" s="1786"/>
      <c r="AG768" s="178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71"/>
      <c r="K769" s="1772"/>
      <c r="L769" s="1772"/>
      <c r="M769" s="1772"/>
      <c r="N769" s="1773"/>
      <c r="O769" s="1778"/>
      <c r="P769" s="1778"/>
      <c r="Q769" s="1778"/>
      <c r="R769" s="1778"/>
      <c r="S769" s="1778"/>
      <c r="T769" s="1779"/>
      <c r="U769" s="1780"/>
      <c r="V769" s="1780"/>
      <c r="W769" s="1781"/>
      <c r="X769" s="1782"/>
      <c r="Y769" s="1783"/>
      <c r="Z769" s="1783"/>
      <c r="AA769" s="1783"/>
      <c r="AB769" s="1784"/>
      <c r="AC769" s="1785">
        <f t="shared" si="39"/>
        <v>0</v>
      </c>
      <c r="AD769" s="1786"/>
      <c r="AE769" s="1786"/>
      <c r="AF769" s="1786"/>
      <c r="AG769" s="178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71"/>
      <c r="K770" s="1772"/>
      <c r="L770" s="1772"/>
      <c r="M770" s="1772"/>
      <c r="N770" s="1773"/>
      <c r="O770" s="1778"/>
      <c r="P770" s="1778"/>
      <c r="Q770" s="1778"/>
      <c r="R770" s="1778"/>
      <c r="S770" s="1778"/>
      <c r="T770" s="1779"/>
      <c r="U770" s="1780"/>
      <c r="V770" s="1780"/>
      <c r="W770" s="1781"/>
      <c r="X770" s="1782"/>
      <c r="Y770" s="1783"/>
      <c r="Z770" s="1783"/>
      <c r="AA770" s="1783"/>
      <c r="AB770" s="1784"/>
      <c r="AC770" s="1785">
        <f t="shared" si="39"/>
        <v>0</v>
      </c>
      <c r="AD770" s="1786"/>
      <c r="AE770" s="1786"/>
      <c r="AF770" s="1786"/>
      <c r="AG770" s="178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71"/>
      <c r="K771" s="1772"/>
      <c r="L771" s="1772"/>
      <c r="M771" s="1772"/>
      <c r="N771" s="1773"/>
      <c r="O771" s="1778"/>
      <c r="P771" s="1778"/>
      <c r="Q771" s="1778"/>
      <c r="R771" s="1778"/>
      <c r="S771" s="1778"/>
      <c r="T771" s="1779"/>
      <c r="U771" s="1780"/>
      <c r="V771" s="1780"/>
      <c r="W771" s="1781"/>
      <c r="X771" s="1782"/>
      <c r="Y771" s="1783"/>
      <c r="Z771" s="1783"/>
      <c r="AA771" s="1783"/>
      <c r="AB771" s="1784"/>
      <c r="AC771" s="1785">
        <f t="shared" si="39"/>
        <v>0</v>
      </c>
      <c r="AD771" s="1786"/>
      <c r="AE771" s="1786"/>
      <c r="AF771" s="1786"/>
      <c r="AG771" s="178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71"/>
      <c r="K772" s="1772"/>
      <c r="L772" s="1772"/>
      <c r="M772" s="1772"/>
      <c r="N772" s="1773"/>
      <c r="O772" s="1778"/>
      <c r="P772" s="1778"/>
      <c r="Q772" s="1778"/>
      <c r="R772" s="1778"/>
      <c r="S772" s="1778"/>
      <c r="T772" s="1779"/>
      <c r="U772" s="1780"/>
      <c r="V772" s="1780"/>
      <c r="W772" s="1781"/>
      <c r="X772" s="1782"/>
      <c r="Y772" s="1783"/>
      <c r="Z772" s="1783"/>
      <c r="AA772" s="1783"/>
      <c r="AB772" s="1784"/>
      <c r="AC772" s="1785">
        <f t="shared" si="39"/>
        <v>0</v>
      </c>
      <c r="AD772" s="1786"/>
      <c r="AE772" s="1786"/>
      <c r="AF772" s="1786"/>
      <c r="AG772" s="178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71"/>
      <c r="K773" s="1772"/>
      <c r="L773" s="1772"/>
      <c r="M773" s="1772"/>
      <c r="N773" s="1773"/>
      <c r="O773" s="1778"/>
      <c r="P773" s="1778"/>
      <c r="Q773" s="1778"/>
      <c r="R773" s="1778"/>
      <c r="S773" s="1778"/>
      <c r="T773" s="1779"/>
      <c r="U773" s="1780"/>
      <c r="V773" s="1780"/>
      <c r="W773" s="1781"/>
      <c r="X773" s="1782"/>
      <c r="Y773" s="1783"/>
      <c r="Z773" s="1783"/>
      <c r="AA773" s="1783"/>
      <c r="AB773" s="1784"/>
      <c r="AC773" s="1785">
        <f t="shared" si="39"/>
        <v>0</v>
      </c>
      <c r="AD773" s="1786"/>
      <c r="AE773" s="1786"/>
      <c r="AF773" s="1786"/>
      <c r="AG773" s="178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71"/>
      <c r="K774" s="1772"/>
      <c r="L774" s="1772"/>
      <c r="M774" s="1772"/>
      <c r="N774" s="1773"/>
      <c r="O774" s="1778"/>
      <c r="P774" s="1778"/>
      <c r="Q774" s="1778"/>
      <c r="R774" s="1778"/>
      <c r="S774" s="1778"/>
      <c r="T774" s="1779"/>
      <c r="U774" s="1780"/>
      <c r="V774" s="1780"/>
      <c r="W774" s="1781"/>
      <c r="X774" s="1782"/>
      <c r="Y774" s="1783"/>
      <c r="Z774" s="1783"/>
      <c r="AA774" s="1783"/>
      <c r="AB774" s="1784"/>
      <c r="AC774" s="1785">
        <f t="shared" si="39"/>
        <v>0</v>
      </c>
      <c r="AD774" s="1786"/>
      <c r="AE774" s="1786"/>
      <c r="AF774" s="1786"/>
      <c r="AG774" s="178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1"/>
      <c r="K775" s="1772"/>
      <c r="L775" s="1772"/>
      <c r="M775" s="1772"/>
      <c r="N775" s="1773"/>
      <c r="O775" s="1778"/>
      <c r="P775" s="1778"/>
      <c r="Q775" s="1778"/>
      <c r="R775" s="1778"/>
      <c r="S775" s="1778"/>
      <c r="T775" s="1779"/>
      <c r="U775" s="1780"/>
      <c r="V775" s="1780"/>
      <c r="W775" s="1781"/>
      <c r="X775" s="1782"/>
      <c r="Y775" s="1783"/>
      <c r="Z775" s="1783"/>
      <c r="AA775" s="1783"/>
      <c r="AB775" s="1784"/>
      <c r="AC775" s="1785">
        <f t="shared" si="39"/>
        <v>0</v>
      </c>
      <c r="AD775" s="1786"/>
      <c r="AE775" s="1786"/>
      <c r="AF775" s="1786"/>
      <c r="AG775" s="178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807" t="s">
        <v>976</v>
      </c>
      <c r="K776" s="1808"/>
      <c r="L776" s="1808"/>
      <c r="M776" s="1808"/>
      <c r="N776" s="1809"/>
      <c r="O776" s="1903">
        <f>SUM(O766:S775)</f>
        <v>0</v>
      </c>
      <c r="P776" s="1903"/>
      <c r="Q776" s="1903"/>
      <c r="R776" s="1903"/>
      <c r="S776" s="1903"/>
      <c r="X776" s="1459" t="s">
        <v>975</v>
      </c>
      <c r="Y776" s="255"/>
      <c r="Z776" s="255"/>
      <c r="AA776" s="255"/>
      <c r="AB776" s="1460"/>
      <c r="AC776" s="1785">
        <f>SUM(AC766:AG775)</f>
        <v>0</v>
      </c>
      <c r="AD776" s="1786"/>
      <c r="AE776" s="1786"/>
      <c r="AF776" s="1786"/>
      <c r="AG776" s="178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24">
        <f>T731+AC756+AC776</f>
        <v>59004</v>
      </c>
      <c r="Z778" s="1724"/>
      <c r="AA778" s="1724"/>
      <c r="AB778" s="1724"/>
      <c r="AC778" s="172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24">
        <f>(T731+AC756+AC776)*12</f>
        <v>708048</v>
      </c>
      <c r="Z779" s="1724"/>
      <c r="AA779" s="1724"/>
      <c r="AB779" s="1724"/>
      <c r="AC779" s="172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65">
        <f>SUM('Subsidy Contract Calculation'!B4:B28)</f>
        <v>38</v>
      </c>
      <c r="AA784" s="2066"/>
      <c r="AB784" s="2066"/>
      <c r="AC784" s="2066"/>
      <c r="AD784" s="2066"/>
      <c r="AE784" s="206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72">
        <v>20</v>
      </c>
      <c r="AA785" s="2066"/>
      <c r="AB785" s="2066"/>
      <c r="AC785" s="2066"/>
      <c r="AD785" s="2066"/>
      <c r="AE785" s="206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57">
        <v>51865</v>
      </c>
      <c r="AA786" s="1766"/>
      <c r="AB786" s="1766"/>
      <c r="AC786" s="1766"/>
      <c r="AD786" s="1766"/>
      <c r="AE786" s="176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21">
        <f>'Subsidy Contract Calculation'!I30</f>
        <v>513048</v>
      </c>
      <c r="AA787" s="1722"/>
      <c r="AB787" s="1722"/>
      <c r="AC787" s="1722"/>
      <c r="AD787" s="1722"/>
      <c r="AE787" s="172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11">
        <v>14750</v>
      </c>
      <c r="AA791" s="1712"/>
      <c r="AB791" s="1712"/>
      <c r="AC791" s="1712"/>
      <c r="AD791" s="1712"/>
      <c r="AE791" s="171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11"/>
      <c r="AA792" s="1712"/>
      <c r="AB792" s="1712"/>
      <c r="AC792" s="1712"/>
      <c r="AD792" s="1712"/>
      <c r="AE792" s="171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11"/>
      <c r="AA793" s="1712"/>
      <c r="AB793" s="1712"/>
      <c r="AC793" s="1712"/>
      <c r="AD793" s="1712"/>
      <c r="AE793" s="171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25" t="s">
        <v>622</v>
      </c>
      <c r="Q794" s="1726"/>
      <c r="R794" s="1726"/>
      <c r="S794" s="1726"/>
      <c r="T794" s="1726"/>
      <c r="U794" s="1726"/>
      <c r="V794" s="1726"/>
      <c r="W794" s="1726"/>
      <c r="X794" s="1726"/>
      <c r="Y794" s="1727"/>
      <c r="Z794" s="1711"/>
      <c r="AA794" s="1712"/>
      <c r="AB794" s="1712"/>
      <c r="AC794" s="1712"/>
      <c r="AD794" s="1712"/>
      <c r="AE794" s="171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8">
        <f>SUM(Z791:AE794)</f>
        <v>14750</v>
      </c>
      <c r="AA795" s="1719"/>
      <c r="AB795" s="1719"/>
      <c r="AC795" s="1719"/>
      <c r="AD795" s="1719"/>
      <c r="AE795" s="172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8">
        <f>Z795+Y779+Z787</f>
        <v>1235846</v>
      </c>
      <c r="AA796" s="1719"/>
      <c r="AB796" s="1719"/>
      <c r="AC796" s="1719"/>
      <c r="AD796" s="1719"/>
      <c r="AE796" s="172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3" t="s">
        <v>977</v>
      </c>
      <c r="N801" s="2073"/>
      <c r="O801" s="2073"/>
      <c r="P801" s="2074"/>
      <c r="Q801" s="1774" t="s">
        <v>291</v>
      </c>
      <c r="R801" s="1774"/>
      <c r="S801" s="1774"/>
      <c r="T801" s="1774"/>
      <c r="U801" s="1774" t="s">
        <v>292</v>
      </c>
      <c r="V801" s="1774"/>
      <c r="W801" s="1774"/>
      <c r="X801" s="1774"/>
      <c r="Y801" s="1774" t="s">
        <v>293</v>
      </c>
      <c r="Z801" s="1774"/>
      <c r="AA801" s="1774"/>
      <c r="AB801" s="1774"/>
      <c r="AC801" s="1774" t="s">
        <v>36</v>
      </c>
      <c r="AD801" s="1774"/>
      <c r="AE801" s="1774"/>
      <c r="AF801" s="1774"/>
      <c r="AG801" s="2162" t="s">
        <v>623</v>
      </c>
      <c r="AH801" s="2162"/>
      <c r="AI801" s="2162"/>
      <c r="AJ801" s="2162"/>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5"/>
      <c r="N802" s="2075"/>
      <c r="O802" s="2075"/>
      <c r="P802" s="2076"/>
      <c r="Q802" s="1774"/>
      <c r="R802" s="1774"/>
      <c r="S802" s="1774"/>
      <c r="T802" s="1774"/>
      <c r="U802" s="1774"/>
      <c r="V802" s="1774"/>
      <c r="W802" s="1774"/>
      <c r="X802" s="1774"/>
      <c r="Y802" s="1774"/>
      <c r="Z802" s="1774"/>
      <c r="AA802" s="1774"/>
      <c r="AB802" s="1774"/>
      <c r="AC802" s="1774"/>
      <c r="AD802" s="1774"/>
      <c r="AE802" s="1774"/>
      <c r="AF802" s="1774"/>
      <c r="AG802" s="2162"/>
      <c r="AH802" s="2162"/>
      <c r="AI802" s="2162"/>
      <c r="AJ802" s="2162"/>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1" t="s">
        <v>760</v>
      </c>
      <c r="D803" s="1902"/>
      <c r="E803" s="1902"/>
      <c r="F803" s="1902"/>
      <c r="G803" s="1902"/>
      <c r="H803" s="1902"/>
      <c r="I803" s="94"/>
      <c r="J803" s="94"/>
      <c r="K803" s="94"/>
      <c r="L803" s="95"/>
      <c r="M803" s="1811"/>
      <c r="N803" s="1811"/>
      <c r="O803" s="1811"/>
      <c r="P803" s="1811"/>
      <c r="Q803" s="1811">
        <v>19</v>
      </c>
      <c r="R803" s="1811"/>
      <c r="S803" s="1811"/>
      <c r="T803" s="1811"/>
      <c r="U803" s="1811">
        <v>25</v>
      </c>
      <c r="V803" s="1811"/>
      <c r="W803" s="1811"/>
      <c r="X803" s="1811"/>
      <c r="Y803" s="1811">
        <v>31</v>
      </c>
      <c r="Z803" s="1811"/>
      <c r="AA803" s="1811"/>
      <c r="AB803" s="1811"/>
      <c r="AC803" s="1775"/>
      <c r="AD803" s="1776"/>
      <c r="AE803" s="1776"/>
      <c r="AF803" s="1777"/>
      <c r="AG803" s="1775"/>
      <c r="AH803" s="1776"/>
      <c r="AI803" s="1776"/>
      <c r="AJ803" s="1777"/>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2139" t="s">
        <v>761</v>
      </c>
      <c r="D804" s="1895"/>
      <c r="E804" s="1895"/>
      <c r="F804" s="1895"/>
      <c r="G804" s="1895"/>
      <c r="H804" s="1895"/>
      <c r="I804" s="91"/>
      <c r="J804" s="91"/>
      <c r="K804" s="91"/>
      <c r="L804" s="92"/>
      <c r="M804" s="1811"/>
      <c r="N804" s="1811"/>
      <c r="O804" s="1811"/>
      <c r="P804" s="1811"/>
      <c r="Q804" s="1811"/>
      <c r="R804" s="1811"/>
      <c r="S804" s="1811"/>
      <c r="T804" s="1811"/>
      <c r="U804" s="1811"/>
      <c r="V804" s="1811"/>
      <c r="W804" s="1811"/>
      <c r="X804" s="1811"/>
      <c r="Y804" s="1811"/>
      <c r="Z804" s="1811"/>
      <c r="AA804" s="1811"/>
      <c r="AB804" s="1811"/>
      <c r="AC804" s="1775"/>
      <c r="AD804" s="1776"/>
      <c r="AE804" s="1776"/>
      <c r="AF804" s="1777"/>
      <c r="AG804" s="1775"/>
      <c r="AH804" s="1776"/>
      <c r="AI804" s="1776"/>
      <c r="AJ804" s="1777"/>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2139" t="s">
        <v>78</v>
      </c>
      <c r="D805" s="1895"/>
      <c r="E805" s="1895"/>
      <c r="F805" s="1895"/>
      <c r="G805" s="1895"/>
      <c r="H805" s="1895"/>
      <c r="I805" s="110"/>
      <c r="J805" s="110"/>
      <c r="K805" s="110"/>
      <c r="L805" s="111"/>
      <c r="M805" s="1811"/>
      <c r="N805" s="1811"/>
      <c r="O805" s="1811"/>
      <c r="P805" s="1811"/>
      <c r="Q805" s="1811">
        <v>7</v>
      </c>
      <c r="R805" s="1811"/>
      <c r="S805" s="1811"/>
      <c r="T805" s="1811"/>
      <c r="U805" s="1811">
        <v>11</v>
      </c>
      <c r="V805" s="1811"/>
      <c r="W805" s="1811"/>
      <c r="X805" s="1811"/>
      <c r="Y805" s="1811">
        <v>14</v>
      </c>
      <c r="Z805" s="1811"/>
      <c r="AA805" s="1811"/>
      <c r="AB805" s="1811"/>
      <c r="AC805" s="1775"/>
      <c r="AD805" s="1776"/>
      <c r="AE805" s="1776"/>
      <c r="AF805" s="1777"/>
      <c r="AG805" s="1775"/>
      <c r="AH805" s="1776"/>
      <c r="AI805" s="1776"/>
      <c r="AJ805" s="1777"/>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2139" t="s">
        <v>195</v>
      </c>
      <c r="D806" s="1895"/>
      <c r="E806" s="1895"/>
      <c r="F806" s="1895"/>
      <c r="G806" s="1895"/>
      <c r="H806" s="1895"/>
      <c r="I806" s="110"/>
      <c r="J806" s="110"/>
      <c r="K806" s="110"/>
      <c r="L806" s="111"/>
      <c r="M806" s="1811"/>
      <c r="N806" s="1811"/>
      <c r="O806" s="1811"/>
      <c r="P806" s="1811"/>
      <c r="Q806" s="1811"/>
      <c r="R806" s="1811"/>
      <c r="S806" s="1811"/>
      <c r="T806" s="1811"/>
      <c r="U806" s="1811"/>
      <c r="V806" s="1811"/>
      <c r="W806" s="1811"/>
      <c r="X806" s="1811"/>
      <c r="Y806" s="1811"/>
      <c r="Z806" s="1811"/>
      <c r="AA806" s="1811"/>
      <c r="AB806" s="1811"/>
      <c r="AC806" s="1775"/>
      <c r="AD806" s="1776"/>
      <c r="AE806" s="1776"/>
      <c r="AF806" s="1777"/>
      <c r="AG806" s="1775"/>
      <c r="AH806" s="1776"/>
      <c r="AI806" s="1776"/>
      <c r="AJ806" s="1777"/>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2139" t="s">
        <v>866</v>
      </c>
      <c r="D807" s="1895"/>
      <c r="E807" s="1895"/>
      <c r="F807" s="1895"/>
      <c r="G807" s="1895"/>
      <c r="H807" s="1895"/>
      <c r="I807" s="110"/>
      <c r="J807" s="110"/>
      <c r="K807" s="110"/>
      <c r="L807" s="111"/>
      <c r="M807" s="1811"/>
      <c r="N807" s="1811"/>
      <c r="O807" s="1811"/>
      <c r="P807" s="1811"/>
      <c r="Q807" s="1811">
        <v>22</v>
      </c>
      <c r="R807" s="1811"/>
      <c r="S807" s="1811"/>
      <c r="T807" s="1811"/>
      <c r="U807" s="1811">
        <v>33</v>
      </c>
      <c r="V807" s="1811"/>
      <c r="W807" s="1811"/>
      <c r="X807" s="1811"/>
      <c r="Y807" s="1811">
        <v>44</v>
      </c>
      <c r="Z807" s="1811"/>
      <c r="AA807" s="1811"/>
      <c r="AB807" s="1811"/>
      <c r="AC807" s="1775"/>
      <c r="AD807" s="1776"/>
      <c r="AE807" s="1776"/>
      <c r="AF807" s="1777"/>
      <c r="AG807" s="1775"/>
      <c r="AH807" s="1776"/>
      <c r="AI807" s="1776"/>
      <c r="AJ807" s="1777"/>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94" t="s">
        <v>1047</v>
      </c>
      <c r="D808" s="1895"/>
      <c r="E808" s="1895"/>
      <c r="F808" s="1895"/>
      <c r="G808" s="1895"/>
      <c r="H808" s="1895"/>
      <c r="I808" s="110"/>
      <c r="J808" s="110"/>
      <c r="K808" s="110"/>
      <c r="L808" s="111"/>
      <c r="M808" s="1811"/>
      <c r="N808" s="1811"/>
      <c r="O808" s="1811"/>
      <c r="P808" s="1811"/>
      <c r="Q808" s="1811"/>
      <c r="R808" s="1811"/>
      <c r="S808" s="1811"/>
      <c r="T808" s="1811"/>
      <c r="U808" s="1811"/>
      <c r="V808" s="1811"/>
      <c r="W808" s="1811"/>
      <c r="X808" s="1811"/>
      <c r="Y808" s="1811"/>
      <c r="Z808" s="1811"/>
      <c r="AA808" s="1811"/>
      <c r="AB808" s="1811"/>
      <c r="AC808" s="1775"/>
      <c r="AD808" s="1776"/>
      <c r="AE808" s="1776"/>
      <c r="AF808" s="1777"/>
      <c r="AG808" s="1775"/>
      <c r="AH808" s="1776"/>
      <c r="AI808" s="1776"/>
      <c r="AJ808" s="1777"/>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708" t="s">
        <v>622</v>
      </c>
      <c r="G809" s="1709"/>
      <c r="H809" s="1709"/>
      <c r="I809" s="1709"/>
      <c r="J809" s="1709"/>
      <c r="K809" s="1709"/>
      <c r="L809" s="1710"/>
      <c r="M809" s="1811"/>
      <c r="N809" s="1811"/>
      <c r="O809" s="1811"/>
      <c r="P809" s="1811"/>
      <c r="Q809" s="1811"/>
      <c r="R809" s="1811"/>
      <c r="S809" s="1811"/>
      <c r="T809" s="1811"/>
      <c r="U809" s="1811"/>
      <c r="V809" s="1811"/>
      <c r="W809" s="1811"/>
      <c r="X809" s="1811"/>
      <c r="Y809" s="1811"/>
      <c r="Z809" s="1811"/>
      <c r="AA809" s="1811"/>
      <c r="AB809" s="1811"/>
      <c r="AC809" s="1775"/>
      <c r="AD809" s="1776"/>
      <c r="AE809" s="1776"/>
      <c r="AF809" s="1777"/>
      <c r="AG809" s="1775"/>
      <c r="AH809" s="1776"/>
      <c r="AI809" s="1776"/>
      <c r="AJ809" s="1777"/>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07" t="s">
        <v>975</v>
      </c>
      <c r="D810" s="1808"/>
      <c r="E810" s="1808"/>
      <c r="F810" s="1808"/>
      <c r="G810" s="1808"/>
      <c r="H810" s="1808"/>
      <c r="I810" s="1808"/>
      <c r="J810" s="1808"/>
      <c r="K810" s="1808"/>
      <c r="L810" s="1809"/>
      <c r="M810" s="1810">
        <f>SUM(M803:P809)</f>
        <v>0</v>
      </c>
      <c r="N810" s="1810"/>
      <c r="O810" s="1810"/>
      <c r="P810" s="1810"/>
      <c r="Q810" s="1810">
        <f>SUM(Q803:T809)</f>
        <v>48</v>
      </c>
      <c r="R810" s="1810"/>
      <c r="S810" s="1810"/>
      <c r="T810" s="1810"/>
      <c r="U810" s="1810">
        <f>SUM(U803:X809)</f>
        <v>69</v>
      </c>
      <c r="V810" s="1810"/>
      <c r="W810" s="1810"/>
      <c r="X810" s="1810"/>
      <c r="Y810" s="1810">
        <f>SUM(Y803:AB809)</f>
        <v>89</v>
      </c>
      <c r="Z810" s="1810"/>
      <c r="AA810" s="1810"/>
      <c r="AB810" s="1810"/>
      <c r="AC810" s="1810">
        <f>SUM(AC803:AF809)</f>
        <v>0</v>
      </c>
      <c r="AD810" s="1810"/>
      <c r="AE810" s="1810"/>
      <c r="AF810" s="1810"/>
      <c r="AG810" s="1810">
        <f>SUM(AG803:AJ809)</f>
        <v>0</v>
      </c>
      <c r="AH810" s="1810"/>
      <c r="AI810" s="1810"/>
      <c r="AJ810" s="181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7" t="s">
        <v>2525</v>
      </c>
      <c r="D815" s="2178"/>
      <c r="E815" s="2178"/>
      <c r="F815" s="2178"/>
      <c r="G815" s="2178"/>
      <c r="H815" s="2178"/>
      <c r="I815" s="2178"/>
      <c r="J815" s="2178"/>
      <c r="K815" s="2178"/>
      <c r="L815" s="2178"/>
      <c r="M815" s="2178"/>
      <c r="N815" s="2178"/>
      <c r="O815" s="2178"/>
      <c r="P815" s="2178"/>
      <c r="Q815" s="2178"/>
      <c r="R815" s="2178"/>
      <c r="S815" s="2178"/>
      <c r="T815" s="2178"/>
      <c r="U815" s="2178"/>
      <c r="V815" s="2178"/>
      <c r="W815" s="2178"/>
      <c r="X815" s="2178"/>
      <c r="Y815" s="2178"/>
      <c r="Z815" s="2178"/>
      <c r="AA815" s="2178"/>
      <c r="AB815" s="2178"/>
      <c r="AC815" s="2178"/>
      <c r="AD815" s="2178"/>
      <c r="AE815" s="2178"/>
      <c r="AF815" s="2178"/>
      <c r="AG815" s="2178"/>
      <c r="AH815" s="2178"/>
      <c r="AI815" s="2178"/>
      <c r="AJ815" s="2179"/>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45" t="s">
        <v>412</v>
      </c>
      <c r="BB819" s="1746"/>
      <c r="BC819" s="72"/>
      <c r="BD819" s="72"/>
      <c r="BE819" s="72"/>
      <c r="BF819" s="65" t="s">
        <v>469</v>
      </c>
      <c r="BG819" s="65"/>
      <c r="BH819" s="65"/>
      <c r="BI819" s="65"/>
      <c r="BJ819" s="65"/>
      <c r="BK819" s="65"/>
      <c r="BL819" s="65"/>
      <c r="BM819" s="65"/>
      <c r="BN819" s="65"/>
      <c r="BO819" s="1742" t="str">
        <f>T189</f>
        <v>Napa</v>
      </c>
      <c r="BP819" s="1743"/>
      <c r="BQ819" s="1743"/>
      <c r="BR819" s="1743"/>
      <c r="BS819" s="1743"/>
      <c r="BT819" s="1743"/>
      <c r="BU819" s="174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58">
        <v>0</v>
      </c>
      <c r="X820" s="1758"/>
      <c r="Y820" s="1758"/>
      <c r="Z820" s="1758"/>
      <c r="AA820" s="1758"/>
      <c r="AB820" s="1758"/>
      <c r="AC820" s="175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8"/>
      <c r="X821" s="1758"/>
      <c r="Y821" s="1758"/>
      <c r="Z821" s="1758"/>
      <c r="AA821" s="1758"/>
      <c r="AB821" s="1758"/>
      <c r="AC821" s="175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8">
        <v>29400</v>
      </c>
      <c r="X822" s="1758"/>
      <c r="Y822" s="1758"/>
      <c r="Z822" s="1758"/>
      <c r="AA822" s="1758"/>
      <c r="AB822" s="1758"/>
      <c r="AC822" s="175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8">
        <v>103600</v>
      </c>
      <c r="X823" s="1758"/>
      <c r="Y823" s="1758"/>
      <c r="Z823" s="1758"/>
      <c r="AA823" s="1758"/>
      <c r="AB823" s="1758"/>
      <c r="AC823" s="1758"/>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28" t="s">
        <v>2567</v>
      </c>
      <c r="N824" s="1709"/>
      <c r="O824" s="1709"/>
      <c r="P824" s="1709"/>
      <c r="Q824" s="1709"/>
      <c r="R824" s="1709"/>
      <c r="S824" s="1709"/>
      <c r="T824" s="1709"/>
      <c r="U824" s="1709"/>
      <c r="V824" s="1710"/>
      <c r="W824" s="1758">
        <f>26500</f>
        <v>26500</v>
      </c>
      <c r="X824" s="1758"/>
      <c r="Y824" s="1758"/>
      <c r="Z824" s="1758"/>
      <c r="AA824" s="1758"/>
      <c r="AB824" s="1758"/>
      <c r="AC824" s="175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8">
        <f>SUM(W820:AC824)</f>
        <v>159500</v>
      </c>
      <c r="X825" s="1719"/>
      <c r="Y825" s="1719"/>
      <c r="Z825" s="1719"/>
      <c r="AA825" s="1719"/>
      <c r="AB825" s="1719"/>
      <c r="AC825" s="172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807" t="s">
        <v>518</v>
      </c>
      <c r="K827" s="1808"/>
      <c r="L827" s="1808"/>
      <c r="M827" s="1808"/>
      <c r="N827" s="1808"/>
      <c r="O827" s="1808"/>
      <c r="P827" s="1808"/>
      <c r="Q827" s="1808"/>
      <c r="R827" s="1808"/>
      <c r="S827" s="1808"/>
      <c r="T827" s="1808"/>
      <c r="U827" s="1808"/>
      <c r="V827" s="1809"/>
      <c r="W827" s="1711">
        <v>75200</v>
      </c>
      <c r="X827" s="1712"/>
      <c r="Y827" s="1712"/>
      <c r="Z827" s="1712"/>
      <c r="AA827" s="1712"/>
      <c r="AB827" s="1712"/>
      <c r="AC827" s="171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06"/>
      <c r="X829" s="1806"/>
      <c r="Y829" s="1806"/>
      <c r="Z829" s="1806"/>
      <c r="AA829" s="1806"/>
      <c r="AB829" s="1806"/>
      <c r="AC829" s="180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6">
        <v>6200</v>
      </c>
      <c r="X830" s="1806"/>
      <c r="Y830" s="1806"/>
      <c r="Z830" s="1806"/>
      <c r="AA830" s="1806"/>
      <c r="AB830" s="1806"/>
      <c r="AC830" s="180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06">
        <v>17000</v>
      </c>
      <c r="X831" s="1806"/>
      <c r="Y831" s="1806"/>
      <c r="Z831" s="1806"/>
      <c r="AA831" s="1806"/>
      <c r="AB831" s="1806"/>
      <c r="AC831" s="180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6">
        <v>70800</v>
      </c>
      <c r="X832" s="1806"/>
      <c r="Y832" s="1806"/>
      <c r="Z832" s="1806"/>
      <c r="AA832" s="1806"/>
      <c r="AB832" s="1806"/>
      <c r="AC832" s="180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4">
        <f>SUM(W829:AC832)</f>
        <v>94000</v>
      </c>
      <c r="X833" s="2164"/>
      <c r="Y833" s="2164"/>
      <c r="Z833" s="2164"/>
      <c r="AA833" s="2164"/>
      <c r="AB833" s="2164"/>
      <c r="AC833" s="2164"/>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4">
        <v>365252</v>
      </c>
      <c r="BD833" s="864">
        <v>421132</v>
      </c>
      <c r="BE833" s="864">
        <v>508000</v>
      </c>
      <c r="BF833" s="864">
        <v>650240</v>
      </c>
      <c r="BG833" s="864">
        <v>724408</v>
      </c>
      <c r="BH833" s="70"/>
      <c r="BI833" s="47" t="s">
        <v>471</v>
      </c>
      <c r="BJ833" s="864">
        <v>365252</v>
      </c>
      <c r="BK833" s="864">
        <v>421132</v>
      </c>
      <c r="BL833" s="864">
        <v>508000</v>
      </c>
      <c r="BM833" s="864">
        <v>650240</v>
      </c>
      <c r="BN833" s="864">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3">
        <v>262291</v>
      </c>
      <c r="BD834" s="863">
        <v>302419</v>
      </c>
      <c r="BE834" s="863">
        <v>364800</v>
      </c>
      <c r="BF834" s="863">
        <v>466944</v>
      </c>
      <c r="BG834" s="863">
        <v>520205</v>
      </c>
      <c r="BH834" s="70"/>
      <c r="BI834" s="47" t="s">
        <v>472</v>
      </c>
      <c r="BJ834" s="863">
        <v>262291</v>
      </c>
      <c r="BK834" s="863">
        <v>302419</v>
      </c>
      <c r="BL834" s="863">
        <v>364800</v>
      </c>
      <c r="BM834" s="863">
        <v>466944</v>
      </c>
      <c r="BN834" s="863">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58">
        <v>90000</v>
      </c>
      <c r="X835" s="1859"/>
      <c r="Y835" s="1859"/>
      <c r="Z835" s="1859"/>
      <c r="AA835" s="1859"/>
      <c r="AB835" s="1859"/>
      <c r="AC835" s="1860"/>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4">
        <v>262291</v>
      </c>
      <c r="BD835" s="864">
        <v>302419</v>
      </c>
      <c r="BE835" s="864">
        <v>364800</v>
      </c>
      <c r="BF835" s="864">
        <v>466944</v>
      </c>
      <c r="BG835" s="864">
        <v>520205</v>
      </c>
      <c r="BH835" s="70"/>
      <c r="BI835" s="47" t="s">
        <v>80</v>
      </c>
      <c r="BJ835" s="864">
        <v>262291</v>
      </c>
      <c r="BK835" s="864">
        <v>302419</v>
      </c>
      <c r="BL835" s="864">
        <v>364800</v>
      </c>
      <c r="BM835" s="864">
        <v>466944</v>
      </c>
      <c r="BN835" s="864">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2167">
        <v>2</v>
      </c>
      <c r="U836" s="2168"/>
      <c r="V836" s="2169"/>
      <c r="W836" s="1379"/>
      <c r="X836" s="1380"/>
      <c r="Y836" s="1380"/>
      <c r="Z836" s="1380"/>
      <c r="AA836" s="1380"/>
      <c r="AB836" s="1380"/>
      <c r="AC836" s="1381"/>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3">
        <v>230655</v>
      </c>
      <c r="BD836" s="863">
        <v>265943</v>
      </c>
      <c r="BE836" s="863">
        <v>320800</v>
      </c>
      <c r="BF836" s="863">
        <v>410624</v>
      </c>
      <c r="BG836" s="863">
        <v>457461</v>
      </c>
      <c r="BH836" s="70"/>
      <c r="BI836" s="47" t="s">
        <v>82</v>
      </c>
      <c r="BJ836" s="863">
        <v>230655</v>
      </c>
      <c r="BK836" s="863">
        <v>265943</v>
      </c>
      <c r="BL836" s="863">
        <v>320800</v>
      </c>
      <c r="BM836" s="863">
        <v>410624</v>
      </c>
      <c r="BN836" s="863">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58">
        <v>65000</v>
      </c>
      <c r="X837" s="1859"/>
      <c r="Y837" s="1859"/>
      <c r="Z837" s="1859"/>
      <c r="AA837" s="1859"/>
      <c r="AB837" s="1859"/>
      <c r="AC837" s="1860"/>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4">
        <v>262291</v>
      </c>
      <c r="BD837" s="864">
        <v>302419</v>
      </c>
      <c r="BE837" s="864">
        <v>364800</v>
      </c>
      <c r="BF837" s="864">
        <v>466944</v>
      </c>
      <c r="BG837" s="864">
        <v>520205</v>
      </c>
      <c r="BH837" s="70"/>
      <c r="BI837" s="47" t="s">
        <v>83</v>
      </c>
      <c r="BJ837" s="864">
        <v>262291</v>
      </c>
      <c r="BK837" s="864">
        <v>302419</v>
      </c>
      <c r="BL837" s="864">
        <v>364800</v>
      </c>
      <c r="BM837" s="864">
        <v>466944</v>
      </c>
      <c r="BN837" s="864">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2167">
        <v>2</v>
      </c>
      <c r="U838" s="2168"/>
      <c r="V838" s="2169"/>
      <c r="W838" s="1379"/>
      <c r="X838" s="1380"/>
      <c r="Y838" s="1380"/>
      <c r="Z838" s="1380"/>
      <c r="AA838" s="1380"/>
      <c r="AB838" s="1380"/>
      <c r="AC838" s="1381"/>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3">
        <v>262291</v>
      </c>
      <c r="BD838" s="863">
        <v>302419</v>
      </c>
      <c r="BE838" s="863">
        <v>364800</v>
      </c>
      <c r="BF838" s="863">
        <v>466944</v>
      </c>
      <c r="BG838" s="863">
        <v>520205</v>
      </c>
      <c r="BH838" s="70"/>
      <c r="BI838" s="47" t="s">
        <v>84</v>
      </c>
      <c r="BJ838" s="863">
        <v>262291</v>
      </c>
      <c r="BK838" s="863">
        <v>302419</v>
      </c>
      <c r="BL838" s="863">
        <v>364800</v>
      </c>
      <c r="BM838" s="863">
        <v>466944</v>
      </c>
      <c r="BN838" s="863">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28" t="s">
        <v>951</v>
      </c>
      <c r="N839" s="1709"/>
      <c r="O839" s="1709"/>
      <c r="P839" s="1709"/>
      <c r="Q839" s="1709"/>
      <c r="R839" s="1709"/>
      <c r="S839" s="1709"/>
      <c r="T839" s="1709"/>
      <c r="U839" s="1709"/>
      <c r="V839" s="1710"/>
      <c r="W839" s="1858">
        <v>76310</v>
      </c>
      <c r="X839" s="1859"/>
      <c r="Y839" s="1859"/>
      <c r="Z839" s="1859"/>
      <c r="AA839" s="1859"/>
      <c r="AB839" s="1859"/>
      <c r="AC839" s="1860"/>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4">
        <v>365252</v>
      </c>
      <c r="BD839" s="864">
        <v>421132</v>
      </c>
      <c r="BE839" s="864">
        <v>508000</v>
      </c>
      <c r="BF839" s="864">
        <v>650240</v>
      </c>
      <c r="BG839" s="864">
        <v>724408</v>
      </c>
      <c r="BH839" s="70"/>
      <c r="BI839" s="47" t="s">
        <v>525</v>
      </c>
      <c r="BJ839" s="864">
        <v>365252</v>
      </c>
      <c r="BK839" s="864">
        <v>421132</v>
      </c>
      <c r="BL839" s="864">
        <v>508000</v>
      </c>
      <c r="BM839" s="864">
        <v>650240</v>
      </c>
      <c r="BN839" s="864">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904">
        <f>SUM(W835:AC839)</f>
        <v>231310</v>
      </c>
      <c r="X840" s="1905"/>
      <c r="Y840" s="1905"/>
      <c r="Z840" s="1905"/>
      <c r="AA840" s="1905"/>
      <c r="AB840" s="1905"/>
      <c r="AC840" s="1906"/>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3">
        <v>262291</v>
      </c>
      <c r="BD840" s="863">
        <v>302419</v>
      </c>
      <c r="BE840" s="863">
        <v>364800</v>
      </c>
      <c r="BF840" s="863">
        <v>466944</v>
      </c>
      <c r="BG840" s="863">
        <v>520205</v>
      </c>
      <c r="BH840" s="70"/>
      <c r="BI840" s="47" t="s">
        <v>526</v>
      </c>
      <c r="BJ840" s="863">
        <v>262291</v>
      </c>
      <c r="BK840" s="863">
        <v>302419</v>
      </c>
      <c r="BL840" s="863">
        <v>364800</v>
      </c>
      <c r="BM840" s="863">
        <v>466944</v>
      </c>
      <c r="BN840" s="863">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58">
        <v>20500</v>
      </c>
      <c r="X841" s="1859"/>
      <c r="Y841" s="1859"/>
      <c r="Z841" s="1859"/>
      <c r="AA841" s="1859"/>
      <c r="AB841" s="1859"/>
      <c r="AC841" s="1860"/>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4">
        <v>278397</v>
      </c>
      <c r="BD841" s="864">
        <v>320989</v>
      </c>
      <c r="BE841" s="864">
        <v>387200</v>
      </c>
      <c r="BF841" s="864">
        <v>495616</v>
      </c>
      <c r="BG841" s="864">
        <v>552147</v>
      </c>
      <c r="BH841" s="70"/>
      <c r="BI841" s="47" t="s">
        <v>527</v>
      </c>
      <c r="BJ841" s="864">
        <v>278397</v>
      </c>
      <c r="BK841" s="864">
        <v>320989</v>
      </c>
      <c r="BL841" s="864">
        <v>387200</v>
      </c>
      <c r="BM841" s="864">
        <v>495616</v>
      </c>
      <c r="BN841" s="864">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3">
        <v>238133</v>
      </c>
      <c r="BD842" s="863">
        <v>274565</v>
      </c>
      <c r="BE842" s="863">
        <v>331200</v>
      </c>
      <c r="BF842" s="863">
        <v>423936</v>
      </c>
      <c r="BG842" s="863">
        <v>472291</v>
      </c>
      <c r="BH842" s="70"/>
      <c r="BI842" s="47" t="s">
        <v>529</v>
      </c>
      <c r="BJ842" s="863">
        <v>238133</v>
      </c>
      <c r="BK842" s="863">
        <v>274565</v>
      </c>
      <c r="BL842" s="863">
        <v>331200</v>
      </c>
      <c r="BM842" s="863">
        <v>423936</v>
      </c>
      <c r="BN842" s="863">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8">
        <v>2800</v>
      </c>
      <c r="X843" s="1758"/>
      <c r="Y843" s="1758"/>
      <c r="Z843" s="1758"/>
      <c r="AA843" s="1758"/>
      <c r="AB843" s="1758"/>
      <c r="AC843" s="175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4">
        <v>262291</v>
      </c>
      <c r="BD843" s="864">
        <v>302419</v>
      </c>
      <c r="BE843" s="864">
        <v>364800</v>
      </c>
      <c r="BF843" s="864">
        <v>466944</v>
      </c>
      <c r="BG843" s="864">
        <v>520205</v>
      </c>
      <c r="BH843" s="70"/>
      <c r="BI843" s="47" t="s">
        <v>532</v>
      </c>
      <c r="BJ843" s="864">
        <v>262291</v>
      </c>
      <c r="BK843" s="864">
        <v>302419</v>
      </c>
      <c r="BL843" s="864">
        <v>364800</v>
      </c>
      <c r="BM843" s="864">
        <v>466944</v>
      </c>
      <c r="BN843" s="864">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8">
        <v>22100</v>
      </c>
      <c r="X844" s="1758"/>
      <c r="Y844" s="1758"/>
      <c r="Z844" s="1758"/>
      <c r="AA844" s="1758"/>
      <c r="AB844" s="1758"/>
      <c r="AC844" s="175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3">
        <v>262291</v>
      </c>
      <c r="BD844" s="863">
        <v>302419</v>
      </c>
      <c r="BE844" s="863">
        <v>364800</v>
      </c>
      <c r="BF844" s="863">
        <v>466944</v>
      </c>
      <c r="BG844" s="863">
        <v>520205</v>
      </c>
      <c r="BH844" s="70"/>
      <c r="BI844" s="47" t="s">
        <v>533</v>
      </c>
      <c r="BJ844" s="863">
        <v>262291</v>
      </c>
      <c r="BK844" s="863">
        <v>302419</v>
      </c>
      <c r="BL844" s="863">
        <v>364800</v>
      </c>
      <c r="BM844" s="863">
        <v>466944</v>
      </c>
      <c r="BN844" s="863">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8">
        <v>38000</v>
      </c>
      <c r="X845" s="1758"/>
      <c r="Y845" s="1758"/>
      <c r="Z845" s="1758"/>
      <c r="AA845" s="1758"/>
      <c r="AB845" s="1758"/>
      <c r="AC845" s="175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4">
        <v>228930</v>
      </c>
      <c r="BD845" s="864">
        <v>263954</v>
      </c>
      <c r="BE845" s="864">
        <v>318400</v>
      </c>
      <c r="BF845" s="864">
        <v>407552</v>
      </c>
      <c r="BG845" s="864">
        <v>454038</v>
      </c>
      <c r="BH845" s="70"/>
      <c r="BI845" s="47" t="s">
        <v>535</v>
      </c>
      <c r="BJ845" s="864">
        <v>228930</v>
      </c>
      <c r="BK845" s="864">
        <v>263954</v>
      </c>
      <c r="BL845" s="864">
        <v>318400</v>
      </c>
      <c r="BM845" s="864">
        <v>407552</v>
      </c>
      <c r="BN845" s="864">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8">
        <v>3200</v>
      </c>
      <c r="X846" s="1758"/>
      <c r="Y846" s="1758"/>
      <c r="Z846" s="1758"/>
      <c r="AA846" s="1758"/>
      <c r="AB846" s="1758"/>
      <c r="AC846" s="175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3">
        <v>262291</v>
      </c>
      <c r="BD846" s="863">
        <v>302419</v>
      </c>
      <c r="BE846" s="863">
        <v>364800</v>
      </c>
      <c r="BF846" s="863">
        <v>466944</v>
      </c>
      <c r="BG846" s="863">
        <v>520205</v>
      </c>
      <c r="BH846" s="70"/>
      <c r="BI846" s="47" t="s">
        <v>536</v>
      </c>
      <c r="BJ846" s="863">
        <v>262291</v>
      </c>
      <c r="BK846" s="863">
        <v>302419</v>
      </c>
      <c r="BL846" s="863">
        <v>364800</v>
      </c>
      <c r="BM846" s="863">
        <v>466944</v>
      </c>
      <c r="BN846" s="863">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8">
        <v>46600</v>
      </c>
      <c r="X847" s="1758"/>
      <c r="Y847" s="1758"/>
      <c r="Z847" s="1758"/>
      <c r="AA847" s="1758"/>
      <c r="AB847" s="1758"/>
      <c r="AC847" s="175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4">
        <v>238133</v>
      </c>
      <c r="BD847" s="864">
        <v>274565</v>
      </c>
      <c r="BE847" s="864">
        <v>331200</v>
      </c>
      <c r="BF847" s="864">
        <v>423936</v>
      </c>
      <c r="BG847" s="864">
        <v>472291</v>
      </c>
      <c r="BH847" s="70"/>
      <c r="BI847" s="47" t="s">
        <v>537</v>
      </c>
      <c r="BJ847" s="864">
        <v>238133</v>
      </c>
      <c r="BK847" s="864">
        <v>274565</v>
      </c>
      <c r="BL847" s="864">
        <v>331200</v>
      </c>
      <c r="BM847" s="864">
        <v>423936</v>
      </c>
      <c r="BN847" s="864">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58">
        <v>10000</v>
      </c>
      <c r="X848" s="1758"/>
      <c r="Y848" s="1758"/>
      <c r="Z848" s="1758"/>
      <c r="AA848" s="1758"/>
      <c r="AB848" s="1758"/>
      <c r="AC848" s="1758"/>
      <c r="AM848" s="72"/>
      <c r="AN848" s="72"/>
      <c r="AO848" s="72"/>
      <c r="AP848" s="72"/>
      <c r="AQ848" s="72"/>
      <c r="AR848" s="72"/>
      <c r="AS848" s="72"/>
      <c r="AT848" s="72"/>
      <c r="AU848" s="72"/>
      <c r="AV848" s="72"/>
      <c r="AW848" s="72"/>
      <c r="AX848" s="72"/>
      <c r="AY848" s="72"/>
      <c r="AZ848" s="72"/>
      <c r="BA848" s="72"/>
      <c r="BB848" s="47" t="s">
        <v>539</v>
      </c>
      <c r="BC848" s="863">
        <v>238133</v>
      </c>
      <c r="BD848" s="863">
        <v>274565</v>
      </c>
      <c r="BE848" s="863">
        <v>331200</v>
      </c>
      <c r="BF848" s="863">
        <v>423936</v>
      </c>
      <c r="BG848" s="863">
        <v>472291</v>
      </c>
      <c r="BH848" s="70"/>
      <c r="BI848" s="47" t="s">
        <v>539</v>
      </c>
      <c r="BJ848" s="863">
        <v>238133</v>
      </c>
      <c r="BK848" s="863">
        <v>274565</v>
      </c>
      <c r="BL848" s="863">
        <v>331200</v>
      </c>
      <c r="BM848" s="863">
        <v>423936</v>
      </c>
      <c r="BN848" s="863">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828" t="s">
        <v>2499</v>
      </c>
      <c r="N849" s="1709"/>
      <c r="O849" s="1709"/>
      <c r="P849" s="1709"/>
      <c r="Q849" s="1709"/>
      <c r="R849" s="1709"/>
      <c r="S849" s="1709"/>
      <c r="T849" s="1709"/>
      <c r="U849" s="1709"/>
      <c r="V849" s="1710"/>
      <c r="W849" s="1758">
        <v>3800</v>
      </c>
      <c r="X849" s="1758"/>
      <c r="Y849" s="1758"/>
      <c r="Z849" s="1758"/>
      <c r="AA849" s="1758"/>
      <c r="AB849" s="1758"/>
      <c r="AC849" s="1758"/>
      <c r="AM849" s="72"/>
      <c r="AN849" s="72"/>
      <c r="AO849" s="72"/>
      <c r="AP849" s="72"/>
      <c r="AQ849" s="72"/>
      <c r="AR849" s="72"/>
      <c r="AS849" s="72"/>
      <c r="AT849" s="72"/>
      <c r="AU849" s="72"/>
      <c r="AV849" s="72"/>
      <c r="AW849" s="72"/>
      <c r="AX849" s="72"/>
      <c r="AY849" s="72"/>
      <c r="AZ849" s="72"/>
      <c r="BA849" s="72"/>
      <c r="BB849" s="47" t="s">
        <v>540</v>
      </c>
      <c r="BC849" s="864">
        <v>262291</v>
      </c>
      <c r="BD849" s="864">
        <v>302419</v>
      </c>
      <c r="BE849" s="864">
        <v>364800</v>
      </c>
      <c r="BF849" s="864">
        <v>466944</v>
      </c>
      <c r="BG849" s="864">
        <v>520205</v>
      </c>
      <c r="BH849" s="70"/>
      <c r="BI849" s="47" t="s">
        <v>540</v>
      </c>
      <c r="BJ849" s="864">
        <v>262291</v>
      </c>
      <c r="BK849" s="864">
        <v>302419</v>
      </c>
      <c r="BL849" s="864">
        <v>364800</v>
      </c>
      <c r="BM849" s="864">
        <v>466944</v>
      </c>
      <c r="BN849" s="864">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24">
        <f>SUM(W843:AC849)</f>
        <v>126500</v>
      </c>
      <c r="X850" s="1724"/>
      <c r="Y850" s="1724"/>
      <c r="Z850" s="1724"/>
      <c r="AA850" s="1724"/>
      <c r="AB850" s="1724"/>
      <c r="AC850" s="1724"/>
      <c r="AM850" s="72"/>
      <c r="AN850" s="72"/>
      <c r="AO850" s="72"/>
      <c r="AP850" s="72"/>
      <c r="AQ850" s="72"/>
      <c r="AR850" s="72"/>
      <c r="AS850" s="72"/>
      <c r="AT850" s="72"/>
      <c r="AU850" s="72"/>
      <c r="AV850" s="72"/>
      <c r="AW850" s="72"/>
      <c r="AX850" s="72"/>
      <c r="AY850" s="72"/>
      <c r="AZ850" s="72"/>
      <c r="BA850" s="72"/>
      <c r="BB850" s="47" t="s">
        <v>660</v>
      </c>
      <c r="BC850" s="863">
        <v>262291</v>
      </c>
      <c r="BD850" s="863">
        <v>302419</v>
      </c>
      <c r="BE850" s="863">
        <v>364800</v>
      </c>
      <c r="BF850" s="863">
        <v>466944</v>
      </c>
      <c r="BG850" s="863">
        <v>520205</v>
      </c>
      <c r="BH850" s="70"/>
      <c r="BI850" s="47" t="s">
        <v>660</v>
      </c>
      <c r="BJ850" s="863">
        <v>262291</v>
      </c>
      <c r="BK850" s="863">
        <v>302419</v>
      </c>
      <c r="BL850" s="863">
        <v>364800</v>
      </c>
      <c r="BM850" s="863">
        <v>466944</v>
      </c>
      <c r="BN850" s="863">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4">
        <v>327289</v>
      </c>
      <c r="BD851" s="864">
        <v>377361</v>
      </c>
      <c r="BE851" s="864">
        <v>455200</v>
      </c>
      <c r="BF851" s="864">
        <v>582656</v>
      </c>
      <c r="BG851" s="864">
        <v>649115</v>
      </c>
      <c r="BH851" s="70"/>
      <c r="BI851" s="47" t="s">
        <v>661</v>
      </c>
      <c r="BJ851" s="864">
        <v>327289</v>
      </c>
      <c r="BK851" s="864">
        <v>377361</v>
      </c>
      <c r="BL851" s="864">
        <v>455200</v>
      </c>
      <c r="BM851" s="864">
        <v>582656</v>
      </c>
      <c r="BN851" s="864">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2126</v>
      </c>
      <c r="J852" s="90" t="s">
        <v>311</v>
      </c>
      <c r="K852" s="91"/>
      <c r="L852" s="91"/>
      <c r="M852" s="1708" t="s">
        <v>622</v>
      </c>
      <c r="N852" s="1709"/>
      <c r="O852" s="1709"/>
      <c r="P852" s="1709"/>
      <c r="Q852" s="1709"/>
      <c r="R852" s="1709"/>
      <c r="S852" s="1709"/>
      <c r="T852" s="1709"/>
      <c r="U852" s="1709"/>
      <c r="V852" s="1710"/>
      <c r="W852" s="1711"/>
      <c r="X852" s="1712"/>
      <c r="Y852" s="1712"/>
      <c r="Z852" s="1712"/>
      <c r="AA852" s="1712"/>
      <c r="AB852" s="1712"/>
      <c r="AC852" s="1713"/>
      <c r="AM852" s="72"/>
      <c r="AN852" s="72"/>
      <c r="AO852" s="72"/>
      <c r="AP852" s="72"/>
      <c r="AQ852" s="72"/>
      <c r="AR852" s="72"/>
      <c r="AS852" s="72"/>
      <c r="AT852" s="72"/>
      <c r="AU852" s="72"/>
      <c r="AV852" s="72"/>
      <c r="AW852" s="72"/>
      <c r="AX852" s="72"/>
      <c r="AY852" s="72"/>
      <c r="AZ852" s="72"/>
      <c r="BA852" s="72"/>
      <c r="BB852" s="47" t="s">
        <v>663</v>
      </c>
      <c r="BC852" s="863">
        <v>238133</v>
      </c>
      <c r="BD852" s="863">
        <v>274565</v>
      </c>
      <c r="BE852" s="863">
        <v>331200</v>
      </c>
      <c r="BF852" s="863">
        <v>423936</v>
      </c>
      <c r="BG852" s="863">
        <v>472291</v>
      </c>
      <c r="BH852" s="70"/>
      <c r="BI852" s="47" t="s">
        <v>663</v>
      </c>
      <c r="BJ852" s="863">
        <v>238133</v>
      </c>
      <c r="BK852" s="863">
        <v>274565</v>
      </c>
      <c r="BL852" s="863">
        <v>331200</v>
      </c>
      <c r="BM852" s="863">
        <v>423936</v>
      </c>
      <c r="BN852" s="863">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08" t="s">
        <v>622</v>
      </c>
      <c r="N853" s="1709"/>
      <c r="O853" s="1709"/>
      <c r="P853" s="1709"/>
      <c r="Q853" s="1709"/>
      <c r="R853" s="1709"/>
      <c r="S853" s="1709"/>
      <c r="T853" s="1709"/>
      <c r="U853" s="1709"/>
      <c r="V853" s="1710"/>
      <c r="W853" s="1711"/>
      <c r="X853" s="1712"/>
      <c r="Y853" s="1712"/>
      <c r="Z853" s="1712"/>
      <c r="AA853" s="1712"/>
      <c r="AB853" s="1712"/>
      <c r="AC853" s="1713"/>
      <c r="AM853" s="72"/>
      <c r="AN853" s="72"/>
      <c r="AO853" s="72"/>
      <c r="AP853" s="72"/>
      <c r="AQ853" s="72"/>
      <c r="AR853" s="72"/>
      <c r="AS853" s="72"/>
      <c r="AT853" s="72"/>
      <c r="AU853" s="72"/>
      <c r="AV853" s="72"/>
      <c r="AW853" s="72"/>
      <c r="AX853" s="72"/>
      <c r="AY853" s="72"/>
      <c r="AZ853" s="72"/>
      <c r="BA853" s="72"/>
      <c r="BB853" s="47" t="s">
        <v>664</v>
      </c>
      <c r="BC853" s="864">
        <v>299104</v>
      </c>
      <c r="BD853" s="864">
        <v>344864</v>
      </c>
      <c r="BE853" s="864">
        <v>416000</v>
      </c>
      <c r="BF853" s="864">
        <v>532480</v>
      </c>
      <c r="BG853" s="864">
        <v>593216</v>
      </c>
      <c r="BH853" s="70"/>
      <c r="BI853" s="47" t="s">
        <v>664</v>
      </c>
      <c r="BJ853" s="864">
        <v>299104</v>
      </c>
      <c r="BK853" s="864">
        <v>344864</v>
      </c>
      <c r="BL853" s="864">
        <v>416000</v>
      </c>
      <c r="BM853" s="864">
        <v>532480</v>
      </c>
      <c r="BN853" s="864">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8" t="s">
        <v>622</v>
      </c>
      <c r="N854" s="1709"/>
      <c r="O854" s="1709"/>
      <c r="P854" s="1709"/>
      <c r="Q854" s="1709"/>
      <c r="R854" s="1709"/>
      <c r="S854" s="1709"/>
      <c r="T854" s="1709"/>
      <c r="U854" s="1709"/>
      <c r="V854" s="1710"/>
      <c r="W854" s="1711"/>
      <c r="X854" s="1712"/>
      <c r="Y854" s="1712"/>
      <c r="Z854" s="1712"/>
      <c r="AA854" s="1712"/>
      <c r="AB854" s="1712"/>
      <c r="AC854" s="171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3">
        <v>262291</v>
      </c>
      <c r="BD854" s="863">
        <v>302419</v>
      </c>
      <c r="BE854" s="863">
        <v>364800</v>
      </c>
      <c r="BF854" s="863">
        <v>466944</v>
      </c>
      <c r="BG854" s="863">
        <v>520205</v>
      </c>
      <c r="BH854" s="70"/>
      <c r="BI854" s="47" t="s">
        <v>665</v>
      </c>
      <c r="BJ854" s="863">
        <v>262291</v>
      </c>
      <c r="BK854" s="863">
        <v>302419</v>
      </c>
      <c r="BL854" s="863">
        <v>364800</v>
      </c>
      <c r="BM854" s="863">
        <v>466944</v>
      </c>
      <c r="BN854" s="863">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8" t="s">
        <v>622</v>
      </c>
      <c r="N855" s="1709"/>
      <c r="O855" s="1709"/>
      <c r="P855" s="1709"/>
      <c r="Q855" s="1709"/>
      <c r="R855" s="1709"/>
      <c r="S855" s="1709"/>
      <c r="T855" s="1709"/>
      <c r="U855" s="1709"/>
      <c r="V855" s="1710"/>
      <c r="W855" s="1711"/>
      <c r="X855" s="1712"/>
      <c r="Y855" s="1712"/>
      <c r="Z855" s="1712"/>
      <c r="AA855" s="1712"/>
      <c r="AB855" s="1712"/>
      <c r="AC855" s="171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4">
        <v>262291</v>
      </c>
      <c r="BD855" s="864">
        <v>302419</v>
      </c>
      <c r="BE855" s="864">
        <v>364800</v>
      </c>
      <c r="BF855" s="864">
        <v>466944</v>
      </c>
      <c r="BG855" s="864">
        <v>520205</v>
      </c>
      <c r="BH855" s="70"/>
      <c r="BI855" s="47" t="s">
        <v>666</v>
      </c>
      <c r="BJ855" s="864">
        <v>262291</v>
      </c>
      <c r="BK855" s="864">
        <v>302419</v>
      </c>
      <c r="BL855" s="864">
        <v>364800</v>
      </c>
      <c r="BM855" s="864">
        <v>466944</v>
      </c>
      <c r="BN855" s="864">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8" t="s">
        <v>622</v>
      </c>
      <c r="N856" s="1709"/>
      <c r="O856" s="1709"/>
      <c r="P856" s="1709"/>
      <c r="Q856" s="1709"/>
      <c r="R856" s="1709"/>
      <c r="S856" s="1709"/>
      <c r="T856" s="1709"/>
      <c r="U856" s="1709"/>
      <c r="V856" s="1710"/>
      <c r="W856" s="1711"/>
      <c r="X856" s="1712"/>
      <c r="Y856" s="1712"/>
      <c r="Z856" s="1712"/>
      <c r="AA856" s="1712"/>
      <c r="AB856" s="1712"/>
      <c r="AC856" s="171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3">
        <v>238133</v>
      </c>
      <c r="BD856" s="863">
        <v>274565</v>
      </c>
      <c r="BE856" s="863">
        <v>331200</v>
      </c>
      <c r="BF856" s="863">
        <v>423936</v>
      </c>
      <c r="BG856" s="863">
        <v>472291</v>
      </c>
      <c r="BH856" s="70"/>
      <c r="BI856" s="47" t="s">
        <v>668</v>
      </c>
      <c r="BJ856" s="863">
        <v>238133</v>
      </c>
      <c r="BK856" s="863">
        <v>274565</v>
      </c>
      <c r="BL856" s="863">
        <v>331200</v>
      </c>
      <c r="BM856" s="863">
        <v>423936</v>
      </c>
      <c r="BN856" s="863">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8">
        <f>SUM(W852:AC856)</f>
        <v>0</v>
      </c>
      <c r="X857" s="1719"/>
      <c r="Y857" s="1719"/>
      <c r="Z857" s="1719"/>
      <c r="AA857" s="1719"/>
      <c r="AB857" s="1719"/>
      <c r="AC857" s="172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4">
        <v>262291</v>
      </c>
      <c r="BD857" s="864">
        <v>302419</v>
      </c>
      <c r="BE857" s="864">
        <v>364800</v>
      </c>
      <c r="BF857" s="864">
        <v>466944</v>
      </c>
      <c r="BG857" s="864">
        <v>520205</v>
      </c>
      <c r="BH857" s="70"/>
      <c r="BI857" s="47" t="s">
        <v>669</v>
      </c>
      <c r="BJ857" s="864">
        <v>262291</v>
      </c>
      <c r="BK857" s="864">
        <v>302419</v>
      </c>
      <c r="BL857" s="864">
        <v>364800</v>
      </c>
      <c r="BM857" s="864">
        <v>466944</v>
      </c>
      <c r="BN857" s="864">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3">
        <v>262291</v>
      </c>
      <c r="BD858" s="863">
        <v>302419</v>
      </c>
      <c r="BE858" s="863">
        <v>364800</v>
      </c>
      <c r="BF858" s="863">
        <v>466944</v>
      </c>
      <c r="BG858" s="863">
        <v>520205</v>
      </c>
      <c r="BH858" s="70"/>
      <c r="BI858" s="47" t="s">
        <v>670</v>
      </c>
      <c r="BJ858" s="863">
        <v>262291</v>
      </c>
      <c r="BK858" s="863">
        <v>302419</v>
      </c>
      <c r="BL858" s="863">
        <v>364800</v>
      </c>
      <c r="BM858" s="863">
        <v>466944</v>
      </c>
      <c r="BN858" s="863">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4">
        <v>303706</v>
      </c>
      <c r="BD859" s="864">
        <v>350170</v>
      </c>
      <c r="BE859" s="864">
        <v>422400</v>
      </c>
      <c r="BF859" s="864">
        <v>540672</v>
      </c>
      <c r="BG859" s="864">
        <v>602342</v>
      </c>
      <c r="BH859" s="70"/>
      <c r="BI859" s="47" t="s">
        <v>632</v>
      </c>
      <c r="BJ859" s="864">
        <v>303706</v>
      </c>
      <c r="BK859" s="864">
        <v>350170</v>
      </c>
      <c r="BL859" s="864">
        <v>422400</v>
      </c>
      <c r="BM859" s="864">
        <v>540672</v>
      </c>
      <c r="BN859" s="864">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3">
        <v>299104</v>
      </c>
      <c r="BD860" s="863">
        <v>344864</v>
      </c>
      <c r="BE860" s="863">
        <v>416000</v>
      </c>
      <c r="BF860" s="863">
        <v>532480</v>
      </c>
      <c r="BG860" s="863">
        <v>593216</v>
      </c>
      <c r="BH860" s="70"/>
      <c r="BI860" s="47" t="s">
        <v>634</v>
      </c>
      <c r="BJ860" s="863">
        <v>299104</v>
      </c>
      <c r="BK860" s="863">
        <v>344864</v>
      </c>
      <c r="BL860" s="863">
        <v>416000</v>
      </c>
      <c r="BM860" s="863">
        <v>532480</v>
      </c>
      <c r="BN860" s="863">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8">
        <f>W825+W833+W840+W841+W850+W857+W827</f>
        <v>707010</v>
      </c>
      <c r="AD861" s="1719"/>
      <c r="AE861" s="1719"/>
      <c r="AF861" s="1719"/>
      <c r="AG861" s="1719"/>
      <c r="AH861" s="1720"/>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4">
        <v>262291</v>
      </c>
      <c r="BD861" s="864">
        <v>302419</v>
      </c>
      <c r="BE861" s="864">
        <v>364800</v>
      </c>
      <c r="BF861" s="864">
        <v>466944</v>
      </c>
      <c r="BG861" s="864">
        <v>520205</v>
      </c>
      <c r="BH861" s="70"/>
      <c r="BI861" s="47" t="s">
        <v>635</v>
      </c>
      <c r="BJ861" s="864">
        <v>262291</v>
      </c>
      <c r="BK861" s="864">
        <v>302419</v>
      </c>
      <c r="BL861" s="864">
        <v>364800</v>
      </c>
      <c r="BM861" s="864">
        <v>466944</v>
      </c>
      <c r="BN861" s="864">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59">
        <f>O776+O756+G731</f>
        <v>90</v>
      </c>
      <c r="AD862" s="2160"/>
      <c r="AE862" s="2160"/>
      <c r="AF862" s="2160"/>
      <c r="AG862" s="2160"/>
      <c r="AH862" s="2161"/>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3">
        <v>279547</v>
      </c>
      <c r="BD862" s="863">
        <v>322315</v>
      </c>
      <c r="BE862" s="863">
        <v>388800</v>
      </c>
      <c r="BF862" s="863">
        <v>497664</v>
      </c>
      <c r="BG862" s="863">
        <v>554429</v>
      </c>
      <c r="BH862" s="70"/>
      <c r="BI862" s="47" t="s">
        <v>636</v>
      </c>
      <c r="BJ862" s="863">
        <v>279547</v>
      </c>
      <c r="BK862" s="863">
        <v>322315</v>
      </c>
      <c r="BL862" s="863">
        <v>388800</v>
      </c>
      <c r="BM862" s="863">
        <v>497664</v>
      </c>
      <c r="BN862" s="863">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1" t="s">
        <v>385</v>
      </c>
      <c r="F863" s="1822"/>
      <c r="G863" s="1822"/>
      <c r="H863" s="1822"/>
      <c r="I863" s="1822"/>
      <c r="J863" s="1822"/>
      <c r="K863" s="1822"/>
      <c r="L863" s="1822"/>
      <c r="M863" s="1822"/>
      <c r="N863" s="1822"/>
      <c r="O863" s="1822"/>
      <c r="P863" s="1822"/>
      <c r="Q863" s="1822"/>
      <c r="R863" s="1822"/>
      <c r="S863" s="1822"/>
      <c r="T863" s="1822"/>
      <c r="U863" s="1822"/>
      <c r="V863" s="1822"/>
      <c r="W863" s="1822"/>
      <c r="X863" s="1822"/>
      <c r="Y863" s="1822"/>
      <c r="Z863" s="1822"/>
      <c r="AA863" s="1822"/>
      <c r="AB863" s="1823"/>
      <c r="AC863" s="2165">
        <f>IF(ISERROR((ROUNDDOWN(AC861/AC862,0))),0,(ROUNDDOWN(AC861/AC862,0)))</f>
        <v>7855</v>
      </c>
      <c r="AD863" s="2166"/>
      <c r="AE863" s="2166"/>
      <c r="AF863" s="2166"/>
      <c r="AG863" s="2166"/>
      <c r="AH863" s="2166"/>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4">
        <v>278397</v>
      </c>
      <c r="BD863" s="864">
        <v>320989</v>
      </c>
      <c r="BE863" s="864">
        <v>387200</v>
      </c>
      <c r="BF863" s="864">
        <v>495616</v>
      </c>
      <c r="BG863" s="864">
        <v>552147</v>
      </c>
      <c r="BH863" s="70"/>
      <c r="BI863" s="47" t="s">
        <v>637</v>
      </c>
      <c r="BJ863" s="864">
        <v>278397</v>
      </c>
      <c r="BK863" s="864">
        <v>320989</v>
      </c>
      <c r="BL863" s="864">
        <v>387200</v>
      </c>
      <c r="BM863" s="864">
        <v>495616</v>
      </c>
      <c r="BN863" s="864">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7" t="s">
        <v>706</v>
      </c>
      <c r="AC864" s="1741">
        <f>'Sources and Uses Budget'!C74</f>
        <v>338433</v>
      </c>
      <c r="AD864" s="2181"/>
      <c r="AE864" s="2181"/>
      <c r="AF864" s="2181"/>
      <c r="AG864" s="2181"/>
      <c r="AH864" s="2181"/>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3">
        <v>262291</v>
      </c>
      <c r="BD864" s="863">
        <v>302419</v>
      </c>
      <c r="BE864" s="863">
        <v>364800</v>
      </c>
      <c r="BF864" s="863">
        <v>466944</v>
      </c>
      <c r="BG864" s="863">
        <v>520205</v>
      </c>
      <c r="BH864" s="70"/>
      <c r="BI864" s="47" t="s">
        <v>639</v>
      </c>
      <c r="BJ864" s="863">
        <v>262291</v>
      </c>
      <c r="BK864" s="863">
        <v>302419</v>
      </c>
      <c r="BL864" s="863">
        <v>364800</v>
      </c>
      <c r="BM864" s="863">
        <v>466944</v>
      </c>
      <c r="BN864" s="863">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713"/>
      <c r="AD865" s="1758"/>
      <c r="AE865" s="1758"/>
      <c r="AF865" s="1758"/>
      <c r="AG865" s="1758"/>
      <c r="AH865" s="1758"/>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4">
        <v>228930</v>
      </c>
      <c r="BD865" s="864">
        <v>263954</v>
      </c>
      <c r="BE865" s="864">
        <v>318400</v>
      </c>
      <c r="BF865" s="864">
        <v>407552</v>
      </c>
      <c r="BG865" s="864">
        <v>454038</v>
      </c>
      <c r="BH865" s="70"/>
      <c r="BI865" s="47" t="s">
        <v>640</v>
      </c>
      <c r="BJ865" s="864">
        <v>228930</v>
      </c>
      <c r="BK865" s="864">
        <v>263954</v>
      </c>
      <c r="BL865" s="864">
        <v>318400</v>
      </c>
      <c r="BM865" s="864">
        <v>407552</v>
      </c>
      <c r="BN865" s="864">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11">
        <v>254784</v>
      </c>
      <c r="AD866" s="1712"/>
      <c r="AE866" s="1712"/>
      <c r="AF866" s="1712"/>
      <c r="AG866" s="1712"/>
      <c r="AH866" s="1713"/>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3">
        <v>278397</v>
      </c>
      <c r="BD866" s="863">
        <v>320989</v>
      </c>
      <c r="BE866" s="863">
        <v>387200</v>
      </c>
      <c r="BF866" s="863">
        <v>495616</v>
      </c>
      <c r="BG866" s="863">
        <v>552147</v>
      </c>
      <c r="BH866" s="70"/>
      <c r="BI866" s="47" t="s">
        <v>470</v>
      </c>
      <c r="BJ866" s="863">
        <v>278397</v>
      </c>
      <c r="BK866" s="863">
        <v>320989</v>
      </c>
      <c r="BL866" s="863">
        <v>387200</v>
      </c>
      <c r="BM866" s="863">
        <v>495616</v>
      </c>
      <c r="BN866" s="863">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11">
        <v>49500</v>
      </c>
      <c r="AD867" s="1712"/>
      <c r="AE867" s="1712"/>
      <c r="AF867" s="1712"/>
      <c r="AG867" s="1712"/>
      <c r="AH867" s="1713"/>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4">
        <v>262291</v>
      </c>
      <c r="BD867" s="864">
        <v>302419</v>
      </c>
      <c r="BE867" s="864">
        <v>364800</v>
      </c>
      <c r="BF867" s="864">
        <v>466944</v>
      </c>
      <c r="BG867" s="864">
        <v>520205</v>
      </c>
      <c r="BH867" s="70"/>
      <c r="BI867" s="47" t="s">
        <v>642</v>
      </c>
      <c r="BJ867" s="864">
        <v>262291</v>
      </c>
      <c r="BK867" s="864">
        <v>302419</v>
      </c>
      <c r="BL867" s="864">
        <v>364800</v>
      </c>
      <c r="BM867" s="864">
        <v>466944</v>
      </c>
      <c r="BN867" s="864">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8" t="s">
        <v>2216</v>
      </c>
      <c r="AC868" s="1711"/>
      <c r="AD868" s="1712"/>
      <c r="AE868" s="1712"/>
      <c r="AF868" s="1712"/>
      <c r="AG868" s="1712"/>
      <c r="AH868" s="1713"/>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3">
        <v>228930</v>
      </c>
      <c r="BD868" s="863">
        <v>263954</v>
      </c>
      <c r="BE868" s="863">
        <v>318400</v>
      </c>
      <c r="BF868" s="863">
        <v>407552</v>
      </c>
      <c r="BG868" s="863">
        <v>454038</v>
      </c>
      <c r="BH868" s="70"/>
      <c r="BI868" s="47" t="s">
        <v>643</v>
      </c>
      <c r="BJ868" s="863">
        <v>228930</v>
      </c>
      <c r="BK868" s="863">
        <v>263954</v>
      </c>
      <c r="BL868" s="863">
        <v>318400</v>
      </c>
      <c r="BM868" s="863">
        <v>407552</v>
      </c>
      <c r="BN868" s="863">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8" t="s">
        <v>774</v>
      </c>
      <c r="AC869" s="1711">
        <v>700</v>
      </c>
      <c r="AD869" s="1712"/>
      <c r="AE869" s="1712"/>
      <c r="AF869" s="1712"/>
      <c r="AG869" s="1712"/>
      <c r="AH869" s="1713"/>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4">
        <v>260566</v>
      </c>
      <c r="BD869" s="864">
        <v>300430</v>
      </c>
      <c r="BE869" s="864">
        <v>362400</v>
      </c>
      <c r="BF869" s="864">
        <v>463872</v>
      </c>
      <c r="BG869" s="864">
        <v>516782</v>
      </c>
      <c r="BH869" s="70"/>
      <c r="BI869" s="47" t="s">
        <v>644</v>
      </c>
      <c r="BJ869" s="864">
        <v>260566</v>
      </c>
      <c r="BK869" s="864">
        <v>300430</v>
      </c>
      <c r="BL869" s="864">
        <v>362400</v>
      </c>
      <c r="BM869" s="864">
        <v>463872</v>
      </c>
      <c r="BN869" s="864">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8" t="s">
        <v>2215</v>
      </c>
      <c r="AC870" s="1717"/>
      <c r="AD870" s="1758"/>
      <c r="AE870" s="1758"/>
      <c r="AF870" s="1758"/>
      <c r="AG870" s="1758"/>
      <c r="AH870" s="1758"/>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3">
        <v>511928</v>
      </c>
      <c r="BD870" s="863">
        <v>590248</v>
      </c>
      <c r="BE870" s="863">
        <v>712000</v>
      </c>
      <c r="BF870" s="863">
        <v>911360</v>
      </c>
      <c r="BG870" s="863">
        <v>1015312</v>
      </c>
      <c r="BH870" s="70"/>
      <c r="BI870" s="47" t="s">
        <v>825</v>
      </c>
      <c r="BJ870" s="863">
        <v>511928</v>
      </c>
      <c r="BK870" s="863">
        <v>590248</v>
      </c>
      <c r="BL870" s="863">
        <v>712000</v>
      </c>
      <c r="BM870" s="863">
        <v>911360</v>
      </c>
      <c r="BN870" s="863">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69" t="s">
        <v>1340</v>
      </c>
      <c r="F871" s="2070"/>
      <c r="G871" s="2070"/>
      <c r="H871" s="2070"/>
      <c r="I871" s="2070"/>
      <c r="J871" s="2070"/>
      <c r="K871" s="2070"/>
      <c r="L871" s="2070"/>
      <c r="M871" s="2070"/>
      <c r="N871" s="2070"/>
      <c r="O871" s="2070"/>
      <c r="P871" s="2070"/>
      <c r="Q871" s="2070"/>
      <c r="R871" s="2070"/>
      <c r="S871" s="2070"/>
      <c r="T871" s="2070"/>
      <c r="U871" s="2070"/>
      <c r="V871" s="2070"/>
      <c r="W871" s="2070"/>
      <c r="X871" s="2070"/>
      <c r="Y871" s="2070"/>
      <c r="Z871" s="2070"/>
      <c r="AA871" s="2070"/>
      <c r="AB871" s="2071"/>
      <c r="AC871" s="1758"/>
      <c r="AD871" s="1758"/>
      <c r="AE871" s="1758"/>
      <c r="AF871" s="1758"/>
      <c r="AG871" s="1758"/>
      <c r="AH871" s="1758"/>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4">
        <v>238133</v>
      </c>
      <c r="BD871" s="864">
        <v>274565</v>
      </c>
      <c r="BE871" s="864">
        <v>331200</v>
      </c>
      <c r="BF871" s="864">
        <v>423936</v>
      </c>
      <c r="BG871" s="864">
        <v>472291</v>
      </c>
      <c r="BH871" s="70"/>
      <c r="BI871" s="47" t="s">
        <v>826</v>
      </c>
      <c r="BJ871" s="864">
        <v>238133</v>
      </c>
      <c r="BK871" s="864">
        <v>274565</v>
      </c>
      <c r="BL871" s="864">
        <v>331200</v>
      </c>
      <c r="BM871" s="864">
        <v>423936</v>
      </c>
      <c r="BN871" s="864">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9" t="s">
        <v>1340</v>
      </c>
      <c r="F872" s="2070"/>
      <c r="G872" s="2070"/>
      <c r="H872" s="2070"/>
      <c r="I872" s="2070"/>
      <c r="J872" s="2070"/>
      <c r="K872" s="2070"/>
      <c r="L872" s="2070"/>
      <c r="M872" s="2070"/>
      <c r="N872" s="2070"/>
      <c r="O872" s="2070"/>
      <c r="P872" s="2070"/>
      <c r="Q872" s="2070"/>
      <c r="R872" s="2070"/>
      <c r="S872" s="2070"/>
      <c r="T872" s="2070"/>
      <c r="U872" s="2070"/>
      <c r="V872" s="2070"/>
      <c r="W872" s="2070"/>
      <c r="X872" s="2070"/>
      <c r="Y872" s="2070"/>
      <c r="Z872" s="2070"/>
      <c r="AA872" s="2070"/>
      <c r="AB872" s="2071"/>
      <c r="AC872" s="1758"/>
      <c r="AD872" s="1758"/>
      <c r="AE872" s="1758"/>
      <c r="AF872" s="1758"/>
      <c r="AG872" s="1758"/>
      <c r="AH872" s="1758"/>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3">
        <v>303706</v>
      </c>
      <c r="BD872" s="863">
        <v>350170</v>
      </c>
      <c r="BE872" s="863">
        <v>422400</v>
      </c>
      <c r="BF872" s="863">
        <v>540672</v>
      </c>
      <c r="BG872" s="863">
        <v>602342</v>
      </c>
      <c r="BH872" s="70"/>
      <c r="BI872" s="47" t="s">
        <v>827</v>
      </c>
      <c r="BJ872" s="863">
        <v>303706</v>
      </c>
      <c r="BK872" s="863">
        <v>350170</v>
      </c>
      <c r="BL872" s="863">
        <v>422400</v>
      </c>
      <c r="BM872" s="863">
        <v>540672</v>
      </c>
      <c r="BN872" s="863">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0"/>
      <c r="AD873" s="2180"/>
      <c r="AE873" s="2180"/>
      <c r="AF873" s="2180"/>
      <c r="AG873" s="2180"/>
      <c r="AH873" s="2180"/>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2">
        <v>440028</v>
      </c>
      <c r="BD873" s="862">
        <v>507348</v>
      </c>
      <c r="BE873" s="864">
        <v>612000</v>
      </c>
      <c r="BF873" s="862">
        <v>783360</v>
      </c>
      <c r="BG873" s="862">
        <v>872712</v>
      </c>
      <c r="BH873" s="70"/>
      <c r="BI873" s="47" t="s">
        <v>828</v>
      </c>
      <c r="BJ873" s="862">
        <v>440028</v>
      </c>
      <c r="BK873" s="862">
        <v>507348</v>
      </c>
      <c r="BL873" s="862">
        <v>612000</v>
      </c>
      <c r="BM873" s="862">
        <v>783360</v>
      </c>
      <c r="BN873" s="862">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3"/>
      <c r="AO874" s="2163"/>
      <c r="AP874" s="1814"/>
      <c r="AQ874" s="1814"/>
      <c r="AR874" s="1814"/>
      <c r="AS874" s="1814"/>
      <c r="AZ874" s="70"/>
      <c r="BA874" s="70"/>
      <c r="BB874" s="47" t="s">
        <v>829</v>
      </c>
      <c r="BC874" s="863">
        <v>303706</v>
      </c>
      <c r="BD874" s="863">
        <v>350170</v>
      </c>
      <c r="BE874" s="863">
        <v>422400</v>
      </c>
      <c r="BF874" s="863">
        <v>540672</v>
      </c>
      <c r="BG874" s="863">
        <v>602342</v>
      </c>
      <c r="BH874" s="70"/>
      <c r="BI874" s="47" t="s">
        <v>829</v>
      </c>
      <c r="BJ874" s="863">
        <v>303706</v>
      </c>
      <c r="BK874" s="863">
        <v>350170</v>
      </c>
      <c r="BL874" s="863">
        <v>422400</v>
      </c>
      <c r="BM874" s="863">
        <v>540672</v>
      </c>
      <c r="BN874" s="863">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14"/>
      <c r="AQ875" s="1814"/>
      <c r="AR875" s="1814"/>
      <c r="AS875" s="1814"/>
      <c r="AV875" s="1814"/>
      <c r="AW875" s="1814"/>
      <c r="AX875" s="1814"/>
      <c r="AY875" s="1814"/>
      <c r="AZ875" s="70"/>
      <c r="BA875" s="70"/>
      <c r="BB875" s="47" t="s">
        <v>830</v>
      </c>
      <c r="BC875" s="862">
        <v>440028</v>
      </c>
      <c r="BD875" s="862">
        <v>507348</v>
      </c>
      <c r="BE875" s="862">
        <v>612000</v>
      </c>
      <c r="BF875" s="862">
        <v>783360</v>
      </c>
      <c r="BG875" s="862">
        <v>872712</v>
      </c>
      <c r="BH875" s="70"/>
      <c r="BI875" s="47" t="s">
        <v>830</v>
      </c>
      <c r="BJ875" s="862">
        <v>440028</v>
      </c>
      <c r="BK875" s="862">
        <v>507348</v>
      </c>
      <c r="BL875" s="862">
        <v>612000</v>
      </c>
      <c r="BM875" s="862">
        <v>783360</v>
      </c>
      <c r="BN875" s="862">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11">
        <v>0</v>
      </c>
      <c r="AA876" s="1712"/>
      <c r="AB876" s="1712"/>
      <c r="AC876" s="1712"/>
      <c r="AD876" s="1712"/>
      <c r="AE876" s="171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3">
        <v>303706</v>
      </c>
      <c r="BD876" s="863">
        <v>350170</v>
      </c>
      <c r="BE876" s="863">
        <v>422400</v>
      </c>
      <c r="BF876" s="863">
        <v>540672</v>
      </c>
      <c r="BG876" s="863">
        <v>602342</v>
      </c>
      <c r="BH876" s="70"/>
      <c r="BI876" s="47" t="s">
        <v>724</v>
      </c>
      <c r="BJ876" s="863">
        <v>303706</v>
      </c>
      <c r="BK876" s="863">
        <v>350170</v>
      </c>
      <c r="BL876" s="863">
        <v>422400</v>
      </c>
      <c r="BM876" s="863">
        <v>540672</v>
      </c>
      <c r="BN876" s="863">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11">
        <v>0</v>
      </c>
      <c r="AA877" s="1712"/>
      <c r="AB877" s="1712"/>
      <c r="AC877" s="1712"/>
      <c r="AD877" s="1712"/>
      <c r="AE877" s="171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4">
        <v>230655</v>
      </c>
      <c r="BD877" s="864">
        <v>265943</v>
      </c>
      <c r="BE877" s="864">
        <v>320800</v>
      </c>
      <c r="BF877" s="864">
        <v>410624</v>
      </c>
      <c r="BG877" s="864">
        <v>457461</v>
      </c>
      <c r="BH877" s="70"/>
      <c r="BI877" s="47" t="s">
        <v>725</v>
      </c>
      <c r="BJ877" s="864">
        <v>230655</v>
      </c>
      <c r="BK877" s="864">
        <v>265943</v>
      </c>
      <c r="BL877" s="864">
        <v>320800</v>
      </c>
      <c r="BM877" s="864">
        <v>410624</v>
      </c>
      <c r="BN877" s="864">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11">
        <v>0</v>
      </c>
      <c r="AA878" s="1712"/>
      <c r="AB878" s="1712"/>
      <c r="AC878" s="1712"/>
      <c r="AD878" s="1712"/>
      <c r="AE878" s="171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3">
        <v>262291</v>
      </c>
      <c r="BD878" s="863">
        <v>302419</v>
      </c>
      <c r="BE878" s="863">
        <v>364800</v>
      </c>
      <c r="BF878" s="863">
        <v>466944</v>
      </c>
      <c r="BG878" s="863">
        <v>520205</v>
      </c>
      <c r="BH878" s="70"/>
      <c r="BI878" s="47" t="s">
        <v>726</v>
      </c>
      <c r="BJ878" s="863">
        <v>262291</v>
      </c>
      <c r="BK878" s="863">
        <v>302419</v>
      </c>
      <c r="BL878" s="863">
        <v>364800</v>
      </c>
      <c r="BM878" s="863">
        <v>466944</v>
      </c>
      <c r="BN878" s="863">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8">
        <f>Z876-(Z877+Z878)</f>
        <v>0</v>
      </c>
      <c r="AA879" s="1719"/>
      <c r="AB879" s="1719"/>
      <c r="AC879" s="1719"/>
      <c r="AD879" s="1719"/>
      <c r="AE879" s="172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4">
        <v>262291</v>
      </c>
      <c r="BD879" s="864">
        <v>302419</v>
      </c>
      <c r="BE879" s="864">
        <v>364800</v>
      </c>
      <c r="BF879" s="864">
        <v>466944</v>
      </c>
      <c r="BG879" s="864">
        <v>520205</v>
      </c>
      <c r="BH879" s="70"/>
      <c r="BI879" s="47" t="s">
        <v>727</v>
      </c>
      <c r="BJ879" s="864">
        <v>262291</v>
      </c>
      <c r="BK879" s="864">
        <v>302419</v>
      </c>
      <c r="BL879" s="864">
        <v>364800</v>
      </c>
      <c r="BM879" s="864">
        <v>466944</v>
      </c>
      <c r="BN879" s="864">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3">
        <v>299104</v>
      </c>
      <c r="BD880" s="863">
        <v>344864</v>
      </c>
      <c r="BE880" s="863">
        <v>416000</v>
      </c>
      <c r="BF880" s="863">
        <v>532480</v>
      </c>
      <c r="BG880" s="863">
        <v>593216</v>
      </c>
      <c r="BH880" s="70"/>
      <c r="BI880" s="47" t="s">
        <v>728</v>
      </c>
      <c r="BJ880" s="863">
        <v>299104</v>
      </c>
      <c r="BK880" s="863">
        <v>344864</v>
      </c>
      <c r="BL880" s="863">
        <v>416000</v>
      </c>
      <c r="BM880" s="863">
        <v>532480</v>
      </c>
      <c r="BN880" s="863">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4">
        <v>299104</v>
      </c>
      <c r="BD881" s="864">
        <v>344864</v>
      </c>
      <c r="BE881" s="864">
        <v>416000</v>
      </c>
      <c r="BF881" s="864">
        <v>532480</v>
      </c>
      <c r="BG881" s="864">
        <v>593216</v>
      </c>
      <c r="BH881" s="70"/>
      <c r="BI881" s="47" t="s">
        <v>1001</v>
      </c>
      <c r="BJ881" s="864">
        <v>299104</v>
      </c>
      <c r="BK881" s="864">
        <v>344864</v>
      </c>
      <c r="BL881" s="864">
        <v>416000</v>
      </c>
      <c r="BM881" s="864">
        <v>532480</v>
      </c>
      <c r="BN881" s="864">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47"/>
      <c r="AU882" s="1747"/>
      <c r="AV882" s="1747"/>
      <c r="AW882" s="1747"/>
      <c r="AX882" s="1747"/>
      <c r="AY882" s="1747"/>
      <c r="AZ882" s="70"/>
      <c r="BA882" s="70"/>
      <c r="BB882" s="47" t="s">
        <v>1002</v>
      </c>
      <c r="BC882" s="863">
        <v>238133</v>
      </c>
      <c r="BD882" s="863">
        <v>274565</v>
      </c>
      <c r="BE882" s="863">
        <v>331200</v>
      </c>
      <c r="BF882" s="863">
        <v>423936</v>
      </c>
      <c r="BG882" s="863">
        <v>472291</v>
      </c>
      <c r="BH882" s="70"/>
      <c r="BI882" s="47" t="s">
        <v>1002</v>
      </c>
      <c r="BJ882" s="863">
        <v>238133</v>
      </c>
      <c r="BK882" s="863">
        <v>274565</v>
      </c>
      <c r="BL882" s="863">
        <v>331200</v>
      </c>
      <c r="BM882" s="863">
        <v>423936</v>
      </c>
      <c r="BN882" s="863">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4">
        <v>278397</v>
      </c>
      <c r="BD883" s="864">
        <v>320989</v>
      </c>
      <c r="BE883" s="864">
        <v>387200</v>
      </c>
      <c r="BF883" s="864">
        <v>495616</v>
      </c>
      <c r="BG883" s="864">
        <v>552147</v>
      </c>
      <c r="BH883" s="70"/>
      <c r="BI883" s="47" t="s">
        <v>1</v>
      </c>
      <c r="BJ883" s="864">
        <v>278397</v>
      </c>
      <c r="BK883" s="864">
        <v>320989</v>
      </c>
      <c r="BL883" s="864">
        <v>387200</v>
      </c>
      <c r="BM883" s="864">
        <v>495616</v>
      </c>
      <c r="BN883" s="864">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3">
        <v>262291</v>
      </c>
      <c r="BD884" s="863">
        <v>302419</v>
      </c>
      <c r="BE884" s="863">
        <v>364800</v>
      </c>
      <c r="BF884" s="863">
        <v>466944</v>
      </c>
      <c r="BG884" s="863">
        <v>520205</v>
      </c>
      <c r="BH884" s="70"/>
      <c r="BI884" s="47" t="s">
        <v>2</v>
      </c>
      <c r="BJ884" s="863">
        <v>262291</v>
      </c>
      <c r="BK884" s="863">
        <v>302419</v>
      </c>
      <c r="BL884" s="863">
        <v>364800</v>
      </c>
      <c r="BM884" s="863">
        <v>466944</v>
      </c>
      <c r="BN884" s="863">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4">
        <v>262291</v>
      </c>
      <c r="BD885" s="864">
        <v>302419</v>
      </c>
      <c r="BE885" s="864">
        <v>364800</v>
      </c>
      <c r="BF885" s="864">
        <v>466944</v>
      </c>
      <c r="BG885" s="864">
        <v>520205</v>
      </c>
      <c r="BH885" s="70"/>
      <c r="BI885" s="47" t="s">
        <v>3</v>
      </c>
      <c r="BJ885" s="864">
        <v>262291</v>
      </c>
      <c r="BK885" s="864">
        <v>302419</v>
      </c>
      <c r="BL885" s="864">
        <v>364800</v>
      </c>
      <c r="BM885" s="864">
        <v>466944</v>
      </c>
      <c r="BN885" s="864">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714" t="s">
        <v>140</v>
      </c>
      <c r="B886" s="1714"/>
      <c r="C886" s="1714"/>
      <c r="D886" s="1714"/>
      <c r="E886" s="1714"/>
      <c r="F886" s="1714"/>
      <c r="G886" s="1714"/>
      <c r="H886" s="1714"/>
      <c r="I886" s="1714"/>
      <c r="J886" s="1714"/>
      <c r="K886" s="1714"/>
      <c r="L886" s="1714"/>
      <c r="M886" s="1714"/>
      <c r="N886" s="1714"/>
      <c r="O886" s="1714"/>
      <c r="P886" s="1714"/>
      <c r="Q886" s="1714"/>
      <c r="R886" s="1714"/>
      <c r="S886" s="1714"/>
      <c r="T886" s="1714"/>
      <c r="U886" s="1714"/>
      <c r="V886" s="1714"/>
      <c r="W886" s="1714"/>
      <c r="X886" s="1714"/>
      <c r="Y886" s="1714"/>
      <c r="Z886" s="1714"/>
      <c r="AA886" s="1714"/>
      <c r="AB886" s="1714"/>
      <c r="AC886" s="1714"/>
      <c r="AD886" s="1714"/>
      <c r="AE886" s="1714"/>
      <c r="AF886" s="1714"/>
      <c r="AG886" s="1714"/>
      <c r="AH886" s="1714"/>
      <c r="AI886" s="1714"/>
      <c r="AJ886" s="1714"/>
      <c r="AK886" s="1714"/>
      <c r="AL886" s="1714"/>
      <c r="AM886" s="66"/>
      <c r="AN886" s="66"/>
      <c r="AO886" s="30"/>
      <c r="AP886" s="30"/>
      <c r="AQ886" s="30"/>
      <c r="BB886" s="47" t="s">
        <v>4</v>
      </c>
      <c r="BC886" s="863">
        <v>238133</v>
      </c>
      <c r="BD886" s="863">
        <v>274565</v>
      </c>
      <c r="BE886" s="863">
        <v>331200</v>
      </c>
      <c r="BF886" s="863">
        <v>423936</v>
      </c>
      <c r="BG886" s="863">
        <v>472291</v>
      </c>
      <c r="BH886" s="70"/>
      <c r="BI886" s="47" t="s">
        <v>4</v>
      </c>
      <c r="BJ886" s="863">
        <v>238133</v>
      </c>
      <c r="BK886" s="863">
        <v>274565</v>
      </c>
      <c r="BL886" s="863">
        <v>331200</v>
      </c>
      <c r="BM886" s="863">
        <v>423936</v>
      </c>
      <c r="BN886" s="863">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14"/>
      <c r="B887" s="1714"/>
      <c r="C887" s="1714"/>
      <c r="D887" s="1714"/>
      <c r="E887" s="1714"/>
      <c r="F887" s="1714"/>
      <c r="G887" s="1714"/>
      <c r="H887" s="1714"/>
      <c r="I887" s="1714"/>
      <c r="J887" s="1714"/>
      <c r="K887" s="1714"/>
      <c r="L887" s="1714"/>
      <c r="M887" s="1714"/>
      <c r="N887" s="1714"/>
      <c r="O887" s="1714"/>
      <c r="P887" s="1714"/>
      <c r="Q887" s="1714"/>
      <c r="R887" s="1714"/>
      <c r="S887" s="1714"/>
      <c r="T887" s="1714"/>
      <c r="U887" s="1714"/>
      <c r="V887" s="1714"/>
      <c r="W887" s="1714"/>
      <c r="X887" s="1714"/>
      <c r="Y887" s="1714"/>
      <c r="Z887" s="1714"/>
      <c r="AA887" s="1714"/>
      <c r="AB887" s="1714"/>
      <c r="AC887" s="1714"/>
      <c r="AD887" s="1714"/>
      <c r="AE887" s="1714"/>
      <c r="AF887" s="1714"/>
      <c r="AG887" s="1714"/>
      <c r="AH887" s="1714"/>
      <c r="AI887" s="1714"/>
      <c r="AJ887" s="1714"/>
      <c r="AK887" s="1714"/>
      <c r="AL887" s="1714"/>
      <c r="AM887" s="66"/>
      <c r="AN887" s="66"/>
      <c r="AO887" s="30"/>
      <c r="AP887" s="30"/>
      <c r="AQ887" s="30"/>
      <c r="AR887" s="30"/>
      <c r="AS887" s="30"/>
      <c r="AT887" s="70"/>
      <c r="AU887" s="70"/>
      <c r="AV887" s="70"/>
      <c r="AW887" s="70"/>
      <c r="AX887" s="70"/>
      <c r="AY887" s="70"/>
      <c r="AZ887" s="70"/>
      <c r="BA887" s="70"/>
      <c r="BB887" s="47" t="s">
        <v>21</v>
      </c>
      <c r="BC887" s="864">
        <v>262291</v>
      </c>
      <c r="BD887" s="864">
        <v>302419</v>
      </c>
      <c r="BE887" s="864">
        <v>364800</v>
      </c>
      <c r="BF887" s="864">
        <v>466944</v>
      </c>
      <c r="BG887" s="864">
        <v>520205</v>
      </c>
      <c r="BH887" s="70"/>
      <c r="BI887" s="47" t="s">
        <v>21</v>
      </c>
      <c r="BJ887" s="864">
        <v>262291</v>
      </c>
      <c r="BK887" s="864">
        <v>302419</v>
      </c>
      <c r="BL887" s="864">
        <v>364800</v>
      </c>
      <c r="BM887" s="864">
        <v>466944</v>
      </c>
      <c r="BN887" s="864">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3">
        <v>303706</v>
      </c>
      <c r="BD888" s="863">
        <v>350170</v>
      </c>
      <c r="BE888" s="863">
        <v>422400</v>
      </c>
      <c r="BF888" s="863">
        <v>540672</v>
      </c>
      <c r="BG888" s="863">
        <v>602342</v>
      </c>
      <c r="BH888" s="70"/>
      <c r="BI888" s="47" t="s">
        <v>5</v>
      </c>
      <c r="BJ888" s="863">
        <v>303706</v>
      </c>
      <c r="BK888" s="863">
        <v>350170</v>
      </c>
      <c r="BL888" s="863">
        <v>422400</v>
      </c>
      <c r="BM888" s="863">
        <v>540672</v>
      </c>
      <c r="BN888" s="863">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4">
        <v>278397</v>
      </c>
      <c r="BD889" s="864">
        <v>320989</v>
      </c>
      <c r="BE889" s="864">
        <v>387200</v>
      </c>
      <c r="BF889" s="864">
        <v>495616</v>
      </c>
      <c r="BG889" s="864">
        <v>552147</v>
      </c>
      <c r="BH889" s="70"/>
      <c r="BI889" s="47" t="s">
        <v>6</v>
      </c>
      <c r="BJ889" s="864">
        <v>278397</v>
      </c>
      <c r="BK889" s="864">
        <v>320989</v>
      </c>
      <c r="BL889" s="864">
        <v>387200</v>
      </c>
      <c r="BM889" s="864">
        <v>495616</v>
      </c>
      <c r="BN889" s="864">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3">
        <v>278397</v>
      </c>
      <c r="BD890" s="863">
        <v>320989</v>
      </c>
      <c r="BE890" s="863">
        <v>387200</v>
      </c>
      <c r="BF890" s="863">
        <v>495616</v>
      </c>
      <c r="BG890" s="863">
        <v>552147</v>
      </c>
      <c r="BH890" s="70"/>
      <c r="BI890" s="47" t="s">
        <v>492</v>
      </c>
      <c r="BJ890" s="863">
        <v>278397</v>
      </c>
      <c r="BK890" s="863">
        <v>320989</v>
      </c>
      <c r="BL890" s="863">
        <v>387200</v>
      </c>
      <c r="BM890" s="863">
        <v>495616</v>
      </c>
      <c r="BN890" s="863">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2" t="s">
        <v>1065</v>
      </c>
      <c r="G891" s="2183"/>
      <c r="H891" s="2183"/>
      <c r="I891" s="2183"/>
      <c r="J891" s="2183"/>
      <c r="K891" s="2183"/>
      <c r="L891" s="2183"/>
      <c r="M891" s="2183"/>
      <c r="N891" s="2183"/>
      <c r="O891" s="2183"/>
      <c r="P891" s="2183"/>
      <c r="Q891" s="2183"/>
      <c r="R891" s="2183"/>
      <c r="S891" s="2183"/>
      <c r="T891" s="2184"/>
      <c r="U891" s="1815" t="s">
        <v>384</v>
      </c>
      <c r="V891" s="1816"/>
      <c r="W891" s="1816"/>
      <c r="X891" s="1816"/>
      <c r="Y891" s="1816"/>
      <c r="Z891" s="1816"/>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7" t="s">
        <v>1155</v>
      </c>
      <c r="G892" s="1818"/>
      <c r="H892" s="1818"/>
      <c r="I892" s="1818"/>
      <c r="J892" s="1818"/>
      <c r="K892" s="1818"/>
      <c r="L892" s="1818"/>
      <c r="M892" s="1818"/>
      <c r="N892" s="1818"/>
      <c r="O892" s="1818"/>
      <c r="P892" s="1818"/>
      <c r="Q892" s="1818"/>
      <c r="R892" s="1818"/>
      <c r="S892" s="1818"/>
      <c r="T892" s="2185"/>
      <c r="U892" s="1817"/>
      <c r="V892" s="1818"/>
      <c r="W892" s="1818"/>
      <c r="X892" s="1818"/>
      <c r="Y892" s="1818"/>
      <c r="Z892" s="181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9"/>
      <c r="G893" s="1820"/>
      <c r="H893" s="1820"/>
      <c r="I893" s="1820"/>
      <c r="J893" s="1820"/>
      <c r="K893" s="1820"/>
      <c r="L893" s="1820"/>
      <c r="M893" s="1820"/>
      <c r="N893" s="1820"/>
      <c r="O893" s="1820"/>
      <c r="P893" s="1820"/>
      <c r="Q893" s="1820"/>
      <c r="R893" s="1820"/>
      <c r="S893" s="1820"/>
      <c r="T893" s="2186"/>
      <c r="U893" s="1819"/>
      <c r="V893" s="1820"/>
      <c r="W893" s="1820"/>
      <c r="X893" s="1820"/>
      <c r="Y893" s="1820"/>
      <c r="Z893" s="1820"/>
      <c r="AA893" s="310"/>
      <c r="AB893" s="2187" t="s">
        <v>61</v>
      </c>
      <c r="AC893" s="2187"/>
      <c r="AD893" s="2187"/>
      <c r="AE893" s="218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30" t="s">
        <v>136</v>
      </c>
      <c r="V894" s="1731"/>
      <c r="W894" s="1731"/>
      <c r="X894" s="1731"/>
      <c r="Y894" s="1731"/>
      <c r="Z894" s="1732"/>
      <c r="AA894" s="1739"/>
      <c r="AB894" s="1740"/>
      <c r="AC894" s="1740"/>
      <c r="AD894" s="1740"/>
      <c r="AE894" s="1740"/>
      <c r="AF894" s="174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30" t="s">
        <v>119</v>
      </c>
      <c r="V895" s="1731"/>
      <c r="W895" s="1731"/>
      <c r="X895" s="1731"/>
      <c r="Y895" s="1731"/>
      <c r="Z895" s="1732"/>
      <c r="AA895" s="1739">
        <f>AO635</f>
        <v>2664774</v>
      </c>
      <c r="AB895" s="1740"/>
      <c r="AC895" s="1740"/>
      <c r="AD895" s="1740"/>
      <c r="AE895" s="1740"/>
      <c r="AF895" s="174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30" t="s">
        <v>136</v>
      </c>
      <c r="V896" s="1731"/>
      <c r="W896" s="1731"/>
      <c r="X896" s="1731"/>
      <c r="Y896" s="1731"/>
      <c r="Z896" s="1732"/>
      <c r="AA896" s="1739"/>
      <c r="AB896" s="1740"/>
      <c r="AC896" s="1740"/>
      <c r="AD896" s="1740"/>
      <c r="AE896" s="1740"/>
      <c r="AF896" s="174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30" t="s">
        <v>136</v>
      </c>
      <c r="V897" s="1731"/>
      <c r="W897" s="1731"/>
      <c r="X897" s="1731"/>
      <c r="Y897" s="1731"/>
      <c r="Z897" s="1732"/>
      <c r="AA897" s="1739"/>
      <c r="AB897" s="1740"/>
      <c r="AC897" s="1740"/>
      <c r="AD897" s="1740"/>
      <c r="AE897" s="1740"/>
      <c r="AF897" s="174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30" t="s">
        <v>136</v>
      </c>
      <c r="V898" s="1731"/>
      <c r="W898" s="1731"/>
      <c r="X898" s="1731"/>
      <c r="Y898" s="1731"/>
      <c r="Z898" s="1732"/>
      <c r="AA898" s="1739"/>
      <c r="AB898" s="1740"/>
      <c r="AC898" s="1740"/>
      <c r="AD898" s="1740"/>
      <c r="AE898" s="1740"/>
      <c r="AF898" s="174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30" t="s">
        <v>136</v>
      </c>
      <c r="V899" s="1731"/>
      <c r="W899" s="1731"/>
      <c r="X899" s="1731"/>
      <c r="Y899" s="1731"/>
      <c r="Z899" s="1732"/>
      <c r="AA899" s="1739"/>
      <c r="AB899" s="1740"/>
      <c r="AC899" s="1740"/>
      <c r="AD899" s="1740"/>
      <c r="AE899" s="1740"/>
      <c r="AF899" s="174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30" t="s">
        <v>136</v>
      </c>
      <c r="V900" s="1731"/>
      <c r="W900" s="1731"/>
      <c r="X900" s="1731"/>
      <c r="Y900" s="1731"/>
      <c r="Z900" s="1732"/>
      <c r="AA900" s="1739"/>
      <c r="AB900" s="1740"/>
      <c r="AC900" s="1740"/>
      <c r="AD900" s="1740"/>
      <c r="AE900" s="1740"/>
      <c r="AF900" s="174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30" t="s">
        <v>136</v>
      </c>
      <c r="V901" s="1731"/>
      <c r="W901" s="1731"/>
      <c r="X901" s="1731"/>
      <c r="Y901" s="1731"/>
      <c r="Z901" s="1732"/>
      <c r="AA901" s="1739"/>
      <c r="AB901" s="1740"/>
      <c r="AC901" s="1740"/>
      <c r="AD901" s="1740"/>
      <c r="AE901" s="1740"/>
      <c r="AF901" s="174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30" t="s">
        <v>136</v>
      </c>
      <c r="V902" s="1731"/>
      <c r="W902" s="1731"/>
      <c r="X902" s="1731"/>
      <c r="Y902" s="1731"/>
      <c r="Z902" s="1732"/>
      <c r="AA902" s="1739"/>
      <c r="AB902" s="1740"/>
      <c r="AC902" s="1740"/>
      <c r="AD902" s="1740"/>
      <c r="AE902" s="1740"/>
      <c r="AF902" s="174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30" t="s">
        <v>136</v>
      </c>
      <c r="V903" s="1731"/>
      <c r="W903" s="1731"/>
      <c r="X903" s="1731"/>
      <c r="Y903" s="1731"/>
      <c r="Z903" s="1732"/>
      <c r="AA903" s="1739"/>
      <c r="AB903" s="1740"/>
      <c r="AC903" s="1740"/>
      <c r="AD903" s="1740"/>
      <c r="AE903" s="1740"/>
      <c r="AF903" s="174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25" t="s">
        <v>136</v>
      </c>
      <c r="V904" s="1826"/>
      <c r="W904" s="1826"/>
      <c r="X904" s="1826"/>
      <c r="Y904" s="1826"/>
      <c r="Z904" s="1827"/>
      <c r="AA904" s="2191"/>
      <c r="AB904" s="2192"/>
      <c r="AC904" s="2192"/>
      <c r="AD904" s="2192"/>
      <c r="AE904" s="2192"/>
      <c r="AF904" s="219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30" t="s">
        <v>136</v>
      </c>
      <c r="V905" s="1731"/>
      <c r="W905" s="1731"/>
      <c r="X905" s="1731"/>
      <c r="Y905" s="1731"/>
      <c r="Z905" s="1732"/>
      <c r="AA905" s="1739"/>
      <c r="AB905" s="1740"/>
      <c r="AC905" s="1740"/>
      <c r="AD905" s="1740"/>
      <c r="AE905" s="1740"/>
      <c r="AF905" s="174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30" t="s">
        <v>136</v>
      </c>
      <c r="V906" s="1731"/>
      <c r="W906" s="1731"/>
      <c r="X906" s="1731"/>
      <c r="Y906" s="1731"/>
      <c r="Z906" s="1732"/>
      <c r="AA906" s="1739"/>
      <c r="AB906" s="1740"/>
      <c r="AC906" s="1740"/>
      <c r="AD906" s="1740"/>
      <c r="AE906" s="1740"/>
      <c r="AF906" s="174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30" t="s">
        <v>136</v>
      </c>
      <c r="V907" s="1731"/>
      <c r="W907" s="1731"/>
      <c r="X907" s="1731"/>
      <c r="Y907" s="1731"/>
      <c r="Z907" s="1732"/>
      <c r="AA907" s="1739"/>
      <c r="AB907" s="1740"/>
      <c r="AC907" s="1740"/>
      <c r="AD907" s="1740"/>
      <c r="AE907" s="1740"/>
      <c r="AF907" s="174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1" t="s">
        <v>531</v>
      </c>
      <c r="Q908" s="1731"/>
      <c r="R908" s="1731"/>
      <c r="S908" s="1731"/>
      <c r="T908" s="1732"/>
      <c r="U908" s="1730" t="s">
        <v>136</v>
      </c>
      <c r="V908" s="1731"/>
      <c r="W908" s="1731"/>
      <c r="X908" s="1731"/>
      <c r="Y908" s="1731"/>
      <c r="Z908" s="1732"/>
      <c r="AA908" s="1739"/>
      <c r="AB908" s="1740"/>
      <c r="AC908" s="1740"/>
      <c r="AD908" s="1740"/>
      <c r="AE908" s="1740"/>
      <c r="AF908" s="174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824" t="s">
        <v>2478</v>
      </c>
      <c r="J909" s="1726"/>
      <c r="K909" s="1726"/>
      <c r="L909" s="1726"/>
      <c r="M909" s="1726"/>
      <c r="N909" s="1726"/>
      <c r="O909" s="1726"/>
      <c r="P909" s="1726"/>
      <c r="Q909" s="1726"/>
      <c r="R909" s="1726"/>
      <c r="S909" s="1726"/>
      <c r="T909" s="1727"/>
      <c r="U909" s="1730" t="s">
        <v>119</v>
      </c>
      <c r="V909" s="1731"/>
      <c r="W909" s="1731"/>
      <c r="X909" s="1731"/>
      <c r="Y909" s="1731"/>
      <c r="Z909" s="1732"/>
      <c r="AA909" s="1739">
        <f>AO634+AO643+AO641+AO639</f>
        <v>7996804</v>
      </c>
      <c r="AB909" s="1740"/>
      <c r="AC909" s="1740"/>
      <c r="AD909" s="1740"/>
      <c r="AE909" s="1740"/>
      <c r="AF909" s="174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824" t="s">
        <v>2500</v>
      </c>
      <c r="J910" s="1726"/>
      <c r="K910" s="1726"/>
      <c r="L910" s="1726"/>
      <c r="M910" s="1726"/>
      <c r="N910" s="1726"/>
      <c r="O910" s="1726"/>
      <c r="P910" s="1726"/>
      <c r="Q910" s="1726"/>
      <c r="R910" s="1726"/>
      <c r="S910" s="1726"/>
      <c r="T910" s="1727"/>
      <c r="U910" s="1730" t="s">
        <v>119</v>
      </c>
      <c r="V910" s="1731"/>
      <c r="W910" s="1731"/>
      <c r="X910" s="1731"/>
      <c r="Y910" s="1731"/>
      <c r="Z910" s="1732"/>
      <c r="AA910" s="1739">
        <f>AO636+AO637+AO638</f>
        <v>4517985</v>
      </c>
      <c r="AB910" s="1740"/>
      <c r="AC910" s="1740"/>
      <c r="AD910" s="1740"/>
      <c r="AE910" s="1740"/>
      <c r="AF910" s="174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25" t="str">
        <f>C632</f>
        <v>Seller Carryback Loan</v>
      </c>
      <c r="J911" s="1726"/>
      <c r="K911" s="1726"/>
      <c r="L911" s="1726"/>
      <c r="M911" s="1726"/>
      <c r="N911" s="1726"/>
      <c r="O911" s="1726"/>
      <c r="P911" s="1726"/>
      <c r="Q911" s="1726"/>
      <c r="R911" s="1726"/>
      <c r="S911" s="1726"/>
      <c r="T911" s="1727"/>
      <c r="U911" s="1730" t="s">
        <v>136</v>
      </c>
      <c r="V911" s="1731"/>
      <c r="W911" s="1731"/>
      <c r="X911" s="1731"/>
      <c r="Y911" s="1731"/>
      <c r="Z911" s="1732"/>
      <c r="AA911" s="1739">
        <f>AO632</f>
        <v>4262015</v>
      </c>
      <c r="AB911" s="1740"/>
      <c r="AC911" s="1740"/>
      <c r="AD911" s="1740"/>
      <c r="AE911" s="1740"/>
      <c r="AF911" s="174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824" t="s">
        <v>2501</v>
      </c>
      <c r="J912" s="1726"/>
      <c r="K912" s="1726"/>
      <c r="L912" s="1726"/>
      <c r="M912" s="1726"/>
      <c r="N912" s="1726"/>
      <c r="O912" s="1726"/>
      <c r="P912" s="1726"/>
      <c r="Q912" s="1726"/>
      <c r="R912" s="1726"/>
      <c r="S912" s="1726"/>
      <c r="T912" s="1727"/>
      <c r="U912" s="1730" t="s">
        <v>119</v>
      </c>
      <c r="V912" s="1731"/>
      <c r="W912" s="1731"/>
      <c r="X912" s="1731"/>
      <c r="Y912" s="1731"/>
      <c r="Z912" s="1732"/>
      <c r="AA912" s="1739">
        <f>AO640+AO642</f>
        <v>2000000</v>
      </c>
      <c r="AB912" s="1740"/>
      <c r="AC912" s="1740"/>
      <c r="AD912" s="1740"/>
      <c r="AE912" s="1740"/>
      <c r="AF912" s="174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76">
        <v>43862</v>
      </c>
      <c r="M917" s="1916"/>
      <c r="N917" s="1916"/>
      <c r="O917" s="1916"/>
      <c r="P917" s="1916"/>
      <c r="Q917" s="1916"/>
      <c r="R917" s="1916"/>
      <c r="S917" s="1917"/>
      <c r="U917" s="117" t="s">
        <v>909</v>
      </c>
      <c r="V917" s="91"/>
      <c r="W917" s="91"/>
      <c r="X917" s="91"/>
      <c r="Y917" s="91"/>
      <c r="Z917" s="91"/>
      <c r="AA917" s="91"/>
      <c r="AB917" s="91"/>
      <c r="AC917" s="91"/>
      <c r="AD917" s="92"/>
      <c r="AE917" s="1765"/>
      <c r="AF917" s="1766"/>
      <c r="AG917" s="1766"/>
      <c r="AH917" s="1766"/>
      <c r="AI917" s="1766"/>
      <c r="AJ917" s="1766"/>
      <c r="AK917" s="176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15" t="s">
        <v>2525</v>
      </c>
      <c r="M918" s="1916"/>
      <c r="N918" s="1916"/>
      <c r="O918" s="1916"/>
      <c r="P918" s="1916"/>
      <c r="Q918" s="1916"/>
      <c r="R918" s="1916"/>
      <c r="S918" s="1917"/>
      <c r="U918" s="117" t="s">
        <v>910</v>
      </c>
      <c r="V918" s="91"/>
      <c r="W918" s="91"/>
      <c r="X918" s="91"/>
      <c r="Y918" s="91"/>
      <c r="Z918" s="91"/>
      <c r="AA918" s="91"/>
      <c r="AB918" s="91"/>
      <c r="AC918" s="91"/>
      <c r="AD918" s="92"/>
      <c r="AE918" s="2188"/>
      <c r="AF918" s="2189"/>
      <c r="AG918" s="2189"/>
      <c r="AH918" s="2189"/>
      <c r="AI918" s="2189"/>
      <c r="AJ918" s="2189"/>
      <c r="AK918" s="219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12" t="s">
        <v>2505</v>
      </c>
      <c r="M919" s="1913"/>
      <c r="N919" s="1913"/>
      <c r="O919" s="1913"/>
      <c r="P919" s="1913"/>
      <c r="Q919" s="1913"/>
      <c r="R919" s="1913"/>
      <c r="S919" s="1914"/>
      <c r="U919" s="117" t="s">
        <v>1227</v>
      </c>
      <c r="V919" s="91"/>
      <c r="W919" s="91"/>
      <c r="AE919" s="1733" t="s">
        <v>86</v>
      </c>
      <c r="AF919" s="1734"/>
      <c r="AG919" s="1734"/>
      <c r="AH919" s="1734"/>
      <c r="AI919" s="1734"/>
      <c r="AJ919" s="1734"/>
      <c r="AK919" s="1735"/>
      <c r="AL919" s="119"/>
      <c r="AM919" s="75"/>
      <c r="AN919" s="75"/>
      <c r="AO919" s="75"/>
      <c r="AP919" s="75"/>
      <c r="AQ919" s="75"/>
      <c r="AR919" s="75"/>
      <c r="AS919" s="75"/>
      <c r="AT919" s="75"/>
      <c r="AU919" s="75"/>
      <c r="AV919" s="75"/>
      <c r="AW919" s="66" t="s">
        <v>649</v>
      </c>
      <c r="AX919" s="319">
        <v>20</v>
      </c>
      <c r="AY919" s="1813">
        <f>IF(AD955&gt;0,0.2,0)</f>
        <v>0</v>
      </c>
      <c r="AZ919" s="181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62">
        <f>Z784/G731</f>
        <v>0.43181818181818182</v>
      </c>
      <c r="M920" s="1763"/>
      <c r="N920" s="1763"/>
      <c r="O920" s="1763"/>
      <c r="P920" s="1763"/>
      <c r="Q920" s="1763"/>
      <c r="R920" s="1763"/>
      <c r="S920" s="1764"/>
      <c r="U920" s="117" t="s">
        <v>911</v>
      </c>
      <c r="V920" s="91"/>
      <c r="W920" s="91"/>
      <c r="X920" s="91"/>
      <c r="Y920" s="91"/>
      <c r="Z920" s="91"/>
      <c r="AA920" s="91"/>
      <c r="AB920" s="91"/>
      <c r="AC920" s="91"/>
      <c r="AD920" s="92"/>
      <c r="AE920" s="1762"/>
      <c r="AF920" s="1763"/>
      <c r="AG920" s="1763"/>
      <c r="AH920" s="1763"/>
      <c r="AI920" s="1763"/>
      <c r="AJ920" s="1763"/>
      <c r="AK920" s="1764"/>
      <c r="AL920" s="119"/>
      <c r="AM920" s="75"/>
      <c r="AN920" s="75"/>
      <c r="AO920" s="75"/>
      <c r="AP920" s="75"/>
      <c r="AQ920" s="75"/>
      <c r="AR920" s="75"/>
      <c r="AS920" s="75"/>
      <c r="AT920" s="75"/>
      <c r="AU920" s="75"/>
      <c r="AV920" s="75"/>
      <c r="AX920" s="16">
        <v>5</v>
      </c>
      <c r="AY920" s="1813">
        <f>IF(AD958&gt;0,0.05,0)</f>
        <v>0</v>
      </c>
      <c r="AZ920" s="181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25">
        <f>Z784</f>
        <v>38</v>
      </c>
      <c r="M921" s="1926"/>
      <c r="N921" s="1926"/>
      <c r="O921" s="1926"/>
      <c r="P921" s="1926"/>
      <c r="Q921" s="1926"/>
      <c r="R921" s="1926"/>
      <c r="S921" s="1927"/>
      <c r="U921" s="117" t="s">
        <v>912</v>
      </c>
      <c r="V921" s="91"/>
      <c r="W921" s="91"/>
      <c r="X921" s="91"/>
      <c r="Y921" s="91"/>
      <c r="Z921" s="91"/>
      <c r="AA921" s="91"/>
      <c r="AB921" s="91"/>
      <c r="AC921" s="91"/>
      <c r="AD921" s="92"/>
      <c r="AE921" s="2065"/>
      <c r="AF921" s="2066"/>
      <c r="AG921" s="2066"/>
      <c r="AH921" s="2066"/>
      <c r="AI921" s="2066"/>
      <c r="AJ921" s="2066"/>
      <c r="AK921" s="2067"/>
      <c r="AL921" s="119"/>
      <c r="AM921" s="75"/>
      <c r="AN921" s="75"/>
      <c r="AO921" s="75"/>
      <c r="AP921" s="75"/>
      <c r="AQ921" s="75"/>
      <c r="AR921" s="75"/>
      <c r="AS921" s="75"/>
      <c r="AT921" s="75"/>
      <c r="AU921" s="75"/>
      <c r="AV921" s="75"/>
      <c r="AW921" s="66" t="s">
        <v>650</v>
      </c>
      <c r="AX921" s="319">
        <v>7</v>
      </c>
      <c r="AY921" s="1887">
        <f>IF(AD962&gt;0,0.07,0)</f>
        <v>0</v>
      </c>
      <c r="AZ921" s="188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11">
        <f>'Subsidy Contract Calculation'!I30</f>
        <v>513048</v>
      </c>
      <c r="M922" s="1712"/>
      <c r="N922" s="1712"/>
      <c r="O922" s="1712"/>
      <c r="P922" s="1712"/>
      <c r="Q922" s="1712"/>
      <c r="R922" s="1712"/>
      <c r="S922" s="1713"/>
      <c r="U922" s="117" t="s">
        <v>913</v>
      </c>
      <c r="V922" s="91"/>
      <c r="W922" s="91"/>
      <c r="X922" s="91"/>
      <c r="Y922" s="91"/>
      <c r="Z922" s="91"/>
      <c r="AA922" s="91"/>
      <c r="AB922" s="91"/>
      <c r="AC922" s="91"/>
      <c r="AD922" s="92"/>
      <c r="AE922" s="1739"/>
      <c r="AF922" s="1740"/>
      <c r="AG922" s="1740"/>
      <c r="AH922" s="1740"/>
      <c r="AI922" s="1740"/>
      <c r="AJ922" s="1740"/>
      <c r="AK922" s="1741"/>
      <c r="AL922" s="119"/>
      <c r="AM922" s="75"/>
      <c r="AN922" s="75"/>
      <c r="AO922" s="75"/>
      <c r="AP922" s="75"/>
      <c r="AQ922" s="75"/>
      <c r="AR922" s="75"/>
      <c r="AS922" s="75"/>
      <c r="AT922" s="75"/>
      <c r="AU922" s="75"/>
      <c r="AV922" s="75"/>
      <c r="AW922" s="66" t="s">
        <v>164</v>
      </c>
      <c r="AX922" s="319">
        <v>2</v>
      </c>
      <c r="AY922" s="1896">
        <f>IF(AD966&gt;0,0.02,0)</f>
        <v>0</v>
      </c>
      <c r="AZ922" s="189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11">
        <f>L922*L924</f>
        <v>10260960</v>
      </c>
      <c r="M923" s="1712"/>
      <c r="N923" s="1712"/>
      <c r="O923" s="1712"/>
      <c r="P923" s="1712"/>
      <c r="Q923" s="1712"/>
      <c r="R923" s="1712"/>
      <c r="S923" s="1713"/>
      <c r="U923" s="117" t="s">
        <v>914</v>
      </c>
      <c r="V923" s="91"/>
      <c r="W923" s="91"/>
      <c r="X923" s="91"/>
      <c r="Y923" s="91"/>
      <c r="Z923" s="91"/>
      <c r="AA923" s="91"/>
      <c r="AB923" s="91"/>
      <c r="AC923" s="91"/>
      <c r="AD923" s="92"/>
      <c r="AE923" s="1739"/>
      <c r="AF923" s="1740"/>
      <c r="AG923" s="1740"/>
      <c r="AH923" s="1740"/>
      <c r="AI923" s="1740"/>
      <c r="AJ923" s="1740"/>
      <c r="AK923" s="1741"/>
      <c r="AL923" s="119"/>
      <c r="AM923" s="75"/>
      <c r="AN923" s="75"/>
      <c r="AO923" s="75"/>
      <c r="AP923" s="75"/>
      <c r="AQ923" s="75"/>
      <c r="AR923" s="75"/>
      <c r="AS923" s="75"/>
      <c r="AT923" s="75"/>
      <c r="AU923" s="75"/>
      <c r="AV923" s="75"/>
      <c r="AW923" s="66" t="s">
        <v>651</v>
      </c>
      <c r="AX923" s="319">
        <v>2</v>
      </c>
      <c r="AY923" s="1896">
        <f>IF(AD968&gt;0,0.02,0)</f>
        <v>0</v>
      </c>
      <c r="AZ923" s="189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77" t="s">
        <v>2504</v>
      </c>
      <c r="M924" s="1878"/>
      <c r="N924" s="1878"/>
      <c r="O924" s="1878"/>
      <c r="P924" s="1878"/>
      <c r="Q924" s="1878"/>
      <c r="R924" s="1878"/>
      <c r="S924" s="1879"/>
      <c r="U924" s="117" t="s">
        <v>859</v>
      </c>
      <c r="V924" s="91"/>
      <c r="W924" s="91"/>
      <c r="X924" s="91"/>
      <c r="Y924" s="91"/>
      <c r="Z924" s="91"/>
      <c r="AA924" s="91"/>
      <c r="AB924" s="91"/>
      <c r="AC924" s="91"/>
      <c r="AD924" s="92"/>
      <c r="AE924" s="1924"/>
      <c r="AF924" s="1878"/>
      <c r="AG924" s="1878"/>
      <c r="AH924" s="1878"/>
      <c r="AI924" s="1878"/>
      <c r="AJ924" s="1878"/>
      <c r="AK924" s="1879"/>
      <c r="AL924" s="119"/>
      <c r="AM924" s="75"/>
      <c r="AN924" s="75"/>
      <c r="AO924" s="75"/>
      <c r="AP924" s="75"/>
      <c r="AQ924" s="75"/>
      <c r="AR924" s="75"/>
      <c r="AS924" s="75"/>
      <c r="AT924" s="75"/>
      <c r="AU924" s="75"/>
      <c r="AV924" s="75"/>
      <c r="AW924" s="66" t="s">
        <v>652</v>
      </c>
      <c r="AX924" s="319">
        <v>10</v>
      </c>
      <c r="AY924" s="1880">
        <f>AY932</f>
        <v>0</v>
      </c>
      <c r="AZ924" s="188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96"/>
      <c r="AZ925" s="1897"/>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2"/>
      <c r="AZ926" s="1883"/>
      <c r="BA926" s="188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96">
        <f>IF(AD985&gt;0,0.1,0)</f>
        <v>0</v>
      </c>
      <c r="AZ927" s="1897"/>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0">
        <f>SUM(AY919:AY927)</f>
        <v>0</v>
      </c>
      <c r="AZ928" s="1881"/>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15"/>
      <c r="N929" s="1716"/>
      <c r="O929" s="1716"/>
      <c r="P929" s="1716"/>
      <c r="Q929" s="1716"/>
      <c r="R929" s="1716"/>
      <c r="S929" s="1717"/>
      <c r="T929" s="117" t="s">
        <v>1054</v>
      </c>
      <c r="U929" s="91"/>
      <c r="V929" s="91"/>
      <c r="W929" s="91"/>
      <c r="X929" s="91"/>
      <c r="Y929" s="91"/>
      <c r="Z929" s="92"/>
      <c r="AA929" s="1715"/>
      <c r="AB929" s="1716"/>
      <c r="AC929" s="1716"/>
      <c r="AD929" s="1716"/>
      <c r="AE929" s="1716"/>
      <c r="AF929" s="1716"/>
      <c r="AG929" s="171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15"/>
      <c r="N930" s="1716"/>
      <c r="O930" s="1716"/>
      <c r="P930" s="1716"/>
      <c r="Q930" s="1716"/>
      <c r="R930" s="1716"/>
      <c r="S930" s="1717"/>
      <c r="T930" s="117" t="s">
        <v>1053</v>
      </c>
      <c r="U930" s="91"/>
      <c r="V930" s="91"/>
      <c r="W930" s="91"/>
      <c r="X930" s="91"/>
      <c r="Y930" s="91"/>
      <c r="Z930" s="92"/>
      <c r="AA930" s="1715"/>
      <c r="AB930" s="1716"/>
      <c r="AC930" s="1716"/>
      <c r="AD930" s="1716"/>
      <c r="AE930" s="1716"/>
      <c r="AF930" s="1716"/>
      <c r="AG930" s="1717"/>
      <c r="AL930" s="119"/>
      <c r="AM930" s="75"/>
      <c r="AN930" s="75"/>
      <c r="AO930" s="75"/>
      <c r="AP930" s="75"/>
      <c r="AQ930" s="75"/>
      <c r="AR930" s="75"/>
      <c r="AS930" s="75"/>
      <c r="AT930" s="75"/>
      <c r="AU930" s="75"/>
      <c r="AV930" s="75"/>
      <c r="AW930" s="66"/>
      <c r="AX930" s="66"/>
      <c r="AY930" s="1880">
        <f>SUM(AY919:AZ923)+AY927</f>
        <v>0</v>
      </c>
      <c r="AZ930" s="1881"/>
      <c r="BA930" s="1885">
        <v>0.39</v>
      </c>
      <c r="BB930" s="188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8" t="s">
        <v>136</v>
      </c>
      <c r="N931" s="1688"/>
      <c r="O931" s="1688"/>
      <c r="P931" s="1688"/>
      <c r="Q931" s="1688"/>
      <c r="R931" s="1688"/>
      <c r="S931" s="1729"/>
      <c r="T931" s="90" t="s">
        <v>626</v>
      </c>
      <c r="U931" s="91"/>
      <c r="V931" s="91"/>
      <c r="W931" s="91"/>
      <c r="X931" s="91"/>
      <c r="Y931" s="91"/>
      <c r="Z931" s="92"/>
      <c r="AA931" s="1715"/>
      <c r="AB931" s="1716"/>
      <c r="AC931" s="1716"/>
      <c r="AD931" s="1716"/>
      <c r="AE931" s="1716"/>
      <c r="AF931" s="1716"/>
      <c r="AG931" s="171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15"/>
      <c r="N932" s="1716"/>
      <c r="O932" s="1716"/>
      <c r="P932" s="1716"/>
      <c r="Q932" s="1716"/>
      <c r="R932" s="1716"/>
      <c r="S932" s="1717"/>
      <c r="T932" s="90" t="s">
        <v>627</v>
      </c>
      <c r="U932" s="91"/>
      <c r="V932" s="91"/>
      <c r="W932" s="91"/>
      <c r="X932" s="91"/>
      <c r="Y932" s="91"/>
      <c r="Z932" s="92"/>
      <c r="AA932" s="1715"/>
      <c r="AB932" s="1716"/>
      <c r="AC932" s="1716"/>
      <c r="AD932" s="1716"/>
      <c r="AE932" s="1716"/>
      <c r="AF932" s="1716"/>
      <c r="AG932" s="1717"/>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15"/>
      <c r="N933" s="1716"/>
      <c r="O933" s="1716"/>
      <c r="P933" s="1716"/>
      <c r="Q933" s="1716"/>
      <c r="R933" s="1716"/>
      <c r="S933" s="1717"/>
      <c r="T933" s="90" t="s">
        <v>542</v>
      </c>
      <c r="U933" s="91"/>
      <c r="V933" s="91"/>
      <c r="W933" s="91"/>
      <c r="X933" s="91"/>
      <c r="Y933" s="91"/>
      <c r="Z933" s="92"/>
      <c r="AA933" s="1715"/>
      <c r="AB933" s="1716"/>
      <c r="AC933" s="1716"/>
      <c r="AD933" s="1716"/>
      <c r="AE933" s="1716"/>
      <c r="AF933" s="1716"/>
      <c r="AG933" s="171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3" t="s">
        <v>1227</v>
      </c>
      <c r="G934" s="86"/>
      <c r="H934" s="86"/>
      <c r="I934" s="86"/>
      <c r="J934" s="86"/>
      <c r="K934" s="86"/>
      <c r="L934" s="108"/>
      <c r="M934" s="1733" t="s">
        <v>86</v>
      </c>
      <c r="N934" s="1734"/>
      <c r="O934" s="1734"/>
      <c r="P934" s="1734"/>
      <c r="Q934" s="1734"/>
      <c r="R934" s="1734"/>
      <c r="S934" s="1735"/>
      <c r="T934" s="1736"/>
      <c r="U934" s="1737"/>
      <c r="V934" s="1737"/>
      <c r="W934" s="1737"/>
      <c r="X934" s="1737"/>
      <c r="Y934" s="1737"/>
      <c r="Z934" s="1738"/>
      <c r="AA934" s="1715"/>
      <c r="AB934" s="1716"/>
      <c r="AC934" s="1716"/>
      <c r="AD934" s="1716"/>
      <c r="AE934" s="1716"/>
      <c r="AF934" s="1716"/>
      <c r="AG934" s="171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15"/>
      <c r="N935" s="1716"/>
      <c r="O935" s="1716"/>
      <c r="P935" s="1716"/>
      <c r="Q935" s="1716"/>
      <c r="R935" s="1716"/>
      <c r="S935" s="1717"/>
      <c r="T935" s="1736"/>
      <c r="U935" s="1737"/>
      <c r="V935" s="1737"/>
      <c r="W935" s="1737"/>
      <c r="X935" s="1737"/>
      <c r="Y935" s="1737"/>
      <c r="Z935" s="1738"/>
      <c r="AA935" s="1715"/>
      <c r="AB935" s="1716"/>
      <c r="AC935" s="1716"/>
      <c r="AD935" s="1716"/>
      <c r="AE935" s="1716"/>
      <c r="AF935" s="1716"/>
      <c r="AG935" s="171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8" t="s">
        <v>531</v>
      </c>
      <c r="P936" s="1729"/>
      <c r="Q936" s="228"/>
      <c r="R936" s="228"/>
      <c r="S936" s="229"/>
      <c r="T936" s="85" t="s">
        <v>311</v>
      </c>
      <c r="U936" s="86"/>
      <c r="V936" s="86"/>
      <c r="W936" s="1708" t="s">
        <v>622</v>
      </c>
      <c r="X936" s="1709"/>
      <c r="Y936" s="1709"/>
      <c r="Z936" s="1709"/>
      <c r="AA936" s="1709"/>
      <c r="AB936" s="1709"/>
      <c r="AC936" s="1709"/>
      <c r="AD936" s="1709"/>
      <c r="AE936" s="1709"/>
      <c r="AF936" s="1709"/>
      <c r="AG936" s="171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1" t="s">
        <v>252</v>
      </c>
      <c r="G937" s="1902"/>
      <c r="H937" s="1902"/>
      <c r="I937" s="1902"/>
      <c r="J937" s="1902"/>
      <c r="K937" s="1902"/>
      <c r="L937" s="1902"/>
      <c r="M937" s="1715"/>
      <c r="N937" s="1716"/>
      <c r="O937" s="1716"/>
      <c r="P937" s="1716"/>
      <c r="Q937" s="1716"/>
      <c r="R937" s="1716"/>
      <c r="S937" s="1717"/>
      <c r="T937" s="93"/>
      <c r="U937" s="94"/>
      <c r="V937" s="94"/>
      <c r="W937" s="94"/>
      <c r="X937" s="94"/>
      <c r="Y937" s="94"/>
      <c r="Z937" s="351" t="s">
        <v>253</v>
      </c>
      <c r="AA937" s="1898"/>
      <c r="AB937" s="1899"/>
      <c r="AC937" s="1899"/>
      <c r="AD937" s="1899"/>
      <c r="AE937" s="1899"/>
      <c r="AF937" s="1899"/>
      <c r="AG937" s="19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14" t="s">
        <v>141</v>
      </c>
      <c r="B941" s="1714"/>
      <c r="C941" s="1714"/>
      <c r="D941" s="1714"/>
      <c r="E941" s="1714"/>
      <c r="F941" s="1714"/>
      <c r="G941" s="1714"/>
      <c r="H941" s="1714"/>
      <c r="I941" s="1714"/>
      <c r="J941" s="1714"/>
      <c r="K941" s="1714"/>
      <c r="L941" s="1714"/>
      <c r="M941" s="1714"/>
      <c r="N941" s="1714"/>
      <c r="O941" s="1714"/>
      <c r="P941" s="1714"/>
      <c r="Q941" s="1714"/>
      <c r="R941" s="1714"/>
      <c r="S941" s="1714"/>
      <c r="T941" s="1714"/>
      <c r="U941" s="1714"/>
      <c r="V941" s="1714"/>
      <c r="W941" s="1714"/>
      <c r="X941" s="1714"/>
      <c r="Y941" s="1714"/>
      <c r="Z941" s="1714"/>
      <c r="AA941" s="1714"/>
      <c r="AB941" s="1714"/>
      <c r="AC941" s="1714"/>
      <c r="AD941" s="1714"/>
      <c r="AE941" s="1714"/>
      <c r="AF941" s="1714"/>
      <c r="AG941" s="1714"/>
      <c r="AH941" s="1714"/>
      <c r="AI941" s="1714"/>
      <c r="AJ941" s="1714"/>
      <c r="AK941" s="1714"/>
      <c r="AL941" s="171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14"/>
      <c r="B942" s="1714"/>
      <c r="C942" s="1714"/>
      <c r="D942" s="1714"/>
      <c r="E942" s="1714"/>
      <c r="F942" s="1714"/>
      <c r="G942" s="1714"/>
      <c r="H942" s="1714"/>
      <c r="I942" s="1714"/>
      <c r="J942" s="1714"/>
      <c r="K942" s="1714"/>
      <c r="L942" s="1714"/>
      <c r="M942" s="1714"/>
      <c r="N942" s="1714"/>
      <c r="O942" s="1714"/>
      <c r="P942" s="1714"/>
      <c r="Q942" s="1714"/>
      <c r="R942" s="1714"/>
      <c r="S942" s="1714"/>
      <c r="T942" s="1714"/>
      <c r="U942" s="1714"/>
      <c r="V942" s="1714"/>
      <c r="W942" s="1714"/>
      <c r="X942" s="1714"/>
      <c r="Y942" s="1714"/>
      <c r="Z942" s="1714"/>
      <c r="AA942" s="1714"/>
      <c r="AB942" s="1714"/>
      <c r="AC942" s="1714"/>
      <c r="AD942" s="1714"/>
      <c r="AE942" s="1714"/>
      <c r="AF942" s="1714"/>
      <c r="AG942" s="1714"/>
      <c r="AH942" s="1714"/>
      <c r="AI942" s="1714"/>
      <c r="AJ942" s="1714"/>
      <c r="AK942" s="1714"/>
      <c r="AL942" s="171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1"/>
      <c r="D946" s="1759" t="s">
        <v>473</v>
      </c>
      <c r="E946" s="1760"/>
      <c r="F946" s="1760"/>
      <c r="G946" s="1760"/>
      <c r="H946" s="1760"/>
      <c r="I946" s="1760"/>
      <c r="J946" s="1760"/>
      <c r="K946" s="1760"/>
      <c r="L946" s="1760"/>
      <c r="M946" s="1760"/>
      <c r="N946" s="1760"/>
      <c r="O946" s="1760"/>
      <c r="P946" s="1760"/>
      <c r="Q946" s="1761"/>
      <c r="R946" s="1759" t="s">
        <v>474</v>
      </c>
      <c r="S946" s="1760"/>
      <c r="T946" s="1760"/>
      <c r="U946" s="1760"/>
      <c r="V946" s="1760"/>
      <c r="W946" s="1760"/>
      <c r="X946" s="1760"/>
      <c r="Y946" s="1760"/>
      <c r="Z946" s="1760"/>
      <c r="AA946" s="1761"/>
      <c r="AB946" s="1759" t="s">
        <v>475</v>
      </c>
      <c r="AC946" s="1760"/>
      <c r="AD946" s="1760"/>
      <c r="AE946" s="1760"/>
      <c r="AF946" s="1760"/>
      <c r="AG946" s="1760"/>
      <c r="AH946" s="1760"/>
      <c r="AI946" s="1761"/>
      <c r="AJ946" s="1759" t="s">
        <v>476</v>
      </c>
      <c r="AK946" s="1760"/>
      <c r="AL946" s="1760"/>
      <c r="AM946" s="1760"/>
      <c r="AN946" s="1760"/>
      <c r="AO946" s="1760"/>
      <c r="AP946" s="1760"/>
      <c r="AQ946" s="1761"/>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2"/>
      <c r="D947" s="1754" t="s">
        <v>468</v>
      </c>
      <c r="E947" s="1755"/>
      <c r="F947" s="1755"/>
      <c r="G947" s="1755"/>
      <c r="H947" s="1755"/>
      <c r="I947" s="1755"/>
      <c r="J947" s="1755"/>
      <c r="K947" s="1755"/>
      <c r="L947" s="1755"/>
      <c r="M947" s="1755"/>
      <c r="N947" s="1755"/>
      <c r="O947" s="1755"/>
      <c r="P947" s="1755"/>
      <c r="Q947" s="1756"/>
      <c r="R947" s="1757">
        <f>IF(ISNA(IF($BA$819="4%",(INDEX($BC$833:$BG$890,MATCH($BO$819,$BB$833:$BB$890,0),MATCH(D947,$BC$831:$BG$831,0))),(INDEX($BJ$833:$BN$890,MATCH($BO$819,$BI$833:$BI$890,0),MATCH(D947,$BJ$831:$BN$831,0))))),0,IF($BA$819="4%",(INDEX($BC$833:$BG$890,MATCH($BO$819,$BB$833:$BB$890,0),MATCH(D947,$BC$831:$BG$831,0))),(INDEX($BJ$833:$BN$890,MATCH($BO$819,$BI$833:$BI$890,0),MATCH(D947,$BJ$831:$BN$831,0)))))</f>
        <v>299104</v>
      </c>
      <c r="S947" s="1757"/>
      <c r="T947" s="1757"/>
      <c r="U947" s="1757"/>
      <c r="V947" s="1757"/>
      <c r="W947" s="1757"/>
      <c r="X947" s="1757"/>
      <c r="Y947" s="1757"/>
      <c r="Z947" s="1757"/>
      <c r="AA947" s="1757"/>
      <c r="AB947" s="1918">
        <f>BN652</f>
        <v>58</v>
      </c>
      <c r="AC947" s="1919"/>
      <c r="AD947" s="1919"/>
      <c r="AE947" s="1919"/>
      <c r="AF947" s="1919"/>
      <c r="AG947" s="1919"/>
      <c r="AH947" s="1919"/>
      <c r="AI947" s="1920"/>
      <c r="AJ947" s="1921">
        <f>IF(ISERROR((R947*AB947)),0,(R947*AB947))</f>
        <v>17348032</v>
      </c>
      <c r="AK947" s="1922"/>
      <c r="AL947" s="1922"/>
      <c r="AM947" s="1922"/>
      <c r="AN947" s="1922"/>
      <c r="AO947" s="1922"/>
      <c r="AP947" s="1922"/>
      <c r="AQ947" s="1923"/>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3"/>
      <c r="D948" s="1754" t="s">
        <v>491</v>
      </c>
      <c r="E948" s="1755"/>
      <c r="F948" s="1755"/>
      <c r="G948" s="1755"/>
      <c r="H948" s="1755"/>
      <c r="I948" s="1755"/>
      <c r="J948" s="1755"/>
      <c r="K948" s="1755"/>
      <c r="L948" s="1755"/>
      <c r="M948" s="1755"/>
      <c r="N948" s="1755"/>
      <c r="O948" s="1755"/>
      <c r="P948" s="1755"/>
      <c r="Q948" s="1756"/>
      <c r="R948" s="1757">
        <f>IF(ISNA(IF($BA$819="4%",(INDEX($BC$833:$BG$890,MATCH($BO$819,$BB$833:$BB$890,0),MATCH(D948,$BC$831:$BG$831,0))),(INDEX($BJ$833:$BN$890,MATCH($BO$819,$BI$833:$BI$890,0),MATCH(D948,$BJ$831:$BN$831,0))))),0,IF($BA$819="4%",(INDEX($BC$833:$BG$890,MATCH($BO$819,$BB$833:$BB$890,0),MATCH(D948,$BC$831:$BG$831,0))),(INDEX($BJ$833:$BN$890,MATCH($BO$819,$BI$833:$BI$890,0),MATCH(D948,$BJ$831:$BN$831,0)))))</f>
        <v>344864</v>
      </c>
      <c r="S948" s="1757"/>
      <c r="T948" s="1757"/>
      <c r="U948" s="1757"/>
      <c r="V948" s="1757"/>
      <c r="W948" s="1757"/>
      <c r="X948" s="1757"/>
      <c r="Y948" s="1757"/>
      <c r="Z948" s="1757"/>
      <c r="AA948" s="1757"/>
      <c r="AB948" s="1918">
        <f>BS652</f>
        <v>20</v>
      </c>
      <c r="AC948" s="1919"/>
      <c r="AD948" s="1919"/>
      <c r="AE948" s="1919"/>
      <c r="AF948" s="1919"/>
      <c r="AG948" s="1919"/>
      <c r="AH948" s="1919"/>
      <c r="AI948" s="1920"/>
      <c r="AJ948" s="1921">
        <f>IF(ISERROR((R948*AB948)),0,(R948*AB948))</f>
        <v>6897280</v>
      </c>
      <c r="AK948" s="1922"/>
      <c r="AL948" s="1922"/>
      <c r="AM948" s="1922"/>
      <c r="AN948" s="1922"/>
      <c r="AO948" s="1922"/>
      <c r="AP948" s="1922"/>
      <c r="AQ948" s="1923"/>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3"/>
      <c r="D949" s="1754" t="s">
        <v>853</v>
      </c>
      <c r="E949" s="1755"/>
      <c r="F949" s="1755"/>
      <c r="G949" s="1755"/>
      <c r="H949" s="1755"/>
      <c r="I949" s="1755"/>
      <c r="J949" s="1755"/>
      <c r="K949" s="1755"/>
      <c r="L949" s="1755"/>
      <c r="M949" s="1755"/>
      <c r="N949" s="1755"/>
      <c r="O949" s="1755"/>
      <c r="P949" s="1755"/>
      <c r="Q949" s="1756"/>
      <c r="R949" s="1757">
        <f>IF(ISNA(IF($BA$819="4%",(INDEX($BC$833:$BG$890,MATCH($BO$819,$BB$833:$BB$890,0),MATCH(D949,$BC$831:$BG$831,0))),(INDEX($BJ$833:$BN$890,MATCH($BO$819,$BI$833:$BI$890,0),MATCH(D949,$BJ$831:$BN$831,0))))),0,IF($BA$819="4%",(INDEX($BC$833:$BG$890,MATCH($BO$819,$BB$833:$BB$890,0),MATCH(D949,$BC$831:$BG$831,0))),(INDEX($BJ$833:$BN$890,MATCH($BO$819,$BI$833:$BI$890,0),MATCH(D949,$BJ$831:$BN$831,0)))))</f>
        <v>416000</v>
      </c>
      <c r="S949" s="1757"/>
      <c r="T949" s="1757"/>
      <c r="U949" s="1757"/>
      <c r="V949" s="1757"/>
      <c r="W949" s="1757"/>
      <c r="X949" s="1757"/>
      <c r="Y949" s="1757"/>
      <c r="Z949" s="1757"/>
      <c r="AA949" s="1757"/>
      <c r="AB949" s="1918">
        <f>BX652</f>
        <v>6</v>
      </c>
      <c r="AC949" s="1919"/>
      <c r="AD949" s="1919"/>
      <c r="AE949" s="1919"/>
      <c r="AF949" s="1919"/>
      <c r="AG949" s="1919"/>
      <c r="AH949" s="1919"/>
      <c r="AI949" s="1920"/>
      <c r="AJ949" s="1921">
        <f>IF(ISERROR((R949*AB949)),0,(R949*AB949))</f>
        <v>2496000</v>
      </c>
      <c r="AK949" s="1922"/>
      <c r="AL949" s="1922"/>
      <c r="AM949" s="1922"/>
      <c r="AN949" s="1922"/>
      <c r="AO949" s="1922"/>
      <c r="AP949" s="1922"/>
      <c r="AQ949" s="1923"/>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3"/>
      <c r="D950" s="1754" t="s">
        <v>854</v>
      </c>
      <c r="E950" s="1755"/>
      <c r="F950" s="1755"/>
      <c r="G950" s="1755"/>
      <c r="H950" s="1755"/>
      <c r="I950" s="1755"/>
      <c r="J950" s="1755"/>
      <c r="K950" s="1755"/>
      <c r="L950" s="1755"/>
      <c r="M950" s="1755"/>
      <c r="N950" s="1755"/>
      <c r="O950" s="1755"/>
      <c r="P950" s="1755"/>
      <c r="Q950" s="1756"/>
      <c r="R950" s="1757">
        <f>IF(ISNA(IF($BA$819="4%",(INDEX($BC$833:$BG$890,MATCH($BO$819,$BB$833:$BB$890,0),MATCH(D950,$BC$831:$BG$831,0))),(INDEX($BJ$833:$BN$890,MATCH($BO$819,$BI$833:$BI$890,0),MATCH(D950,$BJ$831:$BN$831,0))))),0,IF($BA$819="4%",(INDEX($BC$833:$BG$890,MATCH($BO$819,$BB$833:$BB$890,0),MATCH(D950,$BC$831:$BG$831,0))),(INDEX($BJ$833:$BN$890,MATCH($BO$819,$BI$833:$BI$890,0),MATCH(D950,$BJ$831:$BN$831,0)))))</f>
        <v>532480</v>
      </c>
      <c r="S950" s="1757"/>
      <c r="T950" s="1757"/>
      <c r="U950" s="1757"/>
      <c r="V950" s="1757"/>
      <c r="W950" s="1757"/>
      <c r="X950" s="1757"/>
      <c r="Y950" s="1757"/>
      <c r="Z950" s="1757"/>
      <c r="AA950" s="1757"/>
      <c r="AB950" s="1918">
        <f>CC652</f>
        <v>6</v>
      </c>
      <c r="AC950" s="1919"/>
      <c r="AD950" s="1919"/>
      <c r="AE950" s="1919"/>
      <c r="AF950" s="1919"/>
      <c r="AG950" s="1919"/>
      <c r="AH950" s="1919"/>
      <c r="AI950" s="1920"/>
      <c r="AJ950" s="1921">
        <f>IF(ISERROR((R950*AB950)),0,(R950*AB950))</f>
        <v>3194880</v>
      </c>
      <c r="AK950" s="1922"/>
      <c r="AL950" s="1922"/>
      <c r="AM950" s="1922"/>
      <c r="AN950" s="1922"/>
      <c r="AO950" s="1922"/>
      <c r="AP950" s="1922"/>
      <c r="AQ950" s="1923"/>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4"/>
      <c r="D951" s="1754" t="s">
        <v>867</v>
      </c>
      <c r="E951" s="1755"/>
      <c r="F951" s="1755"/>
      <c r="G951" s="1755"/>
      <c r="H951" s="1755"/>
      <c r="I951" s="1755"/>
      <c r="J951" s="1755"/>
      <c r="K951" s="1755"/>
      <c r="L951" s="1755"/>
      <c r="M951" s="1755"/>
      <c r="N951" s="1755"/>
      <c r="O951" s="1755"/>
      <c r="P951" s="1755"/>
      <c r="Q951" s="1756"/>
      <c r="R951" s="1757">
        <f>IF(ISNA(IF($BA$819="4%",(INDEX($BC$833:$BG$890,MATCH($BO$819,$BB$833:$BB$890,0),MATCH(D951,$BC$831:$BG$831,0))),(INDEX($BJ$833:$BN$890,MATCH($BO$819,$BI$833:$BI$890,0),MATCH(D951,$BJ$831:$BN$831,0))))),0,IF($BA$819="4%",(INDEX($BC$833:$BG$890,MATCH($BO$819,$BB$833:$BB$890,0),MATCH(D951,$BC$831:$BG$831,0))),(INDEX($BJ$833:$BN$890,MATCH($BO$819,$BI$833:$BI$890,0),MATCH(D951,$BJ$831:$BN$831,0)))))</f>
        <v>593216</v>
      </c>
      <c r="S951" s="1757"/>
      <c r="T951" s="1757"/>
      <c r="U951" s="1757"/>
      <c r="V951" s="1757"/>
      <c r="W951" s="1757"/>
      <c r="X951" s="1757"/>
      <c r="Y951" s="1757"/>
      <c r="Z951" s="1757"/>
      <c r="AA951" s="1757"/>
      <c r="AB951" s="1918">
        <f>CM652+CH652</f>
        <v>0</v>
      </c>
      <c r="AC951" s="1919"/>
      <c r="AD951" s="1919"/>
      <c r="AE951" s="1919"/>
      <c r="AF951" s="1919"/>
      <c r="AG951" s="1919"/>
      <c r="AH951" s="1919"/>
      <c r="AI951" s="1920"/>
      <c r="AJ951" s="1921">
        <f>IF(ISERROR((R951*AB951)),0,(R951*AB951))</f>
        <v>0</v>
      </c>
      <c r="AK951" s="1922"/>
      <c r="AL951" s="1922"/>
      <c r="AM951" s="1922"/>
      <c r="AN951" s="1922"/>
      <c r="AO951" s="1922"/>
      <c r="AP951" s="1922"/>
      <c r="AQ951" s="1923"/>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31" t="s">
        <v>1064</v>
      </c>
      <c r="C952" s="2232"/>
      <c r="D952" s="2232"/>
      <c r="E952" s="2232"/>
      <c r="F952" s="2232"/>
      <c r="G952" s="2232"/>
      <c r="H952" s="2232"/>
      <c r="I952" s="2232"/>
      <c r="J952" s="2232"/>
      <c r="K952" s="2232"/>
      <c r="L952" s="2232"/>
      <c r="M952" s="2232"/>
      <c r="N952" s="2232"/>
      <c r="O952" s="2232"/>
      <c r="P952" s="2232"/>
      <c r="Q952" s="2232"/>
      <c r="R952" s="2232"/>
      <c r="S952" s="2232"/>
      <c r="T952" s="2232"/>
      <c r="U952" s="2232"/>
      <c r="V952" s="2232"/>
      <c r="W952" s="2232"/>
      <c r="X952" s="2232"/>
      <c r="Y952" s="2232"/>
      <c r="Z952" s="2232"/>
      <c r="AA952" s="2233"/>
      <c r="AB952" s="1918">
        <f>SUM(AB947:AI951)</f>
        <v>90</v>
      </c>
      <c r="AC952" s="1919"/>
      <c r="AD952" s="1919"/>
      <c r="AE952" s="1919"/>
      <c r="AF952" s="1919"/>
      <c r="AG952" s="1919"/>
      <c r="AH952" s="1919"/>
      <c r="AI952" s="1920"/>
      <c r="AJ952" s="1921"/>
      <c r="AK952" s="1922"/>
      <c r="AL952" s="1922"/>
      <c r="AM952" s="1922"/>
      <c r="AN952" s="1922"/>
      <c r="AO952" s="1922"/>
      <c r="AP952" s="1922"/>
      <c r="AQ952" s="1923"/>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4" t="s">
        <v>819</v>
      </c>
      <c r="C953" s="2235"/>
      <c r="D953" s="2235"/>
      <c r="E953" s="2235"/>
      <c r="F953" s="2235"/>
      <c r="G953" s="2235"/>
      <c r="H953" s="2235"/>
      <c r="I953" s="2235"/>
      <c r="J953" s="2235"/>
      <c r="K953" s="2235"/>
      <c r="L953" s="2235"/>
      <c r="M953" s="2235"/>
      <c r="N953" s="2235"/>
      <c r="O953" s="2235"/>
      <c r="P953" s="2235"/>
      <c r="Q953" s="2235"/>
      <c r="R953" s="2235"/>
      <c r="S953" s="2235"/>
      <c r="T953" s="2235"/>
      <c r="U953" s="2235"/>
      <c r="V953" s="2235"/>
      <c r="W953" s="2235"/>
      <c r="X953" s="2235"/>
      <c r="Y953" s="2235"/>
      <c r="Z953" s="2235"/>
      <c r="AA953" s="2235"/>
      <c r="AB953" s="2235"/>
      <c r="AC953" s="2235"/>
      <c r="AD953" s="2235"/>
      <c r="AE953" s="2235"/>
      <c r="AF953" s="2235"/>
      <c r="AG953" s="2235"/>
      <c r="AH953" s="2235"/>
      <c r="AI953" s="2236"/>
      <c r="AJ953" s="1921">
        <f>SUM(AJ947:AQ951)</f>
        <v>29936192</v>
      </c>
      <c r="AK953" s="1922"/>
      <c r="AL953" s="1922"/>
      <c r="AM953" s="1922"/>
      <c r="AN953" s="1922"/>
      <c r="AO953" s="1922"/>
      <c r="AP953" s="1922"/>
      <c r="AQ953" s="1923"/>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7"/>
      <c r="C954" s="2238"/>
      <c r="D954" s="2238"/>
      <c r="E954" s="2238"/>
      <c r="F954" s="2238"/>
      <c r="G954" s="2238"/>
      <c r="H954" s="2238"/>
      <c r="I954" s="2238"/>
      <c r="J954" s="2238"/>
      <c r="K954" s="2238"/>
      <c r="L954" s="2238"/>
      <c r="M954" s="2238"/>
      <c r="N954" s="2238"/>
      <c r="O954" s="2238"/>
      <c r="P954" s="2238"/>
      <c r="Q954" s="2238"/>
      <c r="R954" s="2238"/>
      <c r="S954" s="2238"/>
      <c r="T954" s="2238"/>
      <c r="U954" s="2238"/>
      <c r="V954" s="2238"/>
      <c r="W954" s="2238"/>
      <c r="X954" s="2238"/>
      <c r="Y954" s="2238"/>
      <c r="Z954" s="2238"/>
      <c r="AA954" s="2238"/>
      <c r="AB954" s="2238"/>
      <c r="AC954" s="2238"/>
      <c r="AD954" s="2238"/>
      <c r="AE954" s="2239"/>
      <c r="AF954" s="2240" t="s">
        <v>528</v>
      </c>
      <c r="AG954" s="2241"/>
      <c r="AH954" s="2241"/>
      <c r="AI954" s="2242"/>
      <c r="AJ954" s="2237"/>
      <c r="AK954" s="2238"/>
      <c r="AL954" s="2238"/>
      <c r="AM954" s="2238"/>
      <c r="AN954" s="2238"/>
      <c r="AO954" s="2238"/>
      <c r="AP954" s="2238"/>
      <c r="AQ954" s="223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5" t="s">
        <v>530</v>
      </c>
      <c r="D955" s="1931" t="s">
        <v>2157</v>
      </c>
      <c r="E955" s="1932"/>
      <c r="F955" s="1932"/>
      <c r="G955" s="1932"/>
      <c r="H955" s="1932"/>
      <c r="I955" s="1932"/>
      <c r="J955" s="1932"/>
      <c r="K955" s="1932"/>
      <c r="L955" s="1932"/>
      <c r="M955" s="1932"/>
      <c r="N955" s="1932"/>
      <c r="O955" s="1932"/>
      <c r="P955" s="1932"/>
      <c r="Q955" s="1932"/>
      <c r="R955" s="1932"/>
      <c r="S955" s="1932"/>
      <c r="T955" s="1932"/>
      <c r="U955" s="1932"/>
      <c r="V955" s="1932"/>
      <c r="W955" s="1932"/>
      <c r="X955" s="1932"/>
      <c r="Y955" s="1932"/>
      <c r="Z955" s="1932"/>
      <c r="AA955" s="1932"/>
      <c r="AB955" s="1932"/>
      <c r="AC955" s="1932"/>
      <c r="AD955" s="1932"/>
      <c r="AE955" s="1933"/>
      <c r="AF955" s="128"/>
      <c r="AG955" s="1936" t="s">
        <v>119</v>
      </c>
      <c r="AH955" s="1937"/>
      <c r="AI955" s="131"/>
      <c r="AJ955" s="1938">
        <f>ROUND(IF(AND(AG955="yes",D957&gt;0),AJ953*0.2,0),0)</f>
        <v>5987238</v>
      </c>
      <c r="AK955" s="1939"/>
      <c r="AL955" s="1939"/>
      <c r="AM955" s="1939"/>
      <c r="AN955" s="1939"/>
      <c r="AO955" s="1939"/>
      <c r="AP955" s="1939"/>
      <c r="AQ955" s="194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6"/>
      <c r="C956" s="1467"/>
      <c r="D956" s="1748" t="s">
        <v>2292</v>
      </c>
      <c r="E956" s="1749"/>
      <c r="F956" s="1749"/>
      <c r="G956" s="1749"/>
      <c r="H956" s="1749"/>
      <c r="I956" s="1749"/>
      <c r="J956" s="1749"/>
      <c r="K956" s="1749"/>
      <c r="L956" s="1749"/>
      <c r="M956" s="1749"/>
      <c r="N956" s="1749"/>
      <c r="O956" s="1749"/>
      <c r="P956" s="1749"/>
      <c r="Q956" s="1749"/>
      <c r="R956" s="1749"/>
      <c r="S956" s="1749"/>
      <c r="T956" s="1749"/>
      <c r="U956" s="1749"/>
      <c r="V956" s="1749"/>
      <c r="W956" s="1749"/>
      <c r="X956" s="1749"/>
      <c r="Y956" s="1749"/>
      <c r="Z956" s="1749"/>
      <c r="AA956" s="1749"/>
      <c r="AB956" s="1749"/>
      <c r="AC956" s="1749"/>
      <c r="AD956" s="1749"/>
      <c r="AE956" s="1750"/>
      <c r="AF956" s="124"/>
      <c r="AG956" s="125"/>
      <c r="AH956" s="125"/>
      <c r="AI956" s="129"/>
      <c r="AJ956" s="1941"/>
      <c r="AK956" s="1942"/>
      <c r="AL956" s="1942"/>
      <c r="AM956" s="1942"/>
      <c r="AN956" s="1942"/>
      <c r="AO956" s="1942"/>
      <c r="AP956" s="1942"/>
      <c r="AQ956" s="194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6"/>
      <c r="C957" s="1467"/>
      <c r="D957" s="2170" t="s">
        <v>2563</v>
      </c>
      <c r="E957" s="2171"/>
      <c r="F957" s="2171"/>
      <c r="G957" s="2171"/>
      <c r="H957" s="2171"/>
      <c r="I957" s="2171"/>
      <c r="J957" s="2171"/>
      <c r="K957" s="2171"/>
      <c r="L957" s="2171"/>
      <c r="M957" s="2171"/>
      <c r="N957" s="2171"/>
      <c r="O957" s="2171"/>
      <c r="P957" s="2171"/>
      <c r="Q957" s="2171"/>
      <c r="R957" s="2171"/>
      <c r="S957" s="2171"/>
      <c r="T957" s="2171"/>
      <c r="U957" s="2171"/>
      <c r="V957" s="2171"/>
      <c r="W957" s="2171"/>
      <c r="X957" s="2171"/>
      <c r="Y957" s="2171"/>
      <c r="Z957" s="2171"/>
      <c r="AA957" s="2171"/>
      <c r="AB957" s="2171"/>
      <c r="AC957" s="2171"/>
      <c r="AD957" s="2171"/>
      <c r="AE957" s="2172"/>
      <c r="AF957" s="126"/>
      <c r="AG957" s="15"/>
      <c r="AH957" s="15"/>
      <c r="AI957" s="127"/>
      <c r="AJ957" s="1944"/>
      <c r="AK957" s="1945"/>
      <c r="AL957" s="1945"/>
      <c r="AM957" s="1945"/>
      <c r="AN957" s="1945"/>
      <c r="AO957" s="1945"/>
      <c r="AP957" s="1945"/>
      <c r="AQ957" s="194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8"/>
      <c r="C958" s="1469"/>
      <c r="D958" s="2173" t="s">
        <v>2293</v>
      </c>
      <c r="E958" s="2174"/>
      <c r="F958" s="2174"/>
      <c r="G958" s="2174"/>
      <c r="H958" s="2174"/>
      <c r="I958" s="2174"/>
      <c r="J958" s="2174"/>
      <c r="K958" s="2174"/>
      <c r="L958" s="2174"/>
      <c r="M958" s="2174"/>
      <c r="N958" s="2174"/>
      <c r="O958" s="2174"/>
      <c r="P958" s="2174"/>
      <c r="Q958" s="2174"/>
      <c r="R958" s="2174"/>
      <c r="S958" s="2174"/>
      <c r="T958" s="2174"/>
      <c r="U958" s="2174"/>
      <c r="V958" s="2174"/>
      <c r="W958" s="2174"/>
      <c r="X958" s="2174"/>
      <c r="Y958" s="2174"/>
      <c r="Z958" s="2174"/>
      <c r="AA958" s="2174"/>
      <c r="AB958" s="2174"/>
      <c r="AC958" s="2174"/>
      <c r="AD958" s="2174"/>
      <c r="AE958" s="2175"/>
      <c r="AF958" s="128"/>
      <c r="AG958" s="1934" t="s">
        <v>531</v>
      </c>
      <c r="AH958" s="1935"/>
      <c r="AI958" s="131"/>
      <c r="AJ958" s="1938">
        <f>ROUND(IF(AG958="yes",AJ953*0.05,0),0)</f>
        <v>0</v>
      </c>
      <c r="AK958" s="1939"/>
      <c r="AL958" s="1939"/>
      <c r="AM958" s="1939"/>
      <c r="AN958" s="1939"/>
      <c r="AO958" s="1939"/>
      <c r="AP958" s="1939"/>
      <c r="AQ958" s="194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6"/>
      <c r="C959" s="1470"/>
      <c r="D959" s="1748" t="s">
        <v>2158</v>
      </c>
      <c r="E959" s="1749"/>
      <c r="F959" s="1749"/>
      <c r="G959" s="1749"/>
      <c r="H959" s="1749"/>
      <c r="I959" s="1749"/>
      <c r="J959" s="1749"/>
      <c r="K959" s="1749"/>
      <c r="L959" s="1749"/>
      <c r="M959" s="1749"/>
      <c r="N959" s="1749"/>
      <c r="O959" s="1749"/>
      <c r="P959" s="1749"/>
      <c r="Q959" s="1749"/>
      <c r="R959" s="1749"/>
      <c r="S959" s="1749"/>
      <c r="T959" s="1749"/>
      <c r="U959" s="1749"/>
      <c r="V959" s="1749"/>
      <c r="W959" s="1749"/>
      <c r="X959" s="1749"/>
      <c r="Y959" s="1749"/>
      <c r="Z959" s="1749"/>
      <c r="AA959" s="1749"/>
      <c r="AB959" s="1749"/>
      <c r="AC959" s="1749"/>
      <c r="AD959" s="1749"/>
      <c r="AE959" s="1750"/>
      <c r="AF959" s="124"/>
      <c r="AG959" s="125"/>
      <c r="AH959" s="125"/>
      <c r="AI959" s="129"/>
      <c r="AJ959" s="1941"/>
      <c r="AK959" s="1942"/>
      <c r="AL959" s="1942"/>
      <c r="AM959" s="1942"/>
      <c r="AN959" s="1942"/>
      <c r="AO959" s="1942"/>
      <c r="AP959" s="1942"/>
      <c r="AQ959" s="1943"/>
      <c r="AR959" s="649"/>
      <c r="AS959" s="649"/>
      <c r="AT959" s="649"/>
      <c r="AU959" s="649"/>
      <c r="AV959" s="649"/>
      <c r="AW959" s="649"/>
      <c r="AX959" s="649"/>
      <c r="AY959" s="649"/>
      <c r="AZ959" s="649"/>
      <c r="BA959" s="649"/>
      <c r="BB959" s="649"/>
      <c r="BC959" s="649"/>
      <c r="BD959" s="649"/>
      <c r="BE959" s="649"/>
      <c r="BF959" s="649"/>
      <c r="BG959" s="649"/>
      <c r="BH959" s="649"/>
      <c r="BI959" s="649"/>
      <c r="BJ959" s="649"/>
      <c r="BK959" s="649"/>
      <c r="BL959" s="649"/>
      <c r="BM959" s="649"/>
      <c r="BN959" s="649"/>
      <c r="BO959" s="649"/>
      <c r="BP959" s="649"/>
      <c r="BQ959" s="649"/>
      <c r="BR959" s="649"/>
      <c r="BS959" s="649"/>
      <c r="BT959" s="649"/>
      <c r="BU959" s="649"/>
      <c r="BV959" s="649"/>
      <c r="BW959" s="649"/>
      <c r="BX959" s="649"/>
      <c r="BY959" s="649"/>
      <c r="BZ959" s="649"/>
      <c r="CA959" s="649"/>
      <c r="CB959" s="649"/>
      <c r="CC959" s="649"/>
      <c r="CD959" s="649"/>
      <c r="CE959" s="649"/>
      <c r="CF959" s="649"/>
      <c r="CG959" s="649"/>
      <c r="CH959" s="649"/>
      <c r="CI959" s="649"/>
      <c r="CJ959" s="649"/>
      <c r="CK959" s="649"/>
      <c r="CL959" s="649"/>
      <c r="CM959" s="649"/>
      <c r="CN959" s="649"/>
      <c r="CO959" s="649"/>
      <c r="CP959" s="649"/>
      <c r="CQ959" s="649"/>
      <c r="CR959" s="649"/>
      <c r="CS959" s="649"/>
    </row>
    <row r="960" spans="1:97" ht="12.75" customHeight="1">
      <c r="A960" s="65"/>
      <c r="B960" s="1466"/>
      <c r="C960" s="1470"/>
      <c r="D960" s="1748"/>
      <c r="E960" s="1749"/>
      <c r="F960" s="1749"/>
      <c r="G960" s="1749"/>
      <c r="H960" s="1749"/>
      <c r="I960" s="1749"/>
      <c r="J960" s="1749"/>
      <c r="K960" s="1749"/>
      <c r="L960" s="1749"/>
      <c r="M960" s="1749"/>
      <c r="N960" s="1749"/>
      <c r="O960" s="1749"/>
      <c r="P960" s="1749"/>
      <c r="Q960" s="1749"/>
      <c r="R960" s="1749"/>
      <c r="S960" s="1749"/>
      <c r="T960" s="1749"/>
      <c r="U960" s="1749"/>
      <c r="V960" s="1749"/>
      <c r="W960" s="1749"/>
      <c r="X960" s="1749"/>
      <c r="Y960" s="1749"/>
      <c r="Z960" s="1749"/>
      <c r="AA960" s="1749"/>
      <c r="AB960" s="1749"/>
      <c r="AC960" s="1749"/>
      <c r="AD960" s="1749"/>
      <c r="AE960" s="1750"/>
      <c r="AF960" s="124"/>
      <c r="AG960" s="125"/>
      <c r="AH960" s="125"/>
      <c r="AI960" s="129"/>
      <c r="AJ960" s="1941"/>
      <c r="AK960" s="1942"/>
      <c r="AL960" s="1942"/>
      <c r="AM960" s="1942"/>
      <c r="AN960" s="1942"/>
      <c r="AO960" s="1942"/>
      <c r="AP960" s="1942"/>
      <c r="AQ960" s="194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6"/>
      <c r="C961" s="1470"/>
      <c r="D961" s="1748"/>
      <c r="E961" s="1749"/>
      <c r="F961" s="1749"/>
      <c r="G961" s="1749"/>
      <c r="H961" s="1749"/>
      <c r="I961" s="1749"/>
      <c r="J961" s="1749"/>
      <c r="K961" s="1749"/>
      <c r="L961" s="1749"/>
      <c r="M961" s="1749"/>
      <c r="N961" s="1749"/>
      <c r="O961" s="1749"/>
      <c r="P961" s="1749"/>
      <c r="Q961" s="1749"/>
      <c r="R961" s="1749"/>
      <c r="S961" s="1749"/>
      <c r="T961" s="1749"/>
      <c r="U961" s="1749"/>
      <c r="V961" s="1749"/>
      <c r="W961" s="1749"/>
      <c r="X961" s="1749"/>
      <c r="Y961" s="1749"/>
      <c r="Z961" s="1749"/>
      <c r="AA961" s="1749"/>
      <c r="AB961" s="1749"/>
      <c r="AC961" s="1749"/>
      <c r="AD961" s="1749"/>
      <c r="AE961" s="1750"/>
      <c r="AF961" s="124"/>
      <c r="AG961" s="125"/>
      <c r="AH961" s="125"/>
      <c r="AI961" s="129"/>
      <c r="AJ961" s="1941"/>
      <c r="AK961" s="1942"/>
      <c r="AL961" s="1942"/>
      <c r="AM961" s="1942"/>
      <c r="AN961" s="1942"/>
      <c r="AO961" s="1942"/>
      <c r="AP961" s="1942"/>
      <c r="AQ961" s="194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6"/>
      <c r="C962" s="1470"/>
      <c r="D962" s="1748"/>
      <c r="E962" s="1749"/>
      <c r="F962" s="1749"/>
      <c r="G962" s="1749"/>
      <c r="H962" s="1749"/>
      <c r="I962" s="1749"/>
      <c r="J962" s="1749"/>
      <c r="K962" s="1749"/>
      <c r="L962" s="1749"/>
      <c r="M962" s="1749"/>
      <c r="N962" s="1749"/>
      <c r="O962" s="1749"/>
      <c r="P962" s="1749"/>
      <c r="Q962" s="1749"/>
      <c r="R962" s="1749"/>
      <c r="S962" s="1749"/>
      <c r="T962" s="1749"/>
      <c r="U962" s="1749"/>
      <c r="V962" s="1749"/>
      <c r="W962" s="1749"/>
      <c r="X962" s="1749"/>
      <c r="Y962" s="1749"/>
      <c r="Z962" s="1749"/>
      <c r="AA962" s="1749"/>
      <c r="AB962" s="1749"/>
      <c r="AC962" s="1749"/>
      <c r="AD962" s="1749"/>
      <c r="AE962" s="1750"/>
      <c r="AF962" s="124"/>
      <c r="AG962" s="125"/>
      <c r="AH962" s="125"/>
      <c r="AI962" s="129"/>
      <c r="AJ962" s="1941"/>
      <c r="AK962" s="1942"/>
      <c r="AL962" s="1942"/>
      <c r="AM962" s="1942"/>
      <c r="AN962" s="1942"/>
      <c r="AO962" s="1942"/>
      <c r="AP962" s="1942"/>
      <c r="AQ962" s="194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1"/>
      <c r="C963" s="1472"/>
      <c r="D963" s="1751"/>
      <c r="E963" s="1752"/>
      <c r="F963" s="1752"/>
      <c r="G963" s="1752"/>
      <c r="H963" s="1752"/>
      <c r="I963" s="1752"/>
      <c r="J963" s="1752"/>
      <c r="K963" s="1752"/>
      <c r="L963" s="1752"/>
      <c r="M963" s="1752"/>
      <c r="N963" s="1752"/>
      <c r="O963" s="1752"/>
      <c r="P963" s="1752"/>
      <c r="Q963" s="1752"/>
      <c r="R963" s="1752"/>
      <c r="S963" s="1752"/>
      <c r="T963" s="1752"/>
      <c r="U963" s="1752"/>
      <c r="V963" s="1752"/>
      <c r="W963" s="1752"/>
      <c r="X963" s="1752"/>
      <c r="Y963" s="1752"/>
      <c r="Z963" s="1752"/>
      <c r="AA963" s="1752"/>
      <c r="AB963" s="1752"/>
      <c r="AC963" s="1752"/>
      <c r="AD963" s="1752"/>
      <c r="AE963" s="1753"/>
      <c r="AF963" s="126"/>
      <c r="AG963" s="15"/>
      <c r="AH963" s="15"/>
      <c r="AI963" s="127"/>
      <c r="AJ963" s="1944"/>
      <c r="AK963" s="1945"/>
      <c r="AL963" s="1945"/>
      <c r="AM963" s="1945"/>
      <c r="AN963" s="1945"/>
      <c r="AO963" s="1945"/>
      <c r="AP963" s="1945"/>
      <c r="AQ963" s="194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8"/>
      <c r="C964" s="881" t="s">
        <v>534</v>
      </c>
      <c r="D964" s="2173" t="s">
        <v>2294</v>
      </c>
      <c r="E964" s="2174"/>
      <c r="F964" s="2174"/>
      <c r="G964" s="2174"/>
      <c r="H964" s="2174"/>
      <c r="I964" s="2174"/>
      <c r="J964" s="2174"/>
      <c r="K964" s="2174"/>
      <c r="L964" s="2174"/>
      <c r="M964" s="2174"/>
      <c r="N964" s="2174"/>
      <c r="O964" s="2174"/>
      <c r="P964" s="2174"/>
      <c r="Q964" s="2174"/>
      <c r="R964" s="2174"/>
      <c r="S964" s="2174"/>
      <c r="T964" s="2174"/>
      <c r="U964" s="2174"/>
      <c r="V964" s="2174"/>
      <c r="W964" s="2174"/>
      <c r="X964" s="2174"/>
      <c r="Y964" s="2174"/>
      <c r="Z964" s="2174"/>
      <c r="AA964" s="2174"/>
      <c r="AB964" s="2174"/>
      <c r="AC964" s="2174"/>
      <c r="AD964" s="2174"/>
      <c r="AE964" s="2175"/>
      <c r="AF964" s="130"/>
      <c r="AG964" s="1934" t="s">
        <v>531</v>
      </c>
      <c r="AH964" s="1935"/>
      <c r="AI964" s="131"/>
      <c r="AJ964" s="1938">
        <f>ROUND(IF(AG964="yes",AJ953*0.1,0),0)</f>
        <v>0</v>
      </c>
      <c r="AK964" s="1939"/>
      <c r="AL964" s="1939"/>
      <c r="AM964" s="1939"/>
      <c r="AN964" s="1939"/>
      <c r="AO964" s="1939"/>
      <c r="AP964" s="1939"/>
      <c r="AQ964" s="194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2"/>
      <c r="D965" s="1947" t="s">
        <v>2295</v>
      </c>
      <c r="E965" s="1948"/>
      <c r="F965" s="1948"/>
      <c r="G965" s="1948"/>
      <c r="H965" s="1948"/>
      <c r="I965" s="1948"/>
      <c r="J965" s="1948"/>
      <c r="K965" s="1948"/>
      <c r="L965" s="1948"/>
      <c r="M965" s="1948"/>
      <c r="N965" s="1948"/>
      <c r="O965" s="1948"/>
      <c r="P965" s="1948"/>
      <c r="Q965" s="1948"/>
      <c r="R965" s="1948"/>
      <c r="S965" s="1948"/>
      <c r="T965" s="1948"/>
      <c r="U965" s="1948"/>
      <c r="V965" s="1948"/>
      <c r="W965" s="1948"/>
      <c r="X965" s="1948"/>
      <c r="Y965" s="1948"/>
      <c r="Z965" s="1948"/>
      <c r="AA965" s="1948"/>
      <c r="AB965" s="1948"/>
      <c r="AC965" s="1948"/>
      <c r="AD965" s="1948"/>
      <c r="AE965" s="1949"/>
      <c r="AF965" s="124"/>
      <c r="AG965" s="35"/>
      <c r="AH965" s="35"/>
      <c r="AI965" s="129"/>
      <c r="AJ965" s="1941"/>
      <c r="AK965" s="1942"/>
      <c r="AL965" s="1942"/>
      <c r="AM965" s="1942"/>
      <c r="AN965" s="1942"/>
      <c r="AO965" s="1942"/>
      <c r="AP965" s="1942"/>
      <c r="AQ965" s="194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2"/>
      <c r="D966" s="1947"/>
      <c r="E966" s="1948"/>
      <c r="F966" s="1948"/>
      <c r="G966" s="1948"/>
      <c r="H966" s="1948"/>
      <c r="I966" s="1948"/>
      <c r="J966" s="1948"/>
      <c r="K966" s="1948"/>
      <c r="L966" s="1948"/>
      <c r="M966" s="1948"/>
      <c r="N966" s="1948"/>
      <c r="O966" s="1948"/>
      <c r="P966" s="1948"/>
      <c r="Q966" s="1948"/>
      <c r="R966" s="1948"/>
      <c r="S966" s="1948"/>
      <c r="T966" s="1948"/>
      <c r="U966" s="1948"/>
      <c r="V966" s="1948"/>
      <c r="W966" s="1948"/>
      <c r="X966" s="1948"/>
      <c r="Y966" s="1948"/>
      <c r="Z966" s="1948"/>
      <c r="AA966" s="1948"/>
      <c r="AB966" s="1948"/>
      <c r="AC966" s="1948"/>
      <c r="AD966" s="1948"/>
      <c r="AE966" s="1949"/>
      <c r="AF966" s="124"/>
      <c r="AG966" s="125"/>
      <c r="AH966" s="125"/>
      <c r="AI966" s="129"/>
      <c r="AJ966" s="1941"/>
      <c r="AK966" s="1942"/>
      <c r="AL966" s="1942"/>
      <c r="AM966" s="1942"/>
      <c r="AN966" s="1942"/>
      <c r="AO966" s="1942"/>
      <c r="AP966" s="1942"/>
      <c r="AQ966" s="194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3"/>
      <c r="C967" s="1472"/>
      <c r="D967" s="1950"/>
      <c r="E967" s="1951"/>
      <c r="F967" s="1951"/>
      <c r="G967" s="1951"/>
      <c r="H967" s="1951"/>
      <c r="I967" s="1951"/>
      <c r="J967" s="1951"/>
      <c r="K967" s="1951"/>
      <c r="L967" s="1951"/>
      <c r="M967" s="1951"/>
      <c r="N967" s="1951"/>
      <c r="O967" s="1951"/>
      <c r="P967" s="1951"/>
      <c r="Q967" s="1951"/>
      <c r="R967" s="1951"/>
      <c r="S967" s="1951"/>
      <c r="T967" s="1951"/>
      <c r="U967" s="1951"/>
      <c r="V967" s="1951"/>
      <c r="W967" s="1951"/>
      <c r="X967" s="1951"/>
      <c r="Y967" s="1951"/>
      <c r="Z967" s="1951"/>
      <c r="AA967" s="1951"/>
      <c r="AB967" s="1951"/>
      <c r="AC967" s="1951"/>
      <c r="AD967" s="1951"/>
      <c r="AE967" s="1952"/>
      <c r="AF967" s="126"/>
      <c r="AG967" s="15"/>
      <c r="AH967" s="15"/>
      <c r="AI967" s="127"/>
      <c r="AJ967" s="1944"/>
      <c r="AK967" s="1945"/>
      <c r="AL967" s="1945"/>
      <c r="AM967" s="1945"/>
      <c r="AN967" s="1945"/>
      <c r="AO967" s="1945"/>
      <c r="AP967" s="1945"/>
      <c r="AQ967" s="194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1" t="s">
        <v>538</v>
      </c>
      <c r="D968" s="2173" t="s">
        <v>2159</v>
      </c>
      <c r="E968" s="2174"/>
      <c r="F968" s="2174"/>
      <c r="G968" s="2174"/>
      <c r="H968" s="2174"/>
      <c r="I968" s="2174"/>
      <c r="J968" s="2174"/>
      <c r="K968" s="2174"/>
      <c r="L968" s="2174"/>
      <c r="M968" s="2174"/>
      <c r="N968" s="2174"/>
      <c r="O968" s="2174"/>
      <c r="P968" s="2174"/>
      <c r="Q968" s="2174"/>
      <c r="R968" s="2174"/>
      <c r="S968" s="2174"/>
      <c r="T968" s="2174"/>
      <c r="U968" s="2174"/>
      <c r="V968" s="2174"/>
      <c r="W968" s="2174"/>
      <c r="X968" s="2174"/>
      <c r="Y968" s="2174"/>
      <c r="Z968" s="2174"/>
      <c r="AA968" s="2174"/>
      <c r="AB968" s="2174"/>
      <c r="AC968" s="2174"/>
      <c r="AD968" s="2174"/>
      <c r="AE968" s="2175"/>
      <c r="AF968" s="128"/>
      <c r="AG968" s="1934" t="s">
        <v>531</v>
      </c>
      <c r="AH968" s="1935"/>
      <c r="AI968" s="131"/>
      <c r="AJ968" s="1938">
        <f>ROUND(IF(AG968="yes",AJ953*0.02,0),0)</f>
        <v>0</v>
      </c>
      <c r="AK968" s="1939"/>
      <c r="AL968" s="1939"/>
      <c r="AM968" s="1939"/>
      <c r="AN968" s="1939"/>
      <c r="AO968" s="1939"/>
      <c r="AP968" s="1939"/>
      <c r="AQ968" s="194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2"/>
      <c r="D969" s="1950" t="s">
        <v>2160</v>
      </c>
      <c r="E969" s="1951"/>
      <c r="F969" s="1951"/>
      <c r="G969" s="1951"/>
      <c r="H969" s="1951"/>
      <c r="I969" s="1951"/>
      <c r="J969" s="1951"/>
      <c r="K969" s="1951"/>
      <c r="L969" s="1951"/>
      <c r="M969" s="1951"/>
      <c r="N969" s="1951"/>
      <c r="O969" s="1951"/>
      <c r="P969" s="1951"/>
      <c r="Q969" s="1951"/>
      <c r="R969" s="1951"/>
      <c r="S969" s="1951"/>
      <c r="T969" s="1951"/>
      <c r="U969" s="1951"/>
      <c r="V969" s="1951"/>
      <c r="W969" s="1951"/>
      <c r="X969" s="1951"/>
      <c r="Y969" s="1951"/>
      <c r="Z969" s="1951"/>
      <c r="AA969" s="1951"/>
      <c r="AB969" s="1951"/>
      <c r="AC969" s="1951"/>
      <c r="AD969" s="1951"/>
      <c r="AE969" s="1952"/>
      <c r="AF969" s="126"/>
      <c r="AG969" s="15"/>
      <c r="AH969" s="15"/>
      <c r="AI969" s="127"/>
      <c r="AJ969" s="1944"/>
      <c r="AK969" s="1945"/>
      <c r="AL969" s="1945"/>
      <c r="AM969" s="1945"/>
      <c r="AN969" s="1945"/>
      <c r="AO969" s="1945"/>
      <c r="AP969" s="1945"/>
      <c r="AQ969" s="194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1" t="s">
        <v>541</v>
      </c>
      <c r="D970" s="2173" t="s">
        <v>2161</v>
      </c>
      <c r="E970" s="2174"/>
      <c r="F970" s="2174"/>
      <c r="G970" s="2174"/>
      <c r="H970" s="2174"/>
      <c r="I970" s="2174"/>
      <c r="J970" s="2174"/>
      <c r="K970" s="2174"/>
      <c r="L970" s="2174"/>
      <c r="M970" s="2174"/>
      <c r="N970" s="2174"/>
      <c r="O970" s="2174"/>
      <c r="P970" s="2174"/>
      <c r="Q970" s="2174"/>
      <c r="R970" s="2174"/>
      <c r="S970" s="2174"/>
      <c r="T970" s="2174"/>
      <c r="U970" s="2174"/>
      <c r="V970" s="2174"/>
      <c r="W970" s="2174"/>
      <c r="X970" s="2174"/>
      <c r="Y970" s="2174"/>
      <c r="Z970" s="2174"/>
      <c r="AA970" s="2174"/>
      <c r="AB970" s="2174"/>
      <c r="AC970" s="2174"/>
      <c r="AD970" s="2174"/>
      <c r="AE970" s="2175"/>
      <c r="AF970" s="128"/>
      <c r="AG970" s="1934" t="s">
        <v>531</v>
      </c>
      <c r="AH970" s="1935"/>
      <c r="AI970" s="128"/>
      <c r="AJ970" s="1938">
        <f>ROUND(IF(AG970="yes",AJ953*0.02,0),0)</f>
        <v>0</v>
      </c>
      <c r="AK970" s="1939"/>
      <c r="AL970" s="1939"/>
      <c r="AM970" s="1939"/>
      <c r="AN970" s="1939"/>
      <c r="AO970" s="1939"/>
      <c r="AP970" s="1939"/>
      <c r="AQ970" s="194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2"/>
      <c r="D971" s="1947" t="s">
        <v>2162</v>
      </c>
      <c r="E971" s="1948"/>
      <c r="F971" s="1948"/>
      <c r="G971" s="1948"/>
      <c r="H971" s="1948"/>
      <c r="I971" s="1948"/>
      <c r="J971" s="1948"/>
      <c r="K971" s="1948"/>
      <c r="L971" s="1948"/>
      <c r="M971" s="1948"/>
      <c r="N971" s="1948"/>
      <c r="O971" s="1948"/>
      <c r="P971" s="1948"/>
      <c r="Q971" s="1948"/>
      <c r="R971" s="1948"/>
      <c r="S971" s="1948"/>
      <c r="T971" s="1948"/>
      <c r="U971" s="1948"/>
      <c r="V971" s="1948"/>
      <c r="W971" s="1948"/>
      <c r="X971" s="1948"/>
      <c r="Y971" s="1948"/>
      <c r="Z971" s="1948"/>
      <c r="AA971" s="1948"/>
      <c r="AB971" s="1948"/>
      <c r="AC971" s="1948"/>
      <c r="AD971" s="1948"/>
      <c r="AE971" s="1949"/>
      <c r="AF971" s="124"/>
      <c r="AG971" s="35"/>
      <c r="AH971" s="35"/>
      <c r="AI971" s="125"/>
      <c r="AJ971" s="1941"/>
      <c r="AK971" s="1942"/>
      <c r="AL971" s="1942"/>
      <c r="AM971" s="1942"/>
      <c r="AN971" s="1942"/>
      <c r="AO971" s="1942"/>
      <c r="AP971" s="1942"/>
      <c r="AQ971" s="194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1"/>
      <c r="C972" s="1472"/>
      <c r="D972" s="1950"/>
      <c r="E972" s="1951"/>
      <c r="F972" s="1951"/>
      <c r="G972" s="1951"/>
      <c r="H972" s="1951"/>
      <c r="I972" s="1951"/>
      <c r="J972" s="1951"/>
      <c r="K972" s="1951"/>
      <c r="L972" s="1951"/>
      <c r="M972" s="1951"/>
      <c r="N972" s="1951"/>
      <c r="O972" s="1951"/>
      <c r="P972" s="1951"/>
      <c r="Q972" s="1951"/>
      <c r="R972" s="1951"/>
      <c r="S972" s="1951"/>
      <c r="T972" s="1951"/>
      <c r="U972" s="1951"/>
      <c r="V972" s="1951"/>
      <c r="W972" s="1951"/>
      <c r="X972" s="1951"/>
      <c r="Y972" s="1951"/>
      <c r="Z972" s="1951"/>
      <c r="AA972" s="1951"/>
      <c r="AB972" s="1951"/>
      <c r="AC972" s="1951"/>
      <c r="AD972" s="1951"/>
      <c r="AE972" s="1952"/>
      <c r="AF972" s="126"/>
      <c r="AG972" s="15"/>
      <c r="AH972" s="15"/>
      <c r="AI972" s="127"/>
      <c r="AJ972" s="1944"/>
      <c r="AK972" s="1945"/>
      <c r="AL972" s="1945"/>
      <c r="AM972" s="1945"/>
      <c r="AN972" s="1945"/>
      <c r="AO972" s="1945"/>
      <c r="AP972" s="1945"/>
      <c r="AQ972" s="194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1" t="s">
        <v>662</v>
      </c>
      <c r="D973" s="1931" t="s">
        <v>2163</v>
      </c>
      <c r="E973" s="1932"/>
      <c r="F973" s="1932"/>
      <c r="G973" s="1932"/>
      <c r="H973" s="1932"/>
      <c r="I973" s="1932"/>
      <c r="J973" s="1932"/>
      <c r="K973" s="1932"/>
      <c r="L973" s="1932"/>
      <c r="M973" s="1932"/>
      <c r="N973" s="1932"/>
      <c r="O973" s="1932"/>
      <c r="P973" s="1932"/>
      <c r="Q973" s="1932"/>
      <c r="R973" s="1932"/>
      <c r="S973" s="1932"/>
      <c r="T973" s="1932"/>
      <c r="U973" s="1932"/>
      <c r="V973" s="1932"/>
      <c r="W973" s="1932"/>
      <c r="X973" s="1932"/>
      <c r="Y973" s="1932"/>
      <c r="Z973" s="1932"/>
      <c r="AA973" s="1932"/>
      <c r="AB973" s="1932"/>
      <c r="AC973" s="1932"/>
      <c r="AD973" s="1932"/>
      <c r="AE973" s="1933"/>
      <c r="AF973" s="128"/>
      <c r="AG973" s="1934" t="s">
        <v>531</v>
      </c>
      <c r="AH973" s="1935"/>
      <c r="AI973" s="131"/>
      <c r="AJ973" s="1938">
        <f>IF(AG973="yes",AJ953*AY932,0)</f>
        <v>0</v>
      </c>
      <c r="AK973" s="1939"/>
      <c r="AL973" s="1939"/>
      <c r="AM973" s="1939"/>
      <c r="AN973" s="1939"/>
      <c r="AO973" s="1939"/>
      <c r="AP973" s="1939"/>
      <c r="AQ973" s="194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2"/>
      <c r="D974" s="1947" t="s">
        <v>2296</v>
      </c>
      <c r="E974" s="1948"/>
      <c r="F974" s="1948"/>
      <c r="G974" s="1948"/>
      <c r="H974" s="1948"/>
      <c r="I974" s="1948"/>
      <c r="J974" s="1948"/>
      <c r="K974" s="1948"/>
      <c r="L974" s="1948"/>
      <c r="M974" s="1948"/>
      <c r="N974" s="1948"/>
      <c r="O974" s="1948"/>
      <c r="P974" s="1948"/>
      <c r="Q974" s="1948"/>
      <c r="R974" s="1948"/>
      <c r="S974" s="1948"/>
      <c r="T974" s="1948"/>
      <c r="U974" s="1948"/>
      <c r="V974" s="1948"/>
      <c r="W974" s="1948"/>
      <c r="X974" s="1948"/>
      <c r="Y974" s="1948"/>
      <c r="Z974" s="1948"/>
      <c r="AA974" s="1948"/>
      <c r="AB974" s="1948"/>
      <c r="AC974" s="1948"/>
      <c r="AD974" s="1948"/>
      <c r="AE974" s="1949"/>
      <c r="AF974" s="124"/>
      <c r="AG974" s="125"/>
      <c r="AH974" s="125"/>
      <c r="AI974" s="129"/>
      <c r="AJ974" s="1941"/>
      <c r="AK974" s="1942"/>
      <c r="AL974" s="1942"/>
      <c r="AM974" s="1942"/>
      <c r="AN974" s="1942"/>
      <c r="AO974" s="1942"/>
      <c r="AP974" s="1942"/>
      <c r="AQ974" s="194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2"/>
      <c r="D975" s="1947"/>
      <c r="E975" s="1948"/>
      <c r="F975" s="1948"/>
      <c r="G975" s="1948"/>
      <c r="H975" s="1948"/>
      <c r="I975" s="1948"/>
      <c r="J975" s="1948"/>
      <c r="K975" s="1948"/>
      <c r="L975" s="1948"/>
      <c r="M975" s="1948"/>
      <c r="N975" s="1948"/>
      <c r="O975" s="1948"/>
      <c r="P975" s="1948"/>
      <c r="Q975" s="1948"/>
      <c r="R975" s="1948"/>
      <c r="S975" s="1948"/>
      <c r="T975" s="1948"/>
      <c r="U975" s="1948"/>
      <c r="V975" s="1948"/>
      <c r="W975" s="1948"/>
      <c r="X975" s="1948"/>
      <c r="Y975" s="1948"/>
      <c r="Z975" s="1948"/>
      <c r="AA975" s="1948"/>
      <c r="AB975" s="1948"/>
      <c r="AC975" s="1948"/>
      <c r="AD975" s="1948"/>
      <c r="AE975" s="1949"/>
      <c r="AF975" s="124"/>
      <c r="AG975" s="125"/>
      <c r="AH975" s="125"/>
      <c r="AI975" s="129"/>
      <c r="AJ975" s="1941"/>
      <c r="AK975" s="1942"/>
      <c r="AL975" s="1942"/>
      <c r="AM975" s="1942"/>
      <c r="AN975" s="1942"/>
      <c r="AO975" s="1942"/>
      <c r="AP975" s="1942"/>
      <c r="AQ975" s="194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4"/>
      <c r="C976" s="1470"/>
      <c r="D976" s="1950"/>
      <c r="E976" s="1951"/>
      <c r="F976" s="1951"/>
      <c r="G976" s="1951"/>
      <c r="H976" s="1951"/>
      <c r="I976" s="1951"/>
      <c r="J976" s="1951"/>
      <c r="K976" s="1951"/>
      <c r="L976" s="1951"/>
      <c r="M976" s="1951"/>
      <c r="N976" s="1951"/>
      <c r="O976" s="1951"/>
      <c r="P976" s="1951"/>
      <c r="Q976" s="1951"/>
      <c r="R976" s="1951"/>
      <c r="S976" s="1951"/>
      <c r="T976" s="1951"/>
      <c r="U976" s="1951"/>
      <c r="V976" s="1951"/>
      <c r="W976" s="1951"/>
      <c r="X976" s="1951"/>
      <c r="Y976" s="1951"/>
      <c r="Z976" s="1951"/>
      <c r="AA976" s="1951"/>
      <c r="AB976" s="1951"/>
      <c r="AC976" s="1951"/>
      <c r="AD976" s="1951"/>
      <c r="AE976" s="1952"/>
      <c r="AF976" s="126"/>
      <c r="AG976" s="15"/>
      <c r="AH976" s="15"/>
      <c r="AI976" s="127"/>
      <c r="AJ976" s="1944"/>
      <c r="AK976" s="1945"/>
      <c r="AL976" s="1945"/>
      <c r="AM976" s="1945"/>
      <c r="AN976" s="1945"/>
      <c r="AO976" s="1945"/>
      <c r="AP976" s="1945"/>
      <c r="AQ976" s="194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1" t="s">
        <v>667</v>
      </c>
      <c r="D977" s="2201" t="s">
        <v>2164</v>
      </c>
      <c r="E977" s="2202"/>
      <c r="F977" s="2202"/>
      <c r="G977" s="2202"/>
      <c r="H977" s="2202"/>
      <c r="I977" s="2202"/>
      <c r="J977" s="2202"/>
      <c r="K977" s="2202"/>
      <c r="L977" s="2202"/>
      <c r="M977" s="2202"/>
      <c r="N977" s="2202"/>
      <c r="O977" s="2202"/>
      <c r="P977" s="2202"/>
      <c r="Q977" s="2202"/>
      <c r="R977" s="2202"/>
      <c r="S977" s="2202"/>
      <c r="T977" s="2202"/>
      <c r="U977" s="2202"/>
      <c r="V977" s="2202"/>
      <c r="W977" s="2202"/>
      <c r="X977" s="2202"/>
      <c r="Y977" s="2202"/>
      <c r="Z977" s="2202"/>
      <c r="AA977" s="2202"/>
      <c r="AB977" s="2202"/>
      <c r="AC977" s="2202"/>
      <c r="AD977" s="2202"/>
      <c r="AE977" s="2203"/>
      <c r="AF977" s="128"/>
      <c r="AG977" s="1934" t="s">
        <v>531</v>
      </c>
      <c r="AH977" s="1935"/>
      <c r="AI977" s="131"/>
      <c r="AJ977" s="2207"/>
      <c r="AK977" s="2208"/>
      <c r="AL977" s="2208"/>
      <c r="AM977" s="2208"/>
      <c r="AN977" s="2208"/>
      <c r="AO977" s="2208"/>
      <c r="AP977" s="2208"/>
      <c r="AQ977" s="220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4"/>
      <c r="C978" s="1475"/>
      <c r="D978" s="2204"/>
      <c r="E978" s="2205"/>
      <c r="F978" s="2205"/>
      <c r="G978" s="2205"/>
      <c r="H978" s="2205"/>
      <c r="I978" s="2205"/>
      <c r="J978" s="2205"/>
      <c r="K978" s="2205"/>
      <c r="L978" s="2205"/>
      <c r="M978" s="2205"/>
      <c r="N978" s="2205"/>
      <c r="O978" s="2205"/>
      <c r="P978" s="2205"/>
      <c r="Q978" s="2205"/>
      <c r="R978" s="2205"/>
      <c r="S978" s="2205"/>
      <c r="T978" s="2205"/>
      <c r="U978" s="2205"/>
      <c r="V978" s="2205"/>
      <c r="W978" s="2205"/>
      <c r="X978" s="2205"/>
      <c r="Y978" s="2205"/>
      <c r="Z978" s="2205"/>
      <c r="AA978" s="2205"/>
      <c r="AB978" s="2205"/>
      <c r="AC978" s="2205"/>
      <c r="AD978" s="2205"/>
      <c r="AE978" s="2206"/>
      <c r="AF978" s="2216">
        <f>IF(AG977="yes","Please Select Type and Enter Amount:",0)</f>
        <v>0</v>
      </c>
      <c r="AG978" s="2217"/>
      <c r="AH978" s="2217"/>
      <c r="AI978" s="2218"/>
      <c r="AJ978" s="2210"/>
      <c r="AK978" s="2211"/>
      <c r="AL978" s="2211"/>
      <c r="AM978" s="2211"/>
      <c r="AN978" s="2211"/>
      <c r="AO978" s="2211"/>
      <c r="AP978" s="2211"/>
      <c r="AQ978" s="221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4"/>
      <c r="C979" s="1475"/>
      <c r="D979" s="1947" t="s">
        <v>2165</v>
      </c>
      <c r="E979" s="1948"/>
      <c r="F979" s="1948"/>
      <c r="G979" s="1948"/>
      <c r="H979" s="1948"/>
      <c r="I979" s="1948"/>
      <c r="J979" s="1948"/>
      <c r="K979" s="1948"/>
      <c r="L979" s="1948"/>
      <c r="M979" s="1948"/>
      <c r="N979" s="1948"/>
      <c r="O979" s="1948"/>
      <c r="P979" s="1948"/>
      <c r="Q979" s="1948"/>
      <c r="R979" s="1948"/>
      <c r="S979" s="1948"/>
      <c r="T979" s="1948"/>
      <c r="U979" s="1948"/>
      <c r="V979" s="1948"/>
      <c r="W979" s="1948"/>
      <c r="X979" s="1948"/>
      <c r="Y979" s="1948"/>
      <c r="Z979" s="1948"/>
      <c r="AA979" s="1948"/>
      <c r="AB979" s="1948"/>
      <c r="AC979" s="1948"/>
      <c r="AD979" s="1948"/>
      <c r="AE979" s="1949"/>
      <c r="AF979" s="2216"/>
      <c r="AG979" s="2217"/>
      <c r="AH979" s="2217"/>
      <c r="AI979" s="2218"/>
      <c r="AJ979" s="2210"/>
      <c r="AK979" s="2211"/>
      <c r="AL979" s="2211"/>
      <c r="AM979" s="2211"/>
      <c r="AN979" s="2211"/>
      <c r="AO979" s="2211"/>
      <c r="AP979" s="2211"/>
      <c r="AQ979" s="221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4"/>
      <c r="C980" s="1475"/>
      <c r="D980" s="1947"/>
      <c r="E980" s="1948"/>
      <c r="F980" s="1948"/>
      <c r="G980" s="1948"/>
      <c r="H980" s="1948"/>
      <c r="I980" s="1948"/>
      <c r="J980" s="1948"/>
      <c r="K980" s="1948"/>
      <c r="L980" s="1948"/>
      <c r="M980" s="1948"/>
      <c r="N980" s="1948"/>
      <c r="O980" s="1948"/>
      <c r="P980" s="1948"/>
      <c r="Q980" s="1948"/>
      <c r="R980" s="1948"/>
      <c r="S980" s="1948"/>
      <c r="T980" s="1948"/>
      <c r="U980" s="1948"/>
      <c r="V980" s="1948"/>
      <c r="W980" s="1948"/>
      <c r="X980" s="1948"/>
      <c r="Y980" s="1948"/>
      <c r="Z980" s="1948"/>
      <c r="AA980" s="1948"/>
      <c r="AB980" s="1948"/>
      <c r="AC980" s="1948"/>
      <c r="AD980" s="1948"/>
      <c r="AE980" s="1949"/>
      <c r="AF980" s="2216"/>
      <c r="AG980" s="2217"/>
      <c r="AH980" s="2217"/>
      <c r="AI980" s="2218"/>
      <c r="AJ980" s="2210"/>
      <c r="AK980" s="2211"/>
      <c r="AL980" s="2211"/>
      <c r="AM980" s="2211"/>
      <c r="AN980" s="2211"/>
      <c r="AO980" s="2211"/>
      <c r="AP980" s="2211"/>
      <c r="AQ980" s="221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4"/>
      <c r="C981" s="1475"/>
      <c r="D981" s="1476" t="s">
        <v>982</v>
      </c>
      <c r="E981" s="141"/>
      <c r="F981" s="141"/>
      <c r="G981" s="644"/>
      <c r="H981" s="644"/>
      <c r="I981" s="95"/>
      <c r="J981" s="2222" t="s">
        <v>136</v>
      </c>
      <c r="K981" s="2223"/>
      <c r="L981" s="2223"/>
      <c r="M981" s="2223"/>
      <c r="N981" s="2223"/>
      <c r="O981" s="2223"/>
      <c r="P981" s="2223"/>
      <c r="Q981" s="2223"/>
      <c r="R981" s="2223"/>
      <c r="S981" s="2223"/>
      <c r="T981" s="2223"/>
      <c r="U981" s="2223"/>
      <c r="V981" s="2223"/>
      <c r="W981" s="2223"/>
      <c r="X981" s="2223"/>
      <c r="Y981" s="2223"/>
      <c r="Z981" s="2223"/>
      <c r="AA981" s="2223"/>
      <c r="AB981" s="2223"/>
      <c r="AC981" s="2223"/>
      <c r="AD981" s="2223"/>
      <c r="AE981" s="2224"/>
      <c r="AF981" s="2219"/>
      <c r="AG981" s="2220"/>
      <c r="AH981" s="2220"/>
      <c r="AI981" s="2221"/>
      <c r="AJ981" s="2213"/>
      <c r="AK981" s="2214"/>
      <c r="AL981" s="2214"/>
      <c r="AM981" s="2214"/>
      <c r="AN981" s="2214"/>
      <c r="AO981" s="2214"/>
      <c r="AP981" s="2214"/>
      <c r="AQ981" s="221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1" t="s">
        <v>633</v>
      </c>
      <c r="D982" s="2173" t="s">
        <v>2166</v>
      </c>
      <c r="E982" s="2174"/>
      <c r="F982" s="2174"/>
      <c r="G982" s="2174"/>
      <c r="H982" s="2174"/>
      <c r="I982" s="2174"/>
      <c r="J982" s="2174"/>
      <c r="K982" s="2174"/>
      <c r="L982" s="2174"/>
      <c r="M982" s="2174"/>
      <c r="N982" s="2174"/>
      <c r="O982" s="2174"/>
      <c r="P982" s="2174"/>
      <c r="Q982" s="2174"/>
      <c r="R982" s="2174"/>
      <c r="S982" s="2174"/>
      <c r="T982" s="2174"/>
      <c r="U982" s="2174"/>
      <c r="V982" s="2174"/>
      <c r="W982" s="2174"/>
      <c r="X982" s="2174"/>
      <c r="Y982" s="2174"/>
      <c r="Z982" s="2174"/>
      <c r="AA982" s="2174"/>
      <c r="AB982" s="2174"/>
      <c r="AC982" s="2174"/>
      <c r="AD982" s="2174"/>
      <c r="AE982" s="2175"/>
      <c r="AF982" s="128"/>
      <c r="AG982" s="1934" t="s">
        <v>119</v>
      </c>
      <c r="AH982" s="1935"/>
      <c r="AI982" s="131"/>
      <c r="AJ982" s="2207">
        <f>'Sources and Uses Budget'!C84</f>
        <v>2511073</v>
      </c>
      <c r="AK982" s="2208"/>
      <c r="AL982" s="2208"/>
      <c r="AM982" s="2208"/>
      <c r="AN982" s="2208"/>
      <c r="AO982" s="2208"/>
      <c r="AP982" s="2208"/>
      <c r="AQ982" s="220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2"/>
      <c r="D983" s="1947" t="s">
        <v>2297</v>
      </c>
      <c r="E983" s="1948"/>
      <c r="F983" s="1948"/>
      <c r="G983" s="1948"/>
      <c r="H983" s="1948"/>
      <c r="I983" s="1948"/>
      <c r="J983" s="1948"/>
      <c r="K983" s="1948"/>
      <c r="L983" s="1948"/>
      <c r="M983" s="1948"/>
      <c r="N983" s="1948"/>
      <c r="O983" s="1948"/>
      <c r="P983" s="1948"/>
      <c r="Q983" s="1948"/>
      <c r="R983" s="1948"/>
      <c r="S983" s="1948"/>
      <c r="T983" s="1948"/>
      <c r="U983" s="1948"/>
      <c r="V983" s="1948"/>
      <c r="W983" s="1948"/>
      <c r="X983" s="1948"/>
      <c r="Y983" s="1948"/>
      <c r="Z983" s="1948"/>
      <c r="AA983" s="1948"/>
      <c r="AB983" s="1948"/>
      <c r="AC983" s="1948"/>
      <c r="AD983" s="1948"/>
      <c r="AE983" s="1949"/>
      <c r="AF983" s="2225" t="str">
        <f>IF(AG982="yes","Please Enter Amount:",0)</f>
        <v>Please Enter Amount:</v>
      </c>
      <c r="AG983" s="2226"/>
      <c r="AH983" s="2226"/>
      <c r="AI983" s="2227"/>
      <c r="AJ983" s="2210"/>
      <c r="AK983" s="2211"/>
      <c r="AL983" s="2211"/>
      <c r="AM983" s="2211"/>
      <c r="AN983" s="2211"/>
      <c r="AO983" s="2211"/>
      <c r="AP983" s="2211"/>
      <c r="AQ983" s="221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2"/>
      <c r="D984" s="1947"/>
      <c r="E984" s="1948"/>
      <c r="F984" s="1948"/>
      <c r="G984" s="1948"/>
      <c r="H984" s="1948"/>
      <c r="I984" s="1948"/>
      <c r="J984" s="1948"/>
      <c r="K984" s="1948"/>
      <c r="L984" s="1948"/>
      <c r="M984" s="1948"/>
      <c r="N984" s="1948"/>
      <c r="O984" s="1948"/>
      <c r="P984" s="1948"/>
      <c r="Q984" s="1948"/>
      <c r="R984" s="1948"/>
      <c r="S984" s="1948"/>
      <c r="T984" s="1948"/>
      <c r="U984" s="1948"/>
      <c r="V984" s="1948"/>
      <c r="W984" s="1948"/>
      <c r="X984" s="1948"/>
      <c r="Y984" s="1948"/>
      <c r="Z984" s="1948"/>
      <c r="AA984" s="1948"/>
      <c r="AB984" s="1948"/>
      <c r="AC984" s="1948"/>
      <c r="AD984" s="1948"/>
      <c r="AE984" s="1949"/>
      <c r="AF984" s="2225"/>
      <c r="AG984" s="2226"/>
      <c r="AH984" s="2226"/>
      <c r="AI984" s="2227"/>
      <c r="AJ984" s="2210"/>
      <c r="AK984" s="2211"/>
      <c r="AL984" s="2211"/>
      <c r="AM984" s="2211"/>
      <c r="AN984" s="2211"/>
      <c r="AO984" s="2211"/>
      <c r="AP984" s="2211"/>
      <c r="AQ984" s="221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3"/>
      <c r="C985" s="1475"/>
      <c r="D985" s="1950"/>
      <c r="E985" s="1951"/>
      <c r="F985" s="1951"/>
      <c r="G985" s="1951"/>
      <c r="H985" s="1951"/>
      <c r="I985" s="1951"/>
      <c r="J985" s="1951"/>
      <c r="K985" s="1951"/>
      <c r="L985" s="1951"/>
      <c r="M985" s="1951"/>
      <c r="N985" s="1951"/>
      <c r="O985" s="1951"/>
      <c r="P985" s="1951"/>
      <c r="Q985" s="1951"/>
      <c r="R985" s="1951"/>
      <c r="S985" s="1951"/>
      <c r="T985" s="1951"/>
      <c r="U985" s="1951"/>
      <c r="V985" s="1951"/>
      <c r="W985" s="1951"/>
      <c r="X985" s="1951"/>
      <c r="Y985" s="1951"/>
      <c r="Z985" s="1951"/>
      <c r="AA985" s="1951"/>
      <c r="AB985" s="1951"/>
      <c r="AC985" s="1951"/>
      <c r="AD985" s="1951"/>
      <c r="AE985" s="1952"/>
      <c r="AF985" s="2228"/>
      <c r="AG985" s="2229"/>
      <c r="AH985" s="2229"/>
      <c r="AI985" s="2230"/>
      <c r="AJ985" s="2213"/>
      <c r="AK985" s="2214"/>
      <c r="AL985" s="2214"/>
      <c r="AM985" s="2214"/>
      <c r="AN985" s="2214"/>
      <c r="AO985" s="2214"/>
      <c r="AP985" s="2214"/>
      <c r="AQ985" s="2215"/>
    </row>
    <row r="986" spans="1:97" ht="12.75" customHeight="1">
      <c r="A986" s="65"/>
      <c r="B986" s="128"/>
      <c r="C986" s="881" t="s">
        <v>638</v>
      </c>
      <c r="D986" s="1931" t="s">
        <v>2167</v>
      </c>
      <c r="E986" s="1932"/>
      <c r="F986" s="1932"/>
      <c r="G986" s="1932"/>
      <c r="H986" s="1932"/>
      <c r="I986" s="1932"/>
      <c r="J986" s="1932"/>
      <c r="K986" s="1932"/>
      <c r="L986" s="1932"/>
      <c r="M986" s="1932"/>
      <c r="N986" s="1932"/>
      <c r="O986" s="1932"/>
      <c r="P986" s="1932"/>
      <c r="Q986" s="1932"/>
      <c r="R986" s="1932"/>
      <c r="S986" s="1932"/>
      <c r="T986" s="1932"/>
      <c r="U986" s="1932"/>
      <c r="V986" s="1932"/>
      <c r="W986" s="1932"/>
      <c r="X986" s="1932"/>
      <c r="Y986" s="1932"/>
      <c r="Z986" s="1932"/>
      <c r="AA986" s="1932"/>
      <c r="AB986" s="1932"/>
      <c r="AC986" s="1932"/>
      <c r="AD986" s="1932"/>
      <c r="AE986" s="1933"/>
      <c r="AF986" s="128"/>
      <c r="AG986" s="1934" t="s">
        <v>119</v>
      </c>
      <c r="AH986" s="1935"/>
      <c r="AI986" s="131"/>
      <c r="AJ986" s="1938">
        <f>ROUND(IF(AG986="yes",(AJ953*0.1),0),0)</f>
        <v>2993619</v>
      </c>
      <c r="AK986" s="1939"/>
      <c r="AL986" s="1939"/>
      <c r="AM986" s="1939"/>
      <c r="AN986" s="1939"/>
      <c r="AO986" s="1939"/>
      <c r="AP986" s="1939"/>
      <c r="AQ986" s="1940"/>
    </row>
    <row r="987" spans="1:97" ht="12.75" customHeight="1">
      <c r="A987" s="65"/>
      <c r="B987" s="124"/>
      <c r="C987" s="882"/>
      <c r="D987" s="1947" t="s">
        <v>2168</v>
      </c>
      <c r="E987" s="1948"/>
      <c r="F987" s="1948"/>
      <c r="G987" s="1948"/>
      <c r="H987" s="1948"/>
      <c r="I987" s="1948"/>
      <c r="J987" s="1948"/>
      <c r="K987" s="1948"/>
      <c r="L987" s="1948"/>
      <c r="M987" s="1948"/>
      <c r="N987" s="1948"/>
      <c r="O987" s="1948"/>
      <c r="P987" s="1948"/>
      <c r="Q987" s="1948"/>
      <c r="R987" s="1948"/>
      <c r="S987" s="1948"/>
      <c r="T987" s="1948"/>
      <c r="U987" s="1948"/>
      <c r="V987" s="1948"/>
      <c r="W987" s="1948"/>
      <c r="X987" s="1948"/>
      <c r="Y987" s="1948"/>
      <c r="Z987" s="1948"/>
      <c r="AA987" s="1948"/>
      <c r="AB987" s="1948"/>
      <c r="AC987" s="1948"/>
      <c r="AD987" s="1948"/>
      <c r="AE987" s="1949"/>
      <c r="AF987" s="124"/>
      <c r="AG987" s="125"/>
      <c r="AH987" s="125"/>
      <c r="AI987" s="129"/>
      <c r="AJ987" s="1941"/>
      <c r="AK987" s="1942"/>
      <c r="AL987" s="1942"/>
      <c r="AM987" s="1942"/>
      <c r="AN987" s="1942"/>
      <c r="AO987" s="1942"/>
      <c r="AP987" s="1942"/>
      <c r="AQ987" s="1943"/>
    </row>
    <row r="988" spans="1:97" ht="12.75" customHeight="1">
      <c r="A988" s="880"/>
      <c r="B988" s="126"/>
      <c r="C988" s="882"/>
      <c r="D988" s="1950"/>
      <c r="E988" s="1951"/>
      <c r="F988" s="1951"/>
      <c r="G988" s="1951"/>
      <c r="H988" s="1951"/>
      <c r="I988" s="1951"/>
      <c r="J988" s="1951"/>
      <c r="K988" s="1951"/>
      <c r="L988" s="1951"/>
      <c r="M988" s="1951"/>
      <c r="N988" s="1951"/>
      <c r="O988" s="1951"/>
      <c r="P988" s="1951"/>
      <c r="Q988" s="1951"/>
      <c r="R988" s="1951"/>
      <c r="S988" s="1951"/>
      <c r="T988" s="1951"/>
      <c r="U988" s="1951"/>
      <c r="V988" s="1951"/>
      <c r="W988" s="1951"/>
      <c r="X988" s="1951"/>
      <c r="Y988" s="1951"/>
      <c r="Z988" s="1951"/>
      <c r="AA988" s="1951"/>
      <c r="AB988" s="1951"/>
      <c r="AC988" s="1951"/>
      <c r="AD988" s="1951"/>
      <c r="AE988" s="1952"/>
      <c r="AF988" s="124"/>
      <c r="AG988" s="125"/>
      <c r="AH988" s="125"/>
      <c r="AI988" s="129"/>
      <c r="AJ988" s="1944"/>
      <c r="AK988" s="1945"/>
      <c r="AL988" s="1945"/>
      <c r="AM988" s="1945"/>
      <c r="AN988" s="1945"/>
      <c r="AO988" s="1945"/>
      <c r="AP988" s="1945"/>
      <c r="AQ988" s="1946"/>
    </row>
    <row r="989" spans="1:97" ht="17.7" customHeight="1">
      <c r="A989" s="880"/>
      <c r="B989" s="124"/>
      <c r="C989" s="881" t="s">
        <v>641</v>
      </c>
      <c r="D989" s="2173" t="s">
        <v>2298</v>
      </c>
      <c r="E989" s="2174"/>
      <c r="F989" s="2174"/>
      <c r="G989" s="2174"/>
      <c r="H989" s="2174"/>
      <c r="I989" s="2174"/>
      <c r="J989" s="2174"/>
      <c r="K989" s="2174"/>
      <c r="L989" s="2174"/>
      <c r="M989" s="2174"/>
      <c r="N989" s="2174"/>
      <c r="O989" s="2174"/>
      <c r="P989" s="2174"/>
      <c r="Q989" s="2174"/>
      <c r="R989" s="2174"/>
      <c r="S989" s="2174"/>
      <c r="T989" s="2174"/>
      <c r="U989" s="2174"/>
      <c r="V989" s="2174"/>
      <c r="W989" s="2174"/>
      <c r="X989" s="2174"/>
      <c r="Y989" s="2174"/>
      <c r="Z989" s="2174"/>
      <c r="AA989" s="2174"/>
      <c r="AB989" s="2174"/>
      <c r="AC989" s="2174"/>
      <c r="AD989" s="2174"/>
      <c r="AE989" s="2175"/>
      <c r="AF989" s="128"/>
      <c r="AG989" s="1934" t="s">
        <v>531</v>
      </c>
      <c r="AH989" s="1935"/>
      <c r="AI989" s="131"/>
      <c r="AJ989" s="1938">
        <f>ROUND(IF(AG989="yes",(AJ953*0.15),0),0)</f>
        <v>0</v>
      </c>
      <c r="AK989" s="1939"/>
      <c r="AL989" s="1939"/>
      <c r="AM989" s="1939"/>
      <c r="AN989" s="1939"/>
      <c r="AO989" s="1939"/>
      <c r="AP989" s="1939"/>
      <c r="AQ989" s="1940"/>
    </row>
    <row r="990" spans="1:97" ht="12.75" customHeight="1">
      <c r="A990" s="880"/>
      <c r="B990" s="124"/>
      <c r="C990" s="882"/>
      <c r="D990" s="2196" t="s">
        <v>2299</v>
      </c>
      <c r="E990" s="1562"/>
      <c r="F990" s="1562"/>
      <c r="G990" s="1562"/>
      <c r="H990" s="1562"/>
      <c r="I990" s="1562"/>
      <c r="J990" s="1562"/>
      <c r="K990" s="1562"/>
      <c r="L990" s="1562"/>
      <c r="M990" s="1562"/>
      <c r="N990" s="1562"/>
      <c r="O990" s="1562"/>
      <c r="P990" s="1562"/>
      <c r="Q990" s="1562"/>
      <c r="R990" s="1562"/>
      <c r="S990" s="1562"/>
      <c r="T990" s="1562"/>
      <c r="U990" s="1562"/>
      <c r="V990" s="1562"/>
      <c r="W990" s="1562"/>
      <c r="X990" s="1562"/>
      <c r="Y990" s="1562"/>
      <c r="Z990" s="1562"/>
      <c r="AA990" s="1562"/>
      <c r="AB990" s="1562"/>
      <c r="AC990" s="1562"/>
      <c r="AD990" s="1562"/>
      <c r="AE990" s="2197"/>
      <c r="AF990" s="1477"/>
      <c r="AG990" s="1478"/>
      <c r="AH990" s="1478"/>
      <c r="AI990" s="1479"/>
      <c r="AJ990" s="1941"/>
      <c r="AK990" s="1942"/>
      <c r="AL990" s="1942"/>
      <c r="AM990" s="1942"/>
      <c r="AN990" s="1942"/>
      <c r="AO990" s="1942"/>
      <c r="AP990" s="1942"/>
      <c r="AQ990" s="194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0"/>
      <c r="B991" s="124"/>
      <c r="C991" s="882"/>
      <c r="D991" s="2196"/>
      <c r="E991" s="1562"/>
      <c r="F991" s="1562"/>
      <c r="G991" s="1562"/>
      <c r="H991" s="1562"/>
      <c r="I991" s="1562"/>
      <c r="J991" s="1562"/>
      <c r="K991" s="1562"/>
      <c r="L991" s="1562"/>
      <c r="M991" s="1562"/>
      <c r="N991" s="1562"/>
      <c r="O991" s="1562"/>
      <c r="P991" s="1562"/>
      <c r="Q991" s="1562"/>
      <c r="R991" s="1562"/>
      <c r="S991" s="1562"/>
      <c r="T991" s="1562"/>
      <c r="U991" s="1562"/>
      <c r="V991" s="1562"/>
      <c r="W991" s="1562"/>
      <c r="X991" s="1562"/>
      <c r="Y991" s="1562"/>
      <c r="Z991" s="1562"/>
      <c r="AA991" s="1562"/>
      <c r="AB991" s="1562"/>
      <c r="AC991" s="1562"/>
      <c r="AD991" s="1562"/>
      <c r="AE991" s="2197"/>
      <c r="AF991" s="1477"/>
      <c r="AG991" s="1478"/>
      <c r="AH991" s="1478"/>
      <c r="AI991" s="1479"/>
      <c r="AJ991" s="1941"/>
      <c r="AK991" s="1942"/>
      <c r="AL991" s="1942"/>
      <c r="AM991" s="1942"/>
      <c r="AN991" s="1942"/>
      <c r="AO991" s="1942"/>
      <c r="AP991" s="1942"/>
      <c r="AQ991" s="194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0"/>
      <c r="B992" s="124"/>
      <c r="C992" s="882"/>
      <c r="D992" s="2198"/>
      <c r="E992" s="2199"/>
      <c r="F992" s="2199"/>
      <c r="G992" s="2199"/>
      <c r="H992" s="2199"/>
      <c r="I992" s="2199"/>
      <c r="J992" s="2199"/>
      <c r="K992" s="2199"/>
      <c r="L992" s="2199"/>
      <c r="M992" s="2199"/>
      <c r="N992" s="2199"/>
      <c r="O992" s="2199"/>
      <c r="P992" s="2199"/>
      <c r="Q992" s="2199"/>
      <c r="R992" s="2199"/>
      <c r="S992" s="2199"/>
      <c r="T992" s="2199"/>
      <c r="U992" s="2199"/>
      <c r="V992" s="2199"/>
      <c r="W992" s="2199"/>
      <c r="X992" s="2199"/>
      <c r="Y992" s="2199"/>
      <c r="Z992" s="2199"/>
      <c r="AA992" s="2199"/>
      <c r="AB992" s="2199"/>
      <c r="AC992" s="2199"/>
      <c r="AD992" s="2199"/>
      <c r="AE992" s="2200"/>
      <c r="AF992" s="1480"/>
      <c r="AG992" s="1481"/>
      <c r="AH992" s="1481"/>
      <c r="AI992" s="1482"/>
      <c r="AJ992" s="1944"/>
      <c r="AK992" s="1945"/>
      <c r="AL992" s="1945"/>
      <c r="AM992" s="1945"/>
      <c r="AN992" s="1945"/>
      <c r="AO992" s="1945"/>
      <c r="AP992" s="1945"/>
      <c r="AQ992" s="194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1" t="s">
        <v>641</v>
      </c>
      <c r="D993" s="1931" t="s">
        <v>2300</v>
      </c>
      <c r="E993" s="1932"/>
      <c r="F993" s="1932"/>
      <c r="G993" s="1932"/>
      <c r="H993" s="1932"/>
      <c r="I993" s="1932"/>
      <c r="J993" s="1932"/>
      <c r="K993" s="1932"/>
      <c r="L993" s="1932"/>
      <c r="M993" s="1932"/>
      <c r="N993" s="1932"/>
      <c r="O993" s="1932"/>
      <c r="P993" s="1932"/>
      <c r="Q993" s="1932"/>
      <c r="R993" s="1932"/>
      <c r="S993" s="1932"/>
      <c r="T993" s="1932"/>
      <c r="U993" s="1932"/>
      <c r="V993" s="1932"/>
      <c r="W993" s="1932"/>
      <c r="X993" s="1932"/>
      <c r="Y993" s="1932"/>
      <c r="Z993" s="1932"/>
      <c r="AA993" s="1932"/>
      <c r="AB993" s="1932"/>
      <c r="AC993" s="1932"/>
      <c r="AD993" s="1932"/>
      <c r="AE993" s="1933"/>
      <c r="AF993" s="124"/>
      <c r="AG993" s="2194" t="s">
        <v>531</v>
      </c>
      <c r="AH993" s="2195"/>
      <c r="AI993" s="129"/>
      <c r="AJ993" s="1938">
        <f>ROUND(IF(AG993="yes",(AJ953*0.1),0),0)</f>
        <v>0</v>
      </c>
      <c r="AK993" s="1939"/>
      <c r="AL993" s="1939"/>
      <c r="AM993" s="1939"/>
      <c r="AN993" s="1939"/>
      <c r="AO993" s="1939"/>
      <c r="AP993" s="1939"/>
      <c r="AQ993" s="194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1"/>
      <c r="B994" s="124"/>
      <c r="C994" s="882"/>
      <c r="D994" s="2196" t="s">
        <v>2301</v>
      </c>
      <c r="E994" s="1562"/>
      <c r="F994" s="1562"/>
      <c r="G994" s="1562"/>
      <c r="H994" s="1562"/>
      <c r="I994" s="1562"/>
      <c r="J994" s="1562"/>
      <c r="K994" s="1562"/>
      <c r="L994" s="1562"/>
      <c r="M994" s="1562"/>
      <c r="N994" s="1562"/>
      <c r="O994" s="1562"/>
      <c r="P994" s="1562"/>
      <c r="Q994" s="1562"/>
      <c r="R994" s="1562"/>
      <c r="S994" s="1562"/>
      <c r="T994" s="1562"/>
      <c r="U994" s="1562"/>
      <c r="V994" s="1562"/>
      <c r="W994" s="1562"/>
      <c r="X994" s="1562"/>
      <c r="Y994" s="1562"/>
      <c r="Z994" s="1562"/>
      <c r="AA994" s="1562"/>
      <c r="AB994" s="1562"/>
      <c r="AC994" s="1562"/>
      <c r="AD994" s="1562"/>
      <c r="AE994" s="2197"/>
      <c r="AF994" s="124"/>
      <c r="AG994" s="125"/>
      <c r="AH994" s="125"/>
      <c r="AI994" s="129"/>
      <c r="AJ994" s="1941"/>
      <c r="AK994" s="1942"/>
      <c r="AL994" s="1942"/>
      <c r="AM994" s="1942"/>
      <c r="AN994" s="1942"/>
      <c r="AO994" s="1942"/>
      <c r="AP994" s="1942"/>
      <c r="AQ994" s="1943"/>
      <c r="AR994" s="804"/>
      <c r="AS994" s="804"/>
      <c r="AT994" s="804"/>
      <c r="AU994" s="804"/>
      <c r="AV994" s="804"/>
      <c r="AW994" s="804"/>
      <c r="AX994" s="804"/>
      <c r="AY994" s="804"/>
      <c r="AZ994" s="804"/>
      <c r="BA994" s="804"/>
      <c r="BB994" s="804"/>
      <c r="BC994" s="804"/>
      <c r="BD994" s="804"/>
      <c r="BE994" s="804"/>
      <c r="BF994" s="804"/>
      <c r="BG994" s="804"/>
      <c r="BH994" s="804"/>
      <c r="BI994" s="804"/>
      <c r="BJ994" s="804"/>
      <c r="BK994" s="804"/>
      <c r="BL994" s="804"/>
      <c r="BM994" s="804"/>
      <c r="BN994" s="804"/>
      <c r="BO994" s="804"/>
      <c r="BP994" s="804"/>
      <c r="BQ994" s="804"/>
      <c r="BR994" s="804"/>
      <c r="BS994" s="804"/>
      <c r="BT994" s="804"/>
      <c r="BU994" s="804"/>
      <c r="BV994" s="804"/>
      <c r="BW994" s="804"/>
      <c r="BX994" s="804"/>
      <c r="BY994" s="804"/>
      <c r="BZ994" s="804"/>
      <c r="CA994" s="804"/>
      <c r="CB994" s="804"/>
      <c r="CC994" s="804"/>
      <c r="CD994" s="804"/>
      <c r="CE994" s="804"/>
      <c r="CF994" s="804"/>
      <c r="CG994" s="804"/>
      <c r="CH994" s="804"/>
      <c r="CI994" s="804"/>
      <c r="CJ994" s="804"/>
      <c r="CK994" s="804"/>
      <c r="CL994" s="804"/>
      <c r="CM994" s="804"/>
      <c r="CN994" s="804"/>
      <c r="CO994" s="804"/>
      <c r="CP994" s="804"/>
      <c r="CQ994" s="804"/>
      <c r="CR994" s="804"/>
      <c r="CS994" s="804"/>
    </row>
    <row r="995" spans="1:97" s="35" customFormat="1" ht="12.75" customHeight="1">
      <c r="A995" s="771"/>
      <c r="B995" s="124"/>
      <c r="C995" s="882"/>
      <c r="D995" s="2196"/>
      <c r="E995" s="1562"/>
      <c r="F995" s="1562"/>
      <c r="G995" s="1562"/>
      <c r="H995" s="1562"/>
      <c r="I995" s="1562"/>
      <c r="J995" s="1562"/>
      <c r="K995" s="1562"/>
      <c r="L995" s="1562"/>
      <c r="M995" s="1562"/>
      <c r="N995" s="1562"/>
      <c r="O995" s="1562"/>
      <c r="P995" s="1562"/>
      <c r="Q995" s="1562"/>
      <c r="R995" s="1562"/>
      <c r="S995" s="1562"/>
      <c r="T995" s="1562"/>
      <c r="U995" s="1562"/>
      <c r="V995" s="1562"/>
      <c r="W995" s="1562"/>
      <c r="X995" s="1562"/>
      <c r="Y995" s="1562"/>
      <c r="Z995" s="1562"/>
      <c r="AA995" s="1562"/>
      <c r="AB995" s="1562"/>
      <c r="AC995" s="1562"/>
      <c r="AD995" s="1562"/>
      <c r="AE995" s="2197"/>
      <c r="AF995" s="124"/>
      <c r="AG995" s="125"/>
      <c r="AH995" s="125"/>
      <c r="AI995" s="129"/>
      <c r="AJ995" s="1941"/>
      <c r="AK995" s="1942"/>
      <c r="AL995" s="1942"/>
      <c r="AM995" s="1942"/>
      <c r="AN995" s="1942"/>
      <c r="AO995" s="1942"/>
      <c r="AP995" s="1942"/>
      <c r="AQ995" s="1943"/>
      <c r="AR995" s="804"/>
      <c r="AS995" s="804"/>
      <c r="AT995" s="804"/>
      <c r="AU995" s="804"/>
      <c r="AV995" s="804"/>
      <c r="AW995" s="804"/>
      <c r="AX995" s="804"/>
      <c r="AY995" s="804"/>
      <c r="AZ995" s="804"/>
      <c r="BA995" s="804"/>
      <c r="BB995" s="804"/>
      <c r="BC995" s="804"/>
      <c r="BD995" s="804"/>
      <c r="BE995" s="804"/>
      <c r="BF995" s="804"/>
      <c r="BG995" s="804"/>
      <c r="BH995" s="804"/>
      <c r="BI995" s="804"/>
      <c r="BJ995" s="804"/>
      <c r="BK995" s="804"/>
      <c r="BL995" s="804"/>
      <c r="BM995" s="804"/>
      <c r="BN995" s="804"/>
      <c r="BO995" s="804"/>
      <c r="BP995" s="804"/>
      <c r="BQ995" s="804"/>
      <c r="BR995" s="804"/>
      <c r="BS995" s="804"/>
      <c r="BT995" s="804"/>
      <c r="BU995" s="804"/>
      <c r="BV995" s="804"/>
      <c r="BW995" s="804"/>
      <c r="BX995" s="804"/>
      <c r="BY995" s="804"/>
      <c r="BZ995" s="804"/>
      <c r="CA995" s="804"/>
      <c r="CB995" s="804"/>
      <c r="CC995" s="804"/>
      <c r="CD995" s="804"/>
      <c r="CE995" s="804"/>
      <c r="CF995" s="804"/>
      <c r="CG995" s="804"/>
      <c r="CH995" s="804"/>
      <c r="CI995" s="804"/>
      <c r="CJ995" s="804"/>
      <c r="CK995" s="804"/>
      <c r="CL995" s="804"/>
      <c r="CM995" s="804"/>
      <c r="CN995" s="804"/>
      <c r="CO995" s="804"/>
      <c r="CP995" s="804"/>
      <c r="CQ995" s="804"/>
      <c r="CR995" s="804"/>
      <c r="CS995" s="804"/>
    </row>
    <row r="996" spans="1:97" s="35" customFormat="1" ht="12.75" customHeight="1">
      <c r="A996" s="771"/>
      <c r="B996" s="124"/>
      <c r="C996" s="882"/>
      <c r="D996" s="2196"/>
      <c r="E996" s="1562"/>
      <c r="F996" s="1562"/>
      <c r="G996" s="1562"/>
      <c r="H996" s="1562"/>
      <c r="I996" s="1562"/>
      <c r="J996" s="1562"/>
      <c r="K996" s="1562"/>
      <c r="L996" s="1562"/>
      <c r="M996" s="1562"/>
      <c r="N996" s="1562"/>
      <c r="O996" s="1562"/>
      <c r="P996" s="1562"/>
      <c r="Q996" s="1562"/>
      <c r="R996" s="1562"/>
      <c r="S996" s="1562"/>
      <c r="T996" s="1562"/>
      <c r="U996" s="1562"/>
      <c r="V996" s="1562"/>
      <c r="W996" s="1562"/>
      <c r="X996" s="1562"/>
      <c r="Y996" s="1562"/>
      <c r="Z996" s="1562"/>
      <c r="AA996" s="1562"/>
      <c r="AB996" s="1562"/>
      <c r="AC996" s="1562"/>
      <c r="AD996" s="1562"/>
      <c r="AE996" s="2197"/>
      <c r="AF996" s="124"/>
      <c r="AG996" s="125"/>
      <c r="AH996" s="125"/>
      <c r="AI996" s="129"/>
      <c r="AJ996" s="1941"/>
      <c r="AK996" s="1942"/>
      <c r="AL996" s="1942"/>
      <c r="AM996" s="1942"/>
      <c r="AN996" s="1942"/>
      <c r="AO996" s="1942"/>
      <c r="AP996" s="1942"/>
      <c r="AQ996" s="1943"/>
      <c r="AR996" s="804"/>
      <c r="AS996" s="804"/>
      <c r="AT996" s="804"/>
      <c r="AU996" s="804"/>
      <c r="AV996" s="804"/>
      <c r="AW996" s="804"/>
      <c r="AX996" s="804"/>
      <c r="AY996" s="804"/>
      <c r="AZ996" s="804"/>
      <c r="BA996" s="804"/>
      <c r="BB996" s="804"/>
      <c r="BC996" s="804"/>
      <c r="BD996" s="804"/>
      <c r="BE996" s="804"/>
      <c r="BF996" s="804"/>
      <c r="BG996" s="804"/>
      <c r="BH996" s="804"/>
      <c r="BI996" s="804"/>
      <c r="BJ996" s="804"/>
      <c r="BK996" s="804"/>
      <c r="BL996" s="804"/>
      <c r="BM996" s="804"/>
      <c r="BN996" s="804"/>
      <c r="BO996" s="804"/>
      <c r="BP996" s="804"/>
      <c r="BQ996" s="804"/>
      <c r="BR996" s="804"/>
      <c r="BS996" s="804"/>
      <c r="BT996" s="804"/>
      <c r="BU996" s="804"/>
      <c r="BV996" s="804"/>
      <c r="BW996" s="804"/>
      <c r="BX996" s="804"/>
      <c r="BY996" s="804"/>
      <c r="BZ996" s="804"/>
      <c r="CA996" s="804"/>
      <c r="CB996" s="804"/>
      <c r="CC996" s="804"/>
      <c r="CD996" s="804"/>
      <c r="CE996" s="804"/>
      <c r="CF996" s="804"/>
      <c r="CG996" s="804"/>
      <c r="CH996" s="804"/>
      <c r="CI996" s="804"/>
      <c r="CJ996" s="804"/>
      <c r="CK996" s="804"/>
      <c r="CL996" s="804"/>
      <c r="CM996" s="804"/>
      <c r="CN996" s="804"/>
      <c r="CO996" s="804"/>
      <c r="CP996" s="804"/>
      <c r="CQ996" s="804"/>
      <c r="CR996" s="804"/>
      <c r="CS996" s="804"/>
    </row>
    <row r="997" spans="1:97" s="35" customFormat="1" ht="12.75" customHeight="1">
      <c r="A997" s="771"/>
      <c r="B997" s="124"/>
      <c r="C997" s="882"/>
      <c r="D997" s="2198"/>
      <c r="E997" s="2199"/>
      <c r="F997" s="2199"/>
      <c r="G997" s="2199"/>
      <c r="H997" s="2199"/>
      <c r="I997" s="2199"/>
      <c r="J997" s="2199"/>
      <c r="K997" s="2199"/>
      <c r="L997" s="2199"/>
      <c r="M997" s="2199"/>
      <c r="N997" s="2199"/>
      <c r="O997" s="2199"/>
      <c r="P997" s="2199"/>
      <c r="Q997" s="2199"/>
      <c r="R997" s="2199"/>
      <c r="S997" s="2199"/>
      <c r="T997" s="2199"/>
      <c r="U997" s="2199"/>
      <c r="V997" s="2199"/>
      <c r="W997" s="2199"/>
      <c r="X997" s="2199"/>
      <c r="Y997" s="2199"/>
      <c r="Z997" s="2199"/>
      <c r="AA997" s="2199"/>
      <c r="AB997" s="2199"/>
      <c r="AC997" s="2199"/>
      <c r="AD997" s="2199"/>
      <c r="AE997" s="2200"/>
      <c r="AF997" s="124"/>
      <c r="AG997" s="125"/>
      <c r="AH997" s="125"/>
      <c r="AI997" s="129"/>
      <c r="AJ997" s="1941"/>
      <c r="AK997" s="1942"/>
      <c r="AL997" s="1942"/>
      <c r="AM997" s="1942"/>
      <c r="AN997" s="1942"/>
      <c r="AO997" s="1942"/>
      <c r="AP997" s="1942"/>
      <c r="AQ997" s="1943"/>
      <c r="AR997" s="804"/>
      <c r="AS997" s="804"/>
      <c r="AT997" s="804"/>
      <c r="AU997" s="804"/>
      <c r="AV997" s="804"/>
      <c r="AW997" s="804"/>
      <c r="AX997" s="804"/>
      <c r="AY997" s="804"/>
      <c r="AZ997" s="804"/>
      <c r="BA997" s="804"/>
      <c r="BB997" s="804"/>
      <c r="BC997" s="804"/>
      <c r="BD997" s="804"/>
      <c r="BE997" s="804"/>
      <c r="BF997" s="804"/>
      <c r="BG997" s="804"/>
      <c r="BH997" s="804"/>
      <c r="BI997" s="804"/>
      <c r="BJ997" s="804"/>
      <c r="BK997" s="804"/>
      <c r="BL997" s="804"/>
      <c r="BM997" s="804"/>
      <c r="BN997" s="804"/>
      <c r="BO997" s="804"/>
      <c r="BP997" s="804"/>
      <c r="BQ997" s="804"/>
      <c r="BR997" s="804"/>
      <c r="BS997" s="804"/>
      <c r="BT997" s="804"/>
      <c r="BU997" s="804"/>
      <c r="BV997" s="804"/>
      <c r="BW997" s="804"/>
      <c r="BX997" s="804"/>
      <c r="BY997" s="804"/>
      <c r="BZ997" s="804"/>
      <c r="CA997" s="804"/>
      <c r="CB997" s="804"/>
      <c r="CC997" s="804"/>
      <c r="CD997" s="804"/>
      <c r="CE997" s="804"/>
      <c r="CF997" s="804"/>
      <c r="CG997" s="804"/>
      <c r="CH997" s="804"/>
      <c r="CI997" s="804"/>
      <c r="CJ997" s="804"/>
      <c r="CK997" s="804"/>
      <c r="CL997" s="804"/>
      <c r="CM997" s="804"/>
      <c r="CN997" s="804"/>
      <c r="CO997" s="804"/>
      <c r="CP997" s="804"/>
      <c r="CQ997" s="804"/>
      <c r="CR997" s="804"/>
      <c r="CS997" s="804"/>
    </row>
    <row r="998" spans="1:97" s="35" customFormat="1" ht="12.75" customHeight="1">
      <c r="A998" s="771"/>
      <c r="B998" s="128"/>
      <c r="C998" s="1483" t="s">
        <v>2302</v>
      </c>
      <c r="D998" s="2173" t="s">
        <v>2169</v>
      </c>
      <c r="E998" s="2174"/>
      <c r="F998" s="2174"/>
      <c r="G998" s="2174"/>
      <c r="H998" s="2174"/>
      <c r="I998" s="2174"/>
      <c r="J998" s="2174"/>
      <c r="K998" s="2174"/>
      <c r="L998" s="2174"/>
      <c r="M998" s="2174"/>
      <c r="N998" s="2174"/>
      <c r="O998" s="2174"/>
      <c r="P998" s="2174"/>
      <c r="Q998" s="2174"/>
      <c r="R998" s="2174"/>
      <c r="S998" s="2174"/>
      <c r="T998" s="2174"/>
      <c r="U998" s="2174"/>
      <c r="V998" s="2174"/>
      <c r="W998" s="2174"/>
      <c r="X998" s="2174"/>
      <c r="Y998" s="2174"/>
      <c r="Z998" s="2174"/>
      <c r="AA998" s="2174"/>
      <c r="AB998" s="2174"/>
      <c r="AC998" s="2174"/>
      <c r="AD998" s="2174"/>
      <c r="AE998" s="2175"/>
      <c r="AF998" s="128"/>
      <c r="AG998" s="1934" t="s">
        <v>531</v>
      </c>
      <c r="AH998" s="1935"/>
      <c r="AI998" s="131"/>
      <c r="AJ998" s="1938">
        <f>ROUND(IF(AG998="yes",(AJ953*0.1),0),0)</f>
        <v>0</v>
      </c>
      <c r="AK998" s="1939"/>
      <c r="AL998" s="1939"/>
      <c r="AM998" s="1939"/>
      <c r="AN998" s="1939"/>
      <c r="AO998" s="1939"/>
      <c r="AP998" s="1939"/>
      <c r="AQ998" s="1940"/>
      <c r="AR998" s="804"/>
      <c r="AS998" s="804"/>
      <c r="AT998" s="804"/>
      <c r="AU998" s="804"/>
      <c r="AV998" s="804"/>
      <c r="AW998" s="804"/>
      <c r="AX998" s="804"/>
      <c r="AY998" s="804"/>
      <c r="AZ998" s="804"/>
      <c r="BA998" s="804"/>
      <c r="BB998" s="804"/>
      <c r="BC998" s="804"/>
      <c r="BD998" s="804"/>
      <c r="BE998" s="804"/>
      <c r="BF998" s="804"/>
      <c r="BG998" s="804"/>
      <c r="BH998" s="804"/>
      <c r="BI998" s="804"/>
      <c r="BJ998" s="804"/>
      <c r="BK998" s="804"/>
      <c r="BL998" s="804"/>
      <c r="BM998" s="804"/>
      <c r="BN998" s="804"/>
      <c r="BO998" s="804"/>
      <c r="BP998" s="804"/>
      <c r="BQ998" s="804"/>
      <c r="BR998" s="804"/>
      <c r="BS998" s="804"/>
      <c r="BT998" s="804"/>
      <c r="BU998" s="804"/>
      <c r="BV998" s="804"/>
      <c r="BW998" s="804"/>
      <c r="BX998" s="804"/>
      <c r="BY998" s="804"/>
      <c r="BZ998" s="804"/>
      <c r="CA998" s="804"/>
      <c r="CB998" s="804"/>
      <c r="CC998" s="804"/>
      <c r="CD998" s="804"/>
      <c r="CE998" s="804"/>
      <c r="CF998" s="804"/>
      <c r="CG998" s="804"/>
      <c r="CH998" s="804"/>
      <c r="CI998" s="804"/>
      <c r="CJ998" s="804"/>
      <c r="CK998" s="804"/>
      <c r="CL998" s="804"/>
      <c r="CM998" s="804"/>
      <c r="CN998" s="804"/>
      <c r="CO998" s="804"/>
      <c r="CP998" s="804"/>
      <c r="CQ998" s="804"/>
      <c r="CR998" s="804"/>
      <c r="CS998" s="804"/>
    </row>
    <row r="999" spans="1:97" s="35" customFormat="1" ht="12.75" customHeight="1">
      <c r="A999" s="771"/>
      <c r="B999" s="124"/>
      <c r="C999" s="882"/>
      <c r="D999" s="1947" t="s">
        <v>2303</v>
      </c>
      <c r="E999" s="1948"/>
      <c r="F999" s="1948"/>
      <c r="G999" s="1948"/>
      <c r="H999" s="1948"/>
      <c r="I999" s="1948"/>
      <c r="J999" s="1948"/>
      <c r="K999" s="1948"/>
      <c r="L999" s="1948"/>
      <c r="M999" s="1948"/>
      <c r="N999" s="1948"/>
      <c r="O999" s="1948"/>
      <c r="P999" s="1948"/>
      <c r="Q999" s="1948"/>
      <c r="R999" s="1948"/>
      <c r="S999" s="1948"/>
      <c r="T999" s="1948"/>
      <c r="U999" s="1948"/>
      <c r="V999" s="1948"/>
      <c r="W999" s="1948"/>
      <c r="X999" s="1948"/>
      <c r="Y999" s="1948"/>
      <c r="Z999" s="1948"/>
      <c r="AA999" s="1948"/>
      <c r="AB999" s="1948"/>
      <c r="AC999" s="1948"/>
      <c r="AD999" s="1948"/>
      <c r="AE999" s="1949"/>
      <c r="AF999" s="124"/>
      <c r="AG999" s="125"/>
      <c r="AH999" s="125"/>
      <c r="AI999" s="129"/>
      <c r="AJ999" s="1941"/>
      <c r="AK999" s="1942"/>
      <c r="AL999" s="1942"/>
      <c r="AM999" s="1942"/>
      <c r="AN999" s="1942"/>
      <c r="AO999" s="1942"/>
      <c r="AP999" s="1942"/>
      <c r="AQ999" s="1943"/>
      <c r="AR999" s="804"/>
      <c r="AS999" s="804"/>
      <c r="AT999" s="804"/>
      <c r="AU999" s="804"/>
      <c r="AV999" s="804"/>
      <c r="AW999" s="804"/>
      <c r="AX999" s="804"/>
      <c r="AY999" s="804"/>
      <c r="AZ999" s="804"/>
      <c r="BA999" s="804"/>
      <c r="BB999" s="804"/>
      <c r="BC999" s="804"/>
      <c r="BD999" s="804"/>
      <c r="BE999" s="804"/>
      <c r="BF999" s="804"/>
      <c r="BG999" s="804"/>
      <c r="BH999" s="804"/>
      <c r="BI999" s="804"/>
      <c r="BJ999" s="804"/>
      <c r="BK999" s="804"/>
      <c r="BL999" s="804"/>
      <c r="BM999" s="804"/>
      <c r="BN999" s="804"/>
      <c r="BO999" s="804"/>
      <c r="BP999" s="804"/>
      <c r="BQ999" s="804"/>
      <c r="BR999" s="804"/>
      <c r="BS999" s="804"/>
      <c r="BT999" s="804"/>
      <c r="BU999" s="804"/>
      <c r="BV999" s="804"/>
      <c r="BW999" s="804"/>
      <c r="BX999" s="804"/>
      <c r="BY999" s="804"/>
      <c r="BZ999" s="804"/>
      <c r="CA999" s="804"/>
      <c r="CB999" s="804"/>
      <c r="CC999" s="804"/>
      <c r="CD999" s="804"/>
      <c r="CE999" s="804"/>
      <c r="CF999" s="804"/>
      <c r="CG999" s="804"/>
      <c r="CH999" s="804"/>
      <c r="CI999" s="804"/>
      <c r="CJ999" s="804"/>
      <c r="CK999" s="804"/>
      <c r="CL999" s="804"/>
      <c r="CM999" s="804"/>
      <c r="CN999" s="804"/>
      <c r="CO999" s="804"/>
      <c r="CP999" s="804"/>
      <c r="CQ999" s="804"/>
      <c r="CR999" s="804"/>
      <c r="CS999" s="804"/>
    </row>
    <row r="1000" spans="1:97" s="35" customFormat="1" ht="12.75" customHeight="1">
      <c r="A1000" s="771"/>
      <c r="B1000" s="124"/>
      <c r="C1000" s="882"/>
      <c r="D1000" s="1947"/>
      <c r="E1000" s="1948"/>
      <c r="F1000" s="1948"/>
      <c r="G1000" s="1948"/>
      <c r="H1000" s="1948"/>
      <c r="I1000" s="1948"/>
      <c r="J1000" s="1948"/>
      <c r="K1000" s="1948"/>
      <c r="L1000" s="1948"/>
      <c r="M1000" s="1948"/>
      <c r="N1000" s="1948"/>
      <c r="O1000" s="1948"/>
      <c r="P1000" s="1948"/>
      <c r="Q1000" s="1948"/>
      <c r="R1000" s="1948"/>
      <c r="S1000" s="1948"/>
      <c r="T1000" s="1948"/>
      <c r="U1000" s="1948"/>
      <c r="V1000" s="1948"/>
      <c r="W1000" s="1948"/>
      <c r="X1000" s="1948"/>
      <c r="Y1000" s="1948"/>
      <c r="Z1000" s="1948"/>
      <c r="AA1000" s="1948"/>
      <c r="AB1000" s="1948"/>
      <c r="AC1000" s="1948"/>
      <c r="AD1000" s="1948"/>
      <c r="AE1000" s="1949"/>
      <c r="AF1000" s="124"/>
      <c r="AG1000" s="125"/>
      <c r="AH1000" s="125"/>
      <c r="AI1000" s="129"/>
      <c r="AJ1000" s="1941"/>
      <c r="AK1000" s="1942"/>
      <c r="AL1000" s="1942"/>
      <c r="AM1000" s="1942"/>
      <c r="AN1000" s="1942"/>
      <c r="AO1000" s="1942"/>
      <c r="AP1000" s="1942"/>
      <c r="AQ1000" s="1943"/>
      <c r="AR1000" s="804"/>
      <c r="AS1000" s="804"/>
      <c r="AT1000" s="804"/>
      <c r="AU1000" s="804"/>
      <c r="AV1000" s="804"/>
      <c r="AW1000" s="804"/>
      <c r="AX1000" s="804"/>
      <c r="AY1000" s="804"/>
      <c r="AZ1000" s="804"/>
      <c r="BA1000" s="804"/>
      <c r="BB1000" s="804"/>
      <c r="BC1000" s="804"/>
      <c r="BD1000" s="804"/>
      <c r="BE1000" s="804"/>
      <c r="BF1000" s="804"/>
      <c r="BG1000" s="804"/>
      <c r="BH1000" s="804"/>
      <c r="BI1000" s="804"/>
      <c r="BJ1000" s="804"/>
      <c r="BK1000" s="804"/>
      <c r="BL1000" s="804"/>
      <c r="BM1000" s="804"/>
      <c r="BN1000" s="804"/>
      <c r="BO1000" s="804"/>
      <c r="BP1000" s="804"/>
      <c r="BQ1000" s="804"/>
      <c r="BR1000" s="804"/>
      <c r="BS1000" s="804"/>
      <c r="BT1000" s="804"/>
      <c r="BU1000" s="804"/>
      <c r="BV1000" s="804"/>
      <c r="BW1000" s="804"/>
      <c r="BX1000" s="804"/>
      <c r="BY1000" s="804"/>
      <c r="BZ1000" s="804"/>
      <c r="CA1000" s="804"/>
      <c r="CB1000" s="804"/>
      <c r="CC1000" s="804"/>
      <c r="CD1000" s="804"/>
      <c r="CE1000" s="804"/>
      <c r="CF1000" s="804"/>
      <c r="CG1000" s="804"/>
      <c r="CH1000" s="804"/>
      <c r="CI1000" s="804"/>
      <c r="CJ1000" s="804"/>
      <c r="CK1000" s="804"/>
      <c r="CL1000" s="804"/>
      <c r="CM1000" s="804"/>
      <c r="CN1000" s="804"/>
      <c r="CO1000" s="804"/>
      <c r="CP1000" s="804"/>
      <c r="CQ1000" s="804"/>
      <c r="CR1000" s="804"/>
      <c r="CS1000" s="804"/>
    </row>
    <row r="1001" spans="1:97" s="35" customFormat="1" ht="12.75" customHeight="1">
      <c r="A1001" s="771"/>
      <c r="B1001" s="124"/>
      <c r="C1001" s="882"/>
      <c r="D1001" s="1950"/>
      <c r="E1001" s="1951"/>
      <c r="F1001" s="1951"/>
      <c r="G1001" s="1951"/>
      <c r="H1001" s="1951"/>
      <c r="I1001" s="1951"/>
      <c r="J1001" s="1951"/>
      <c r="K1001" s="1951"/>
      <c r="L1001" s="1951"/>
      <c r="M1001" s="1951"/>
      <c r="N1001" s="1951"/>
      <c r="O1001" s="1951"/>
      <c r="P1001" s="1951"/>
      <c r="Q1001" s="1951"/>
      <c r="R1001" s="1951"/>
      <c r="S1001" s="1951"/>
      <c r="T1001" s="1951"/>
      <c r="U1001" s="1951"/>
      <c r="V1001" s="1951"/>
      <c r="W1001" s="1951"/>
      <c r="X1001" s="1951"/>
      <c r="Y1001" s="1951"/>
      <c r="Z1001" s="1951"/>
      <c r="AA1001" s="1951"/>
      <c r="AB1001" s="1951"/>
      <c r="AC1001" s="1951"/>
      <c r="AD1001" s="1951"/>
      <c r="AE1001" s="1952"/>
      <c r="AF1001" s="124"/>
      <c r="AG1001" s="125"/>
      <c r="AH1001" s="125"/>
      <c r="AI1001" s="129"/>
      <c r="AJ1001" s="1944"/>
      <c r="AK1001" s="1945"/>
      <c r="AL1001" s="1945"/>
      <c r="AM1001" s="1945"/>
      <c r="AN1001" s="1945"/>
      <c r="AO1001" s="1945"/>
      <c r="AP1001" s="1945"/>
      <c r="AQ1001" s="1946"/>
      <c r="AR1001" s="804"/>
      <c r="AS1001" s="804"/>
      <c r="AT1001" s="804"/>
      <c r="AU1001" s="804"/>
      <c r="AV1001" s="804"/>
      <c r="AW1001" s="804"/>
      <c r="AX1001" s="804"/>
      <c r="AY1001" s="804"/>
      <c r="AZ1001" s="804"/>
      <c r="BA1001" s="804"/>
      <c r="BB1001" s="804"/>
      <c r="BC1001" s="804"/>
      <c r="BD1001" s="804"/>
      <c r="BE1001" s="804"/>
      <c r="BF1001" s="804"/>
      <c r="BG1001" s="804"/>
      <c r="BH1001" s="804"/>
      <c r="BI1001" s="804"/>
      <c r="BJ1001" s="804"/>
      <c r="BK1001" s="804"/>
      <c r="BL1001" s="804"/>
      <c r="BM1001" s="804"/>
      <c r="BN1001" s="804"/>
      <c r="BO1001" s="804"/>
      <c r="BP1001" s="804"/>
      <c r="BQ1001" s="804"/>
      <c r="BR1001" s="804"/>
      <c r="BS1001" s="804"/>
      <c r="BT1001" s="804"/>
      <c r="BU1001" s="804"/>
      <c r="BV1001" s="804"/>
      <c r="BW1001" s="804"/>
      <c r="BX1001" s="804"/>
      <c r="BY1001" s="804"/>
      <c r="BZ1001" s="804"/>
      <c r="CA1001" s="804"/>
      <c r="CB1001" s="804"/>
      <c r="CC1001" s="804"/>
      <c r="CD1001" s="804"/>
      <c r="CE1001" s="804"/>
      <c r="CF1001" s="804"/>
      <c r="CG1001" s="804"/>
      <c r="CH1001" s="804"/>
      <c r="CI1001" s="804"/>
      <c r="CJ1001" s="804"/>
      <c r="CK1001" s="804"/>
      <c r="CL1001" s="804"/>
      <c r="CM1001" s="804"/>
      <c r="CN1001" s="804"/>
      <c r="CO1001" s="804"/>
      <c r="CP1001" s="804"/>
      <c r="CQ1001" s="804"/>
      <c r="CR1001" s="804"/>
      <c r="CS1001" s="804"/>
    </row>
    <row r="1002" spans="1:97" s="35" customFormat="1" ht="12.75" customHeight="1">
      <c r="A1002" s="771"/>
      <c r="B1002" s="304"/>
      <c r="C1002" s="1484"/>
      <c r="D1002" s="2077" t="s">
        <v>820</v>
      </c>
      <c r="E1002" s="2077"/>
      <c r="F1002" s="2077"/>
      <c r="G1002" s="2077"/>
      <c r="H1002" s="2077"/>
      <c r="I1002" s="2077"/>
      <c r="J1002" s="2077"/>
      <c r="K1002" s="2077"/>
      <c r="L1002" s="2077"/>
      <c r="M1002" s="2077"/>
      <c r="N1002" s="2077"/>
      <c r="O1002" s="2077"/>
      <c r="P1002" s="2077"/>
      <c r="Q1002" s="2077"/>
      <c r="R1002" s="2077"/>
      <c r="S1002" s="2077"/>
      <c r="T1002" s="2077"/>
      <c r="U1002" s="2077"/>
      <c r="V1002" s="2077"/>
      <c r="W1002" s="2077"/>
      <c r="X1002" s="2077"/>
      <c r="Y1002" s="2077"/>
      <c r="Z1002" s="2077"/>
      <c r="AA1002" s="2077"/>
      <c r="AB1002" s="2077"/>
      <c r="AC1002" s="2077"/>
      <c r="AD1002" s="2077"/>
      <c r="AE1002" s="2077"/>
      <c r="AF1002" s="2077"/>
      <c r="AG1002" s="2077"/>
      <c r="AH1002" s="2077"/>
      <c r="AI1002" s="2078"/>
      <c r="AJ1002" s="1928">
        <f>SUM(AJ953:AQ1001)</f>
        <v>41428122</v>
      </c>
      <c r="AK1002" s="1929"/>
      <c r="AL1002" s="1929"/>
      <c r="AM1002" s="1929"/>
      <c r="AN1002" s="1929"/>
      <c r="AO1002" s="1929"/>
      <c r="AP1002" s="1929"/>
      <c r="AQ1002" s="1930"/>
      <c r="AR1002" s="804"/>
      <c r="AS1002" s="804"/>
      <c r="AT1002" s="804"/>
      <c r="AU1002" s="804"/>
      <c r="AV1002" s="804"/>
      <c r="AW1002" s="804"/>
      <c r="AX1002" s="804"/>
      <c r="AY1002" s="804"/>
      <c r="AZ1002" s="804"/>
      <c r="BA1002" s="804"/>
      <c r="BB1002" s="804"/>
      <c r="BC1002" s="804"/>
      <c r="BD1002" s="804"/>
      <c r="BE1002" s="804"/>
      <c r="BF1002" s="804"/>
      <c r="BG1002" s="804"/>
      <c r="BH1002" s="804"/>
      <c r="BI1002" s="804"/>
      <c r="BJ1002" s="804"/>
      <c r="BK1002" s="804"/>
      <c r="BL1002" s="804"/>
      <c r="BM1002" s="804"/>
      <c r="BN1002" s="804"/>
      <c r="BO1002" s="804"/>
      <c r="BP1002" s="804"/>
      <c r="BQ1002" s="804"/>
      <c r="BR1002" s="804"/>
      <c r="BS1002" s="804"/>
      <c r="BT1002" s="804"/>
      <c r="BU1002" s="804"/>
      <c r="BV1002" s="804"/>
      <c r="BW1002" s="804"/>
      <c r="BX1002" s="804"/>
      <c r="BY1002" s="804"/>
      <c r="BZ1002" s="804"/>
      <c r="CA1002" s="804"/>
      <c r="CB1002" s="804"/>
      <c r="CC1002" s="804"/>
      <c r="CD1002" s="804"/>
      <c r="CE1002" s="804"/>
      <c r="CF1002" s="804"/>
      <c r="CG1002" s="804"/>
      <c r="CH1002" s="804"/>
      <c r="CI1002" s="804"/>
      <c r="CJ1002" s="804"/>
      <c r="CK1002" s="804"/>
      <c r="CL1002" s="804"/>
      <c r="CM1002" s="804"/>
      <c r="CN1002" s="804"/>
      <c r="CO1002" s="804"/>
      <c r="CP1002" s="804"/>
      <c r="CQ1002" s="804"/>
      <c r="CR1002" s="804"/>
      <c r="CS1002" s="804"/>
    </row>
    <row r="1003" spans="1:97" s="35" customFormat="1" ht="12.75" customHeight="1">
      <c r="A1003" s="771"/>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4"/>
      <c r="AN1003" s="804"/>
      <c r="AO1003" s="804"/>
      <c r="AP1003" s="804"/>
      <c r="AQ1003" s="804"/>
      <c r="AR1003" s="804"/>
      <c r="AS1003" s="804"/>
      <c r="AT1003" s="804"/>
      <c r="AU1003" s="804"/>
      <c r="AV1003" s="804"/>
      <c r="AW1003" s="804"/>
      <c r="AX1003" s="804"/>
      <c r="AY1003" s="804"/>
      <c r="AZ1003" s="804"/>
      <c r="BA1003" s="804"/>
      <c r="BB1003" s="804"/>
      <c r="BC1003" s="804"/>
      <c r="BD1003" s="804"/>
      <c r="BE1003" s="804"/>
      <c r="BF1003" s="804"/>
      <c r="BG1003" s="804"/>
      <c r="BH1003" s="804"/>
      <c r="BI1003" s="804"/>
      <c r="BJ1003" s="804"/>
      <c r="BK1003" s="804"/>
      <c r="BL1003" s="804"/>
      <c r="BM1003" s="804"/>
      <c r="BN1003" s="804"/>
      <c r="BO1003" s="804"/>
      <c r="BP1003" s="804"/>
      <c r="BQ1003" s="804"/>
      <c r="BR1003" s="804"/>
      <c r="BS1003" s="804"/>
      <c r="BT1003" s="804"/>
      <c r="BU1003" s="804"/>
      <c r="BV1003" s="804"/>
      <c r="BW1003" s="804"/>
      <c r="BX1003" s="804"/>
      <c r="BY1003" s="804"/>
      <c r="BZ1003" s="804"/>
      <c r="CA1003" s="804"/>
      <c r="CB1003" s="804"/>
      <c r="CC1003" s="804"/>
      <c r="CD1003" s="804"/>
      <c r="CE1003" s="804"/>
      <c r="CF1003" s="804"/>
      <c r="CG1003" s="804"/>
      <c r="CH1003" s="804"/>
      <c r="CI1003" s="804"/>
      <c r="CJ1003" s="804"/>
      <c r="CK1003" s="804"/>
      <c r="CL1003" s="804"/>
      <c r="CM1003" s="804"/>
      <c r="CN1003" s="804"/>
      <c r="CO1003" s="804"/>
      <c r="CP1003" s="804"/>
      <c r="CQ1003" s="804"/>
      <c r="CR1003" s="804"/>
      <c r="CS1003" s="804"/>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11">
        <f>'Sources and Uses Budget'!S106+'Sources and Uses Budget'!T106</f>
        <v>38498808</v>
      </c>
      <c r="Y1006" s="1911"/>
      <c r="Z1006" s="1911"/>
      <c r="AA1006" s="1911"/>
      <c r="AB1006" s="1911"/>
      <c r="AC1006" s="1911"/>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7">
        <f>X1006/AJ1002</f>
        <v>0.92929165362600796</v>
      </c>
      <c r="Y1007" s="1908"/>
      <c r="Z1007" s="1908"/>
      <c r="AA1007" s="1908"/>
      <c r="AB1007" s="1908"/>
      <c r="AC1007" s="1909"/>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70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6"/>
      <c r="F1008" s="1706"/>
      <c r="G1008" s="1706"/>
      <c r="H1008" s="1706"/>
      <c r="I1008" s="1706"/>
      <c r="J1008" s="1706"/>
      <c r="K1008" s="1706"/>
      <c r="L1008" s="1706"/>
      <c r="M1008" s="1706"/>
      <c r="N1008" s="1706"/>
      <c r="O1008" s="1706"/>
      <c r="P1008" s="1706"/>
      <c r="Q1008" s="1706"/>
      <c r="R1008" s="1706"/>
      <c r="S1008" s="1706"/>
      <c r="T1008" s="1706"/>
      <c r="U1008" s="1706"/>
      <c r="V1008" s="1706"/>
      <c r="W1008" s="1706"/>
      <c r="X1008" s="1706"/>
      <c r="Y1008" s="1706"/>
      <c r="Z1008" s="1706"/>
      <c r="AA1008" s="1706"/>
      <c r="AB1008" s="1706"/>
      <c r="AC1008" s="1706"/>
      <c r="AD1008" s="1706"/>
      <c r="AE1008" s="1706"/>
      <c r="AF1008" s="1706"/>
      <c r="AG1008" s="1706"/>
      <c r="AH1008" s="1706"/>
      <c r="AI1008" s="1706"/>
      <c r="AJ1008" s="1706"/>
      <c r="AK1008" s="170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706"/>
      <c r="E1009" s="1706"/>
      <c r="F1009" s="1706"/>
      <c r="G1009" s="1706"/>
      <c r="H1009" s="1706"/>
      <c r="I1009" s="1706"/>
      <c r="J1009" s="1706"/>
      <c r="K1009" s="1706"/>
      <c r="L1009" s="1706"/>
      <c r="M1009" s="1706"/>
      <c r="N1009" s="1706"/>
      <c r="O1009" s="1706"/>
      <c r="P1009" s="1706"/>
      <c r="Q1009" s="1706"/>
      <c r="R1009" s="1706"/>
      <c r="S1009" s="1706"/>
      <c r="T1009" s="1706"/>
      <c r="U1009" s="1706"/>
      <c r="V1009" s="1706"/>
      <c r="W1009" s="1706"/>
      <c r="X1009" s="1706"/>
      <c r="Y1009" s="1706"/>
      <c r="Z1009" s="1706"/>
      <c r="AA1009" s="1706"/>
      <c r="AB1009" s="1706"/>
      <c r="AC1009" s="1706"/>
      <c r="AD1009" s="1706"/>
      <c r="AE1009" s="1706"/>
      <c r="AF1009" s="1706"/>
      <c r="AG1009" s="1706"/>
      <c r="AH1009" s="1706"/>
      <c r="AI1009" s="1706"/>
      <c r="AJ1009" s="1706"/>
      <c r="AK1009" s="170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706"/>
      <c r="E1010" s="1706"/>
      <c r="F1010" s="1706"/>
      <c r="G1010" s="1706"/>
      <c r="H1010" s="1706"/>
      <c r="I1010" s="1706"/>
      <c r="J1010" s="1706"/>
      <c r="K1010" s="1706"/>
      <c r="L1010" s="1706"/>
      <c r="M1010" s="1706"/>
      <c r="N1010" s="1706"/>
      <c r="O1010" s="1706"/>
      <c r="P1010" s="1706"/>
      <c r="Q1010" s="1706"/>
      <c r="R1010" s="1706"/>
      <c r="S1010" s="1706"/>
      <c r="T1010" s="1706"/>
      <c r="U1010" s="1706"/>
      <c r="V1010" s="1706"/>
      <c r="W1010" s="1706"/>
      <c r="X1010" s="1706"/>
      <c r="Y1010" s="1706"/>
      <c r="Z1010" s="1706"/>
      <c r="AA1010" s="1706"/>
      <c r="AB1010" s="1706"/>
      <c r="AC1010" s="1706"/>
      <c r="AD1010" s="1706"/>
      <c r="AE1010" s="1706"/>
      <c r="AF1010" s="1706"/>
      <c r="AG1010" s="1706"/>
      <c r="AH1010" s="1706"/>
      <c r="AI1010" s="1706"/>
      <c r="AJ1010" s="1706"/>
      <c r="AK1010" s="170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0"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0"/>
      <c r="D1011" s="1910"/>
      <c r="E1011" s="1910"/>
      <c r="F1011" s="1910"/>
      <c r="G1011" s="1910"/>
      <c r="H1011" s="1910"/>
      <c r="I1011" s="1910"/>
      <c r="J1011" s="1910"/>
      <c r="K1011" s="1910"/>
      <c r="L1011" s="1910"/>
      <c r="M1011" s="1910"/>
      <c r="N1011" s="1910"/>
      <c r="O1011" s="1910"/>
      <c r="P1011" s="1910"/>
      <c r="Q1011" s="1910"/>
      <c r="R1011" s="1910"/>
      <c r="S1011" s="1910"/>
      <c r="T1011" s="1910"/>
      <c r="U1011" s="1910"/>
      <c r="V1011" s="1910"/>
      <c r="W1011" s="1910"/>
      <c r="X1011" s="1910"/>
      <c r="Y1011" s="1910"/>
      <c r="Z1011" s="1910"/>
      <c r="AA1011" s="1910"/>
      <c r="AB1011" s="1910"/>
      <c r="AC1011" s="1910"/>
      <c r="AD1011" s="1910"/>
      <c r="AE1011" s="1910"/>
      <c r="AF1011" s="1910"/>
      <c r="AG1011" s="1910"/>
      <c r="AH1011" s="1910"/>
      <c r="AI1011" s="1910"/>
      <c r="AJ1011" s="1910"/>
      <c r="AK1011" s="1910"/>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1"/>
      <c r="B1012" s="1910"/>
      <c r="C1012" s="1910"/>
      <c r="D1012" s="1910"/>
      <c r="E1012" s="1910"/>
      <c r="F1012" s="1910"/>
      <c r="G1012" s="1910"/>
      <c r="H1012" s="1910"/>
      <c r="I1012" s="1910"/>
      <c r="J1012" s="1910"/>
      <c r="K1012" s="1910"/>
      <c r="L1012" s="1910"/>
      <c r="M1012" s="1910"/>
      <c r="N1012" s="1910"/>
      <c r="O1012" s="1910"/>
      <c r="P1012" s="1910"/>
      <c r="Q1012" s="1910"/>
      <c r="R1012" s="1910"/>
      <c r="S1012" s="1910"/>
      <c r="T1012" s="1910"/>
      <c r="U1012" s="1910"/>
      <c r="V1012" s="1910"/>
      <c r="W1012" s="1910"/>
      <c r="X1012" s="1910"/>
      <c r="Y1012" s="1910"/>
      <c r="Z1012" s="1910"/>
      <c r="AA1012" s="1910"/>
      <c r="AB1012" s="1910"/>
      <c r="AC1012" s="1910"/>
      <c r="AD1012" s="1910"/>
      <c r="AE1012" s="1910"/>
      <c r="AF1012" s="1910"/>
      <c r="AG1012" s="1910"/>
      <c r="AH1012" s="1910"/>
      <c r="AI1012" s="1910"/>
      <c r="AJ1012" s="1910"/>
      <c r="AK1012" s="1910"/>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0">
        <f>IF(ISNA(IF((AD975&gt;(AD953*0.15)),"(f) cannot be greater than 15% of unadjusted eligible basis.",0)),"",(IF((AD975&gt;(AD953*0.15)),"(f) cannot be greater than 15% of unadjusted eligible basis.",0)))</f>
        <v>0</v>
      </c>
      <c r="C1013" s="1910"/>
      <c r="D1013" s="1910"/>
      <c r="E1013" s="1910"/>
      <c r="F1013" s="1910"/>
      <c r="G1013" s="1910"/>
      <c r="H1013" s="1910"/>
      <c r="I1013" s="1910"/>
      <c r="J1013" s="1910"/>
      <c r="K1013" s="1910"/>
      <c r="L1013" s="1910"/>
      <c r="M1013" s="1910"/>
      <c r="N1013" s="1910"/>
      <c r="O1013" s="1910"/>
      <c r="P1013" s="1910"/>
      <c r="Q1013" s="1910"/>
      <c r="R1013" s="1910"/>
      <c r="S1013" s="1910"/>
      <c r="T1013" s="1910"/>
      <c r="U1013" s="1910"/>
      <c r="V1013" s="1910"/>
      <c r="W1013" s="1910"/>
      <c r="X1013" s="1910"/>
      <c r="Y1013" s="1910"/>
      <c r="Z1013" s="1910"/>
      <c r="AA1013" s="1910"/>
      <c r="AB1013" s="1910"/>
      <c r="AC1013" s="1910"/>
      <c r="AD1013" s="1910"/>
      <c r="AE1013" s="1910"/>
      <c r="AF1013" s="1910"/>
      <c r="AG1013" s="1910"/>
      <c r="AH1013" s="1910"/>
      <c r="AI1013" s="1910"/>
      <c r="AJ1013" s="1910"/>
      <c r="AK1013" s="1910"/>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7" t="s">
        <v>1093</v>
      </c>
      <c r="B1014" s="1707"/>
      <c r="C1014" s="1707"/>
      <c r="D1014" s="1707"/>
      <c r="E1014" s="1707"/>
      <c r="F1014" s="1707"/>
      <c r="G1014" s="1707"/>
      <c r="H1014" s="1707"/>
      <c r="I1014" s="1707"/>
      <c r="J1014" s="1707"/>
      <c r="K1014" s="1707"/>
      <c r="L1014" s="1707"/>
      <c r="M1014" s="1707"/>
      <c r="N1014" s="1707"/>
      <c r="O1014" s="1707"/>
      <c r="P1014" s="1707"/>
      <c r="Q1014" s="1707"/>
      <c r="R1014" s="1707"/>
      <c r="S1014" s="1707"/>
      <c r="T1014" s="1707"/>
      <c r="U1014" s="1707"/>
      <c r="V1014" s="1707"/>
      <c r="W1014" s="1707"/>
      <c r="X1014" s="1707"/>
      <c r="Y1014" s="1707"/>
      <c r="Z1014" s="1707"/>
      <c r="AA1014" s="1707"/>
      <c r="AB1014" s="1707"/>
      <c r="AC1014" s="1707"/>
      <c r="AD1014" s="1707"/>
      <c r="AE1014" s="1707"/>
      <c r="AF1014" s="1707"/>
      <c r="AG1014" s="1707"/>
      <c r="AH1014" s="1707"/>
      <c r="AI1014" s="1707"/>
      <c r="AJ1014" s="1707"/>
      <c r="AK1014" s="170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6" t="s">
        <v>136</v>
      </c>
      <c r="B1018" s="1696"/>
      <c r="C1018" s="17">
        <v>1</v>
      </c>
      <c r="D1018" s="1616" t="s">
        <v>1704</v>
      </c>
      <c r="E1018" s="1616"/>
      <c r="F1018" s="1616"/>
      <c r="G1018" s="1616"/>
      <c r="H1018" s="1616"/>
      <c r="I1018" s="1616"/>
      <c r="J1018" s="1616"/>
      <c r="K1018" s="1616"/>
      <c r="L1018" s="1616"/>
      <c r="M1018" s="1616"/>
      <c r="N1018" s="1616"/>
      <c r="O1018" s="1616"/>
      <c r="P1018" s="1616"/>
      <c r="Q1018" s="1616"/>
      <c r="R1018" s="1616"/>
      <c r="S1018" s="1616"/>
      <c r="T1018" s="1616"/>
      <c r="U1018" s="1616"/>
      <c r="V1018" s="1616"/>
      <c r="W1018" s="1616"/>
      <c r="X1018" s="1616"/>
      <c r="Y1018" s="1616"/>
      <c r="Z1018" s="1616"/>
      <c r="AA1018" s="1616"/>
      <c r="AB1018" s="1616"/>
      <c r="AC1018" s="1616"/>
      <c r="AD1018" s="1616"/>
      <c r="AE1018" s="1616"/>
      <c r="AF1018" s="1616"/>
      <c r="AG1018" s="1616"/>
      <c r="AH1018" s="1616"/>
      <c r="AI1018" s="1616"/>
      <c r="AJ1018" s="1616"/>
      <c r="AK1018" s="161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6"/>
      <c r="E1019" s="1616"/>
      <c r="F1019" s="1616"/>
      <c r="G1019" s="1616"/>
      <c r="H1019" s="1616"/>
      <c r="I1019" s="1616"/>
      <c r="J1019" s="1616"/>
      <c r="K1019" s="1616"/>
      <c r="L1019" s="1616"/>
      <c r="M1019" s="1616"/>
      <c r="N1019" s="1616"/>
      <c r="O1019" s="1616"/>
      <c r="P1019" s="1616"/>
      <c r="Q1019" s="1616"/>
      <c r="R1019" s="1616"/>
      <c r="S1019" s="1616"/>
      <c r="T1019" s="1616"/>
      <c r="U1019" s="1616"/>
      <c r="V1019" s="1616"/>
      <c r="W1019" s="1616"/>
      <c r="X1019" s="1616"/>
      <c r="Y1019" s="1616"/>
      <c r="Z1019" s="1616"/>
      <c r="AA1019" s="1616"/>
      <c r="AB1019" s="1616"/>
      <c r="AC1019" s="1616"/>
      <c r="AD1019" s="1616"/>
      <c r="AE1019" s="1616"/>
      <c r="AF1019" s="1616"/>
      <c r="AG1019" s="1616"/>
      <c r="AH1019" s="1616"/>
      <c r="AI1019" s="1616"/>
      <c r="AJ1019" s="1616"/>
      <c r="AK1019" s="161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16"/>
      <c r="E1020" s="1616"/>
      <c r="F1020" s="1616"/>
      <c r="G1020" s="1616"/>
      <c r="H1020" s="1616"/>
      <c r="I1020" s="1616"/>
      <c r="J1020" s="1616"/>
      <c r="K1020" s="1616"/>
      <c r="L1020" s="1616"/>
      <c r="M1020" s="1616"/>
      <c r="N1020" s="1616"/>
      <c r="O1020" s="1616"/>
      <c r="P1020" s="1616"/>
      <c r="Q1020" s="1616"/>
      <c r="R1020" s="1616"/>
      <c r="S1020" s="1616"/>
      <c r="T1020" s="1616"/>
      <c r="U1020" s="1616"/>
      <c r="V1020" s="1616"/>
      <c r="W1020" s="1616"/>
      <c r="X1020" s="1616"/>
      <c r="Y1020" s="1616"/>
      <c r="Z1020" s="1616"/>
      <c r="AA1020" s="1616"/>
      <c r="AB1020" s="1616"/>
      <c r="AC1020" s="1616"/>
      <c r="AD1020" s="1616"/>
      <c r="AE1020" s="1616"/>
      <c r="AF1020" s="1616"/>
      <c r="AG1020" s="1616"/>
      <c r="AH1020" s="1616"/>
      <c r="AI1020" s="1616"/>
      <c r="AJ1020" s="1616"/>
      <c r="AK1020" s="1616"/>
      <c r="AL1020" s="16"/>
      <c r="AM1020" s="66"/>
      <c r="AN1020" s="66"/>
      <c r="AO1020" s="30"/>
      <c r="AP1020" s="30"/>
      <c r="AQ1020" s="30"/>
      <c r="AR1020" s="30"/>
      <c r="AS1020" s="30"/>
      <c r="AT1020" s="1747"/>
      <c r="AU1020" s="1747"/>
      <c r="AV1020" s="1747"/>
      <c r="AW1020" s="1747"/>
      <c r="AX1020" s="1747"/>
      <c r="AY1020" s="174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95" customHeight="1">
      <c r="A1021" s="390"/>
      <c r="B1021" s="390"/>
      <c r="C1021" s="17"/>
      <c r="D1021" s="1616"/>
      <c r="E1021" s="1616"/>
      <c r="F1021" s="1616"/>
      <c r="G1021" s="1616"/>
      <c r="H1021" s="1616"/>
      <c r="I1021" s="1616"/>
      <c r="J1021" s="1616"/>
      <c r="K1021" s="1616"/>
      <c r="L1021" s="1616"/>
      <c r="M1021" s="1616"/>
      <c r="N1021" s="1616"/>
      <c r="O1021" s="1616"/>
      <c r="P1021" s="1616"/>
      <c r="Q1021" s="1616"/>
      <c r="R1021" s="1616"/>
      <c r="S1021" s="1616"/>
      <c r="T1021" s="1616"/>
      <c r="U1021" s="1616"/>
      <c r="V1021" s="1616"/>
      <c r="W1021" s="1616"/>
      <c r="X1021" s="1616"/>
      <c r="Y1021" s="1616"/>
      <c r="Z1021" s="1616"/>
      <c r="AA1021" s="1616"/>
      <c r="AB1021" s="1616"/>
      <c r="AC1021" s="1616"/>
      <c r="AD1021" s="1616"/>
      <c r="AE1021" s="1616"/>
      <c r="AF1021" s="1616"/>
      <c r="AG1021" s="1616"/>
      <c r="AH1021" s="1616"/>
      <c r="AI1021" s="1616"/>
      <c r="AJ1021" s="1616"/>
      <c r="AK1021" s="161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16"/>
      <c r="E1022" s="1616"/>
      <c r="F1022" s="1616"/>
      <c r="G1022" s="1616"/>
      <c r="H1022" s="1616"/>
      <c r="I1022" s="1616"/>
      <c r="J1022" s="1616"/>
      <c r="K1022" s="1616"/>
      <c r="L1022" s="1616"/>
      <c r="M1022" s="1616"/>
      <c r="N1022" s="1616"/>
      <c r="O1022" s="1616"/>
      <c r="P1022" s="1616"/>
      <c r="Q1022" s="1616"/>
      <c r="R1022" s="1616"/>
      <c r="S1022" s="1616"/>
      <c r="T1022" s="1616"/>
      <c r="U1022" s="1616"/>
      <c r="V1022" s="1616"/>
      <c r="W1022" s="1616"/>
      <c r="X1022" s="1616"/>
      <c r="Y1022" s="1616"/>
      <c r="Z1022" s="1616"/>
      <c r="AA1022" s="1616"/>
      <c r="AB1022" s="1616"/>
      <c r="AC1022" s="1616"/>
      <c r="AD1022" s="1616"/>
      <c r="AE1022" s="1616"/>
      <c r="AF1022" s="1616"/>
      <c r="AG1022" s="1616"/>
      <c r="AH1022" s="1616"/>
      <c r="AI1022" s="1616"/>
      <c r="AJ1022" s="1616"/>
      <c r="AK1022" s="161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16"/>
      <c r="E1023" s="1616"/>
      <c r="F1023" s="1616"/>
      <c r="G1023" s="1616"/>
      <c r="H1023" s="1616"/>
      <c r="I1023" s="1616"/>
      <c r="J1023" s="1616"/>
      <c r="K1023" s="1616"/>
      <c r="L1023" s="1616"/>
      <c r="M1023" s="1616"/>
      <c r="N1023" s="1616"/>
      <c r="O1023" s="1616"/>
      <c r="P1023" s="1616"/>
      <c r="Q1023" s="1616"/>
      <c r="R1023" s="1616"/>
      <c r="S1023" s="1616"/>
      <c r="T1023" s="1616"/>
      <c r="U1023" s="1616"/>
      <c r="V1023" s="1616"/>
      <c r="W1023" s="1616"/>
      <c r="X1023" s="1616"/>
      <c r="Y1023" s="1616"/>
      <c r="Z1023" s="1616"/>
      <c r="AA1023" s="1616"/>
      <c r="AB1023" s="1616"/>
      <c r="AC1023" s="1616"/>
      <c r="AD1023" s="1616"/>
      <c r="AE1023" s="1616"/>
      <c r="AF1023" s="1616"/>
      <c r="AG1023" s="1616"/>
      <c r="AH1023" s="1616"/>
      <c r="AI1023" s="1616"/>
      <c r="AJ1023" s="1616"/>
      <c r="AK1023" s="161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96" t="s">
        <v>136</v>
      </c>
      <c r="B1024" s="1696"/>
      <c r="C1024" s="17">
        <v>2</v>
      </c>
      <c r="D1024" s="1615" t="s">
        <v>1705</v>
      </c>
      <c r="E1024" s="1616"/>
      <c r="F1024" s="1616"/>
      <c r="G1024" s="1616"/>
      <c r="H1024" s="1616"/>
      <c r="I1024" s="1616"/>
      <c r="J1024" s="1616"/>
      <c r="K1024" s="1616"/>
      <c r="L1024" s="1616"/>
      <c r="M1024" s="1616"/>
      <c r="N1024" s="1616"/>
      <c r="O1024" s="1616"/>
      <c r="P1024" s="1616"/>
      <c r="Q1024" s="1616"/>
      <c r="R1024" s="1616"/>
      <c r="S1024" s="1616"/>
      <c r="T1024" s="1616"/>
      <c r="U1024" s="1616"/>
      <c r="V1024" s="1616"/>
      <c r="W1024" s="1616"/>
      <c r="X1024" s="1616"/>
      <c r="Y1024" s="1616"/>
      <c r="Z1024" s="1616"/>
      <c r="AA1024" s="1616"/>
      <c r="AB1024" s="1616"/>
      <c r="AC1024" s="1616"/>
      <c r="AD1024" s="1616"/>
      <c r="AE1024" s="1616"/>
      <c r="AF1024" s="1616"/>
      <c r="AG1024" s="1616"/>
      <c r="AH1024" s="1616"/>
      <c r="AI1024" s="1616"/>
      <c r="AJ1024" s="1616"/>
      <c r="AK1024" s="161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16"/>
      <c r="E1025" s="1616"/>
      <c r="F1025" s="1616"/>
      <c r="G1025" s="1616"/>
      <c r="H1025" s="1616"/>
      <c r="I1025" s="1616"/>
      <c r="J1025" s="1616"/>
      <c r="K1025" s="1616"/>
      <c r="L1025" s="1616"/>
      <c r="M1025" s="1616"/>
      <c r="N1025" s="1616"/>
      <c r="O1025" s="1616"/>
      <c r="P1025" s="1616"/>
      <c r="Q1025" s="1616"/>
      <c r="R1025" s="1616"/>
      <c r="S1025" s="1616"/>
      <c r="T1025" s="1616"/>
      <c r="U1025" s="1616"/>
      <c r="V1025" s="1616"/>
      <c r="W1025" s="1616"/>
      <c r="X1025" s="1616"/>
      <c r="Y1025" s="1616"/>
      <c r="Z1025" s="1616"/>
      <c r="AA1025" s="1616"/>
      <c r="AB1025" s="1616"/>
      <c r="AC1025" s="1616"/>
      <c r="AD1025" s="1616"/>
      <c r="AE1025" s="1616"/>
      <c r="AF1025" s="1616"/>
      <c r="AG1025" s="1616"/>
      <c r="AH1025" s="1616"/>
      <c r="AI1025" s="1616"/>
      <c r="AJ1025" s="1616"/>
      <c r="AK1025" s="161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16"/>
      <c r="E1026" s="1616"/>
      <c r="F1026" s="1616"/>
      <c r="G1026" s="1616"/>
      <c r="H1026" s="1616"/>
      <c r="I1026" s="1616"/>
      <c r="J1026" s="1616"/>
      <c r="K1026" s="1616"/>
      <c r="L1026" s="1616"/>
      <c r="M1026" s="1616"/>
      <c r="N1026" s="1616"/>
      <c r="O1026" s="1616"/>
      <c r="P1026" s="1616"/>
      <c r="Q1026" s="1616"/>
      <c r="R1026" s="1616"/>
      <c r="S1026" s="1616"/>
      <c r="T1026" s="1616"/>
      <c r="U1026" s="1616"/>
      <c r="V1026" s="1616"/>
      <c r="W1026" s="1616"/>
      <c r="X1026" s="1616"/>
      <c r="Y1026" s="1616"/>
      <c r="Z1026" s="1616"/>
      <c r="AA1026" s="1616"/>
      <c r="AB1026" s="1616"/>
      <c r="AC1026" s="1616"/>
      <c r="AD1026" s="1616"/>
      <c r="AE1026" s="1616"/>
      <c r="AF1026" s="1616"/>
      <c r="AG1026" s="1616"/>
      <c r="AH1026" s="1616"/>
      <c r="AI1026" s="1616"/>
      <c r="AJ1026" s="1616"/>
      <c r="AK1026" s="161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95" customHeight="1">
      <c r="A1027" s="390"/>
      <c r="B1027" s="390"/>
      <c r="C1027" s="17"/>
      <c r="D1027" s="1616"/>
      <c r="E1027" s="1616"/>
      <c r="F1027" s="1616"/>
      <c r="G1027" s="1616"/>
      <c r="H1027" s="1616"/>
      <c r="I1027" s="1616"/>
      <c r="J1027" s="1616"/>
      <c r="K1027" s="1616"/>
      <c r="L1027" s="1616"/>
      <c r="M1027" s="1616"/>
      <c r="N1027" s="1616"/>
      <c r="O1027" s="1616"/>
      <c r="P1027" s="1616"/>
      <c r="Q1027" s="1616"/>
      <c r="R1027" s="1616"/>
      <c r="S1027" s="1616"/>
      <c r="T1027" s="1616"/>
      <c r="U1027" s="1616"/>
      <c r="V1027" s="1616"/>
      <c r="W1027" s="1616"/>
      <c r="X1027" s="1616"/>
      <c r="Y1027" s="1616"/>
      <c r="Z1027" s="1616"/>
      <c r="AA1027" s="1616"/>
      <c r="AB1027" s="1616"/>
      <c r="AC1027" s="1616"/>
      <c r="AD1027" s="1616"/>
      <c r="AE1027" s="1616"/>
      <c r="AF1027" s="1616"/>
      <c r="AG1027" s="1616"/>
      <c r="AH1027" s="1616"/>
      <c r="AI1027" s="1616"/>
      <c r="AJ1027" s="1616"/>
      <c r="AK1027" s="161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16"/>
      <c r="E1028" s="1616"/>
      <c r="F1028" s="1616"/>
      <c r="G1028" s="1616"/>
      <c r="H1028" s="1616"/>
      <c r="I1028" s="1616"/>
      <c r="J1028" s="1616"/>
      <c r="K1028" s="1616"/>
      <c r="L1028" s="1616"/>
      <c r="M1028" s="1616"/>
      <c r="N1028" s="1616"/>
      <c r="O1028" s="1616"/>
      <c r="P1028" s="1616"/>
      <c r="Q1028" s="1616"/>
      <c r="R1028" s="1616"/>
      <c r="S1028" s="1616"/>
      <c r="T1028" s="1616"/>
      <c r="U1028" s="1616"/>
      <c r="V1028" s="1616"/>
      <c r="W1028" s="1616"/>
      <c r="X1028" s="1616"/>
      <c r="Y1028" s="1616"/>
      <c r="Z1028" s="1616"/>
      <c r="AA1028" s="1616"/>
      <c r="AB1028" s="1616"/>
      <c r="AC1028" s="1616"/>
      <c r="AD1028" s="1616"/>
      <c r="AE1028" s="1616"/>
      <c r="AF1028" s="1616"/>
      <c r="AG1028" s="1616"/>
      <c r="AH1028" s="1616"/>
      <c r="AI1028" s="1616"/>
      <c r="AJ1028" s="1616"/>
      <c r="AK1028" s="161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6"/>
      <c r="E1029" s="1616"/>
      <c r="F1029" s="1616"/>
      <c r="G1029" s="1616"/>
      <c r="H1029" s="1616"/>
      <c r="I1029" s="1616"/>
      <c r="J1029" s="1616"/>
      <c r="K1029" s="1616"/>
      <c r="L1029" s="1616"/>
      <c r="M1029" s="1616"/>
      <c r="N1029" s="1616"/>
      <c r="O1029" s="1616"/>
      <c r="P1029" s="1616"/>
      <c r="Q1029" s="1616"/>
      <c r="R1029" s="1616"/>
      <c r="S1029" s="1616"/>
      <c r="T1029" s="1616"/>
      <c r="U1029" s="1616"/>
      <c r="V1029" s="1616"/>
      <c r="W1029" s="1616"/>
      <c r="X1029" s="1616"/>
      <c r="Y1029" s="1616"/>
      <c r="Z1029" s="1616"/>
      <c r="AA1029" s="1616"/>
      <c r="AB1029" s="1616"/>
      <c r="AC1029" s="1616"/>
      <c r="AD1029" s="1616"/>
      <c r="AE1029" s="1616"/>
      <c r="AF1029" s="1616"/>
      <c r="AG1029" s="1616"/>
      <c r="AH1029" s="1616"/>
      <c r="AI1029" s="1616"/>
      <c r="AJ1029" s="1616"/>
      <c r="AK1029" s="161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6" t="s">
        <v>136</v>
      </c>
      <c r="B1030" s="1696"/>
      <c r="C1030" s="17">
        <v>3</v>
      </c>
      <c r="D1030" s="1615" t="s">
        <v>2361</v>
      </c>
      <c r="E1030" s="1616"/>
      <c r="F1030" s="1616"/>
      <c r="G1030" s="1616"/>
      <c r="H1030" s="1616"/>
      <c r="I1030" s="1616"/>
      <c r="J1030" s="1616"/>
      <c r="K1030" s="1616"/>
      <c r="L1030" s="1616"/>
      <c r="M1030" s="1616"/>
      <c r="N1030" s="1616"/>
      <c r="O1030" s="1616"/>
      <c r="P1030" s="1616"/>
      <c r="Q1030" s="1616"/>
      <c r="R1030" s="1616"/>
      <c r="S1030" s="1616"/>
      <c r="T1030" s="1616"/>
      <c r="U1030" s="1616"/>
      <c r="V1030" s="1616"/>
      <c r="W1030" s="1616"/>
      <c r="X1030" s="1616"/>
      <c r="Y1030" s="1616"/>
      <c r="Z1030" s="1616"/>
      <c r="AA1030" s="1616"/>
      <c r="AB1030" s="1616"/>
      <c r="AC1030" s="1616"/>
      <c r="AD1030" s="1616"/>
      <c r="AE1030" s="1616"/>
      <c r="AF1030" s="1616"/>
      <c r="AG1030" s="1616"/>
      <c r="AH1030" s="1616"/>
      <c r="AI1030" s="1616"/>
      <c r="AJ1030" s="1616"/>
      <c r="AK1030" s="161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6"/>
      <c r="E1031" s="1616"/>
      <c r="F1031" s="1616"/>
      <c r="G1031" s="1616"/>
      <c r="H1031" s="1616"/>
      <c r="I1031" s="1616"/>
      <c r="J1031" s="1616"/>
      <c r="K1031" s="1616"/>
      <c r="L1031" s="1616"/>
      <c r="M1031" s="1616"/>
      <c r="N1031" s="1616"/>
      <c r="O1031" s="1616"/>
      <c r="P1031" s="1616"/>
      <c r="Q1031" s="1616"/>
      <c r="R1031" s="1616"/>
      <c r="S1031" s="1616"/>
      <c r="T1031" s="1616"/>
      <c r="U1031" s="1616"/>
      <c r="V1031" s="1616"/>
      <c r="W1031" s="1616"/>
      <c r="X1031" s="1616"/>
      <c r="Y1031" s="1616"/>
      <c r="Z1031" s="1616"/>
      <c r="AA1031" s="1616"/>
      <c r="AB1031" s="1616"/>
      <c r="AC1031" s="1616"/>
      <c r="AD1031" s="1616"/>
      <c r="AE1031" s="1616"/>
      <c r="AF1031" s="1616"/>
      <c r="AG1031" s="1616"/>
      <c r="AH1031" s="1616"/>
      <c r="AI1031" s="1616"/>
      <c r="AJ1031" s="1616"/>
      <c r="AK1031" s="161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6"/>
      <c r="E1032" s="1616"/>
      <c r="F1032" s="1616"/>
      <c r="G1032" s="1616"/>
      <c r="H1032" s="1616"/>
      <c r="I1032" s="1616"/>
      <c r="J1032" s="1616"/>
      <c r="K1032" s="1616"/>
      <c r="L1032" s="1616"/>
      <c r="M1032" s="1616"/>
      <c r="N1032" s="1616"/>
      <c r="O1032" s="1616"/>
      <c r="P1032" s="1616"/>
      <c r="Q1032" s="1616"/>
      <c r="R1032" s="1616"/>
      <c r="S1032" s="1616"/>
      <c r="T1032" s="1616"/>
      <c r="U1032" s="1616"/>
      <c r="V1032" s="1616"/>
      <c r="W1032" s="1616"/>
      <c r="X1032" s="1616"/>
      <c r="Y1032" s="1616"/>
      <c r="Z1032" s="1616"/>
      <c r="AA1032" s="1616"/>
      <c r="AB1032" s="1616"/>
      <c r="AC1032" s="1616"/>
      <c r="AD1032" s="1616"/>
      <c r="AE1032" s="1616"/>
      <c r="AF1032" s="1616"/>
      <c r="AG1032" s="1616"/>
      <c r="AH1032" s="1616"/>
      <c r="AI1032" s="1616"/>
      <c r="AJ1032" s="1616"/>
      <c r="AK1032" s="161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6"/>
      <c r="E1033" s="1616"/>
      <c r="F1033" s="1616"/>
      <c r="G1033" s="1616"/>
      <c r="H1033" s="1616"/>
      <c r="I1033" s="1616"/>
      <c r="J1033" s="1616"/>
      <c r="K1033" s="1616"/>
      <c r="L1033" s="1616"/>
      <c r="M1033" s="1616"/>
      <c r="N1033" s="1616"/>
      <c r="O1033" s="1616"/>
      <c r="P1033" s="1616"/>
      <c r="Q1033" s="1616"/>
      <c r="R1033" s="1616"/>
      <c r="S1033" s="1616"/>
      <c r="T1033" s="1616"/>
      <c r="U1033" s="1616"/>
      <c r="V1033" s="1616"/>
      <c r="W1033" s="1616"/>
      <c r="X1033" s="1616"/>
      <c r="Y1033" s="1616"/>
      <c r="Z1033" s="1616"/>
      <c r="AA1033" s="1616"/>
      <c r="AB1033" s="1616"/>
      <c r="AC1033" s="1616"/>
      <c r="AD1033" s="1616"/>
      <c r="AE1033" s="1616"/>
      <c r="AF1033" s="1616"/>
      <c r="AG1033" s="1616"/>
      <c r="AH1033" s="1616"/>
      <c r="AI1033" s="1616"/>
      <c r="AJ1033" s="1616"/>
      <c r="AK1033" s="161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6"/>
      <c r="E1034" s="1616"/>
      <c r="F1034" s="1616"/>
      <c r="G1034" s="1616"/>
      <c r="H1034" s="1616"/>
      <c r="I1034" s="1616"/>
      <c r="J1034" s="1616"/>
      <c r="K1034" s="1616"/>
      <c r="L1034" s="1616"/>
      <c r="M1034" s="1616"/>
      <c r="N1034" s="1616"/>
      <c r="O1034" s="1616"/>
      <c r="P1034" s="1616"/>
      <c r="Q1034" s="1616"/>
      <c r="R1034" s="1616"/>
      <c r="S1034" s="1616"/>
      <c r="T1034" s="1616"/>
      <c r="U1034" s="1616"/>
      <c r="V1034" s="1616"/>
      <c r="W1034" s="1616"/>
      <c r="X1034" s="1616"/>
      <c r="Y1034" s="1616"/>
      <c r="Z1034" s="1616"/>
      <c r="AA1034" s="1616"/>
      <c r="AB1034" s="1616"/>
      <c r="AC1034" s="1616"/>
      <c r="AD1034" s="1616"/>
      <c r="AE1034" s="1616"/>
      <c r="AF1034" s="1616"/>
      <c r="AG1034" s="1616"/>
      <c r="AH1034" s="1616"/>
      <c r="AI1034" s="1616"/>
      <c r="AJ1034" s="1616"/>
      <c r="AK1034" s="161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6"/>
      <c r="E1035" s="1616"/>
      <c r="F1035" s="1616"/>
      <c r="G1035" s="1616"/>
      <c r="H1035" s="1616"/>
      <c r="I1035" s="1616"/>
      <c r="J1035" s="1616"/>
      <c r="K1035" s="1616"/>
      <c r="L1035" s="1616"/>
      <c r="M1035" s="1616"/>
      <c r="N1035" s="1616"/>
      <c r="O1035" s="1616"/>
      <c r="P1035" s="1616"/>
      <c r="Q1035" s="1616"/>
      <c r="R1035" s="1616"/>
      <c r="S1035" s="1616"/>
      <c r="T1035" s="1616"/>
      <c r="U1035" s="1616"/>
      <c r="V1035" s="1616"/>
      <c r="W1035" s="1616"/>
      <c r="X1035" s="1616"/>
      <c r="Y1035" s="1616"/>
      <c r="Z1035" s="1616"/>
      <c r="AA1035" s="1616"/>
      <c r="AB1035" s="1616"/>
      <c r="AC1035" s="1616"/>
      <c r="AD1035" s="1616"/>
      <c r="AE1035" s="1616"/>
      <c r="AF1035" s="1616"/>
      <c r="AG1035" s="1616"/>
      <c r="AH1035" s="1616"/>
      <c r="AI1035" s="1616"/>
      <c r="AJ1035" s="1616"/>
      <c r="AK1035" s="161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6" t="s">
        <v>136</v>
      </c>
      <c r="B1036" s="1696"/>
      <c r="C1036" s="17">
        <v>4</v>
      </c>
      <c r="D1036" s="1615" t="s">
        <v>2352</v>
      </c>
      <c r="E1036" s="1616"/>
      <c r="F1036" s="1616"/>
      <c r="G1036" s="1616"/>
      <c r="H1036" s="1616"/>
      <c r="I1036" s="1616"/>
      <c r="J1036" s="1616"/>
      <c r="K1036" s="1616"/>
      <c r="L1036" s="1616"/>
      <c r="M1036" s="1616"/>
      <c r="N1036" s="1616"/>
      <c r="O1036" s="1616"/>
      <c r="P1036" s="1616"/>
      <c r="Q1036" s="1616"/>
      <c r="R1036" s="1616"/>
      <c r="S1036" s="1616"/>
      <c r="T1036" s="1616"/>
      <c r="U1036" s="1616"/>
      <c r="V1036" s="1616"/>
      <c r="W1036" s="1616"/>
      <c r="X1036" s="1616"/>
      <c r="Y1036" s="1616"/>
      <c r="Z1036" s="1616"/>
      <c r="AA1036" s="1616"/>
      <c r="AB1036" s="1616"/>
      <c r="AC1036" s="1616"/>
      <c r="AD1036" s="1616"/>
      <c r="AE1036" s="1616"/>
      <c r="AF1036" s="1616"/>
      <c r="AG1036" s="1616"/>
      <c r="AH1036" s="1616"/>
      <c r="AI1036" s="1616"/>
      <c r="AJ1036" s="1616"/>
      <c r="AK1036" s="161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6"/>
      <c r="E1037" s="1616"/>
      <c r="F1037" s="1616"/>
      <c r="G1037" s="1616"/>
      <c r="H1037" s="1616"/>
      <c r="I1037" s="1616"/>
      <c r="J1037" s="1616"/>
      <c r="K1037" s="1616"/>
      <c r="L1037" s="1616"/>
      <c r="M1037" s="1616"/>
      <c r="N1037" s="1616"/>
      <c r="O1037" s="1616"/>
      <c r="P1037" s="1616"/>
      <c r="Q1037" s="1616"/>
      <c r="R1037" s="1616"/>
      <c r="S1037" s="1616"/>
      <c r="T1037" s="1616"/>
      <c r="U1037" s="1616"/>
      <c r="V1037" s="1616"/>
      <c r="W1037" s="1616"/>
      <c r="X1037" s="1616"/>
      <c r="Y1037" s="1616"/>
      <c r="Z1037" s="1616"/>
      <c r="AA1037" s="1616"/>
      <c r="AB1037" s="1616"/>
      <c r="AC1037" s="1616"/>
      <c r="AD1037" s="1616"/>
      <c r="AE1037" s="1616"/>
      <c r="AF1037" s="1616"/>
      <c r="AG1037" s="1616"/>
      <c r="AH1037" s="1616"/>
      <c r="AI1037" s="1616"/>
      <c r="AJ1037" s="1616"/>
      <c r="AK1037" s="161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6"/>
      <c r="E1038" s="1616"/>
      <c r="F1038" s="1616"/>
      <c r="G1038" s="1616"/>
      <c r="H1038" s="1616"/>
      <c r="I1038" s="1616"/>
      <c r="J1038" s="1616"/>
      <c r="K1038" s="1616"/>
      <c r="L1038" s="1616"/>
      <c r="M1038" s="1616"/>
      <c r="N1038" s="1616"/>
      <c r="O1038" s="1616"/>
      <c r="P1038" s="1616"/>
      <c r="Q1038" s="1616"/>
      <c r="R1038" s="1616"/>
      <c r="S1038" s="1616"/>
      <c r="T1038" s="1616"/>
      <c r="U1038" s="1616"/>
      <c r="V1038" s="1616"/>
      <c r="W1038" s="1616"/>
      <c r="X1038" s="1616"/>
      <c r="Y1038" s="1616"/>
      <c r="Z1038" s="1616"/>
      <c r="AA1038" s="1616"/>
      <c r="AB1038" s="1616"/>
      <c r="AC1038" s="1616"/>
      <c r="AD1038" s="1616"/>
      <c r="AE1038" s="1616"/>
      <c r="AF1038" s="1616"/>
      <c r="AG1038" s="1616"/>
      <c r="AH1038" s="1616"/>
      <c r="AI1038" s="1616"/>
      <c r="AJ1038" s="1616"/>
      <c r="AK1038" s="161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96" t="s">
        <v>136</v>
      </c>
      <c r="B1039" s="1696"/>
      <c r="C1039" s="17">
        <v>5</v>
      </c>
      <c r="D1039" s="1615" t="s">
        <v>1939</v>
      </c>
      <c r="E1039" s="1616"/>
      <c r="F1039" s="1616"/>
      <c r="G1039" s="1616"/>
      <c r="H1039" s="1616"/>
      <c r="I1039" s="1616"/>
      <c r="J1039" s="1616"/>
      <c r="K1039" s="1616"/>
      <c r="L1039" s="1616"/>
      <c r="M1039" s="1616"/>
      <c r="N1039" s="1616"/>
      <c r="O1039" s="1616"/>
      <c r="P1039" s="1616"/>
      <c r="Q1039" s="1616"/>
      <c r="R1039" s="1616"/>
      <c r="S1039" s="1616"/>
      <c r="T1039" s="1616"/>
      <c r="U1039" s="1616"/>
      <c r="V1039" s="1616"/>
      <c r="W1039" s="1616"/>
      <c r="X1039" s="1616"/>
      <c r="Y1039" s="1616"/>
      <c r="Z1039" s="1616"/>
      <c r="AA1039" s="1616"/>
      <c r="AB1039" s="1616"/>
      <c r="AC1039" s="1616"/>
      <c r="AD1039" s="1616"/>
      <c r="AE1039" s="1616"/>
      <c r="AF1039" s="1616"/>
      <c r="AG1039" s="1616"/>
      <c r="AH1039" s="1616"/>
      <c r="AI1039" s="1616"/>
      <c r="AJ1039" s="1616"/>
      <c r="AK1039" s="161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16"/>
      <c r="E1040" s="1616"/>
      <c r="F1040" s="1616"/>
      <c r="G1040" s="1616"/>
      <c r="H1040" s="1616"/>
      <c r="I1040" s="1616"/>
      <c r="J1040" s="1616"/>
      <c r="K1040" s="1616"/>
      <c r="L1040" s="1616"/>
      <c r="M1040" s="1616"/>
      <c r="N1040" s="1616"/>
      <c r="O1040" s="1616"/>
      <c r="P1040" s="1616"/>
      <c r="Q1040" s="1616"/>
      <c r="R1040" s="1616"/>
      <c r="S1040" s="1616"/>
      <c r="T1040" s="1616"/>
      <c r="U1040" s="1616"/>
      <c r="V1040" s="1616"/>
      <c r="W1040" s="1616"/>
      <c r="X1040" s="1616"/>
      <c r="Y1040" s="1616"/>
      <c r="Z1040" s="1616"/>
      <c r="AA1040" s="1616"/>
      <c r="AB1040" s="1616"/>
      <c r="AC1040" s="1616"/>
      <c r="AD1040" s="1616"/>
      <c r="AE1040" s="1616"/>
      <c r="AF1040" s="1616"/>
      <c r="AG1040" s="1616"/>
      <c r="AH1040" s="1616"/>
      <c r="AI1040" s="1616"/>
      <c r="AJ1040" s="1616"/>
      <c r="AK1040" s="161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6"/>
      <c r="E1041" s="1616"/>
      <c r="F1041" s="1616"/>
      <c r="G1041" s="1616"/>
      <c r="H1041" s="1616"/>
      <c r="I1041" s="1616"/>
      <c r="J1041" s="1616"/>
      <c r="K1041" s="1616"/>
      <c r="L1041" s="1616"/>
      <c r="M1041" s="1616"/>
      <c r="N1041" s="1616"/>
      <c r="O1041" s="1616"/>
      <c r="P1041" s="1616"/>
      <c r="Q1041" s="1616"/>
      <c r="R1041" s="1616"/>
      <c r="S1041" s="1616"/>
      <c r="T1041" s="1616"/>
      <c r="U1041" s="1616"/>
      <c r="V1041" s="1616"/>
      <c r="W1041" s="1616"/>
      <c r="X1041" s="1616"/>
      <c r="Y1041" s="1616"/>
      <c r="Z1041" s="1616"/>
      <c r="AA1041" s="1616"/>
      <c r="AB1041" s="1616"/>
      <c r="AC1041" s="1616"/>
      <c r="AD1041" s="1616"/>
      <c r="AE1041" s="1616"/>
      <c r="AF1041" s="1616"/>
      <c r="AG1041" s="1616"/>
      <c r="AH1041" s="1616"/>
      <c r="AI1041" s="1616"/>
      <c r="AJ1041" s="1616"/>
      <c r="AK1041" s="161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6"/>
      <c r="E1042" s="1616"/>
      <c r="F1042" s="1616"/>
      <c r="G1042" s="1616"/>
      <c r="H1042" s="1616"/>
      <c r="I1042" s="1616"/>
      <c r="J1042" s="1616"/>
      <c r="K1042" s="1616"/>
      <c r="L1042" s="1616"/>
      <c r="M1042" s="1616"/>
      <c r="N1042" s="1616"/>
      <c r="O1042" s="1616"/>
      <c r="P1042" s="1616"/>
      <c r="Q1042" s="1616"/>
      <c r="R1042" s="1616"/>
      <c r="S1042" s="1616"/>
      <c r="T1042" s="1616"/>
      <c r="U1042" s="1616"/>
      <c r="V1042" s="1616"/>
      <c r="W1042" s="1616"/>
      <c r="X1042" s="1616"/>
      <c r="Y1042" s="1616"/>
      <c r="Z1042" s="1616"/>
      <c r="AA1042" s="1616"/>
      <c r="AB1042" s="1616"/>
      <c r="AC1042" s="1616"/>
      <c r="AD1042" s="1616"/>
      <c r="AE1042" s="1616"/>
      <c r="AF1042" s="1616"/>
      <c r="AG1042" s="1616"/>
      <c r="AH1042" s="1616"/>
      <c r="AI1042" s="1616"/>
      <c r="AJ1042" s="1616"/>
      <c r="AK1042" s="161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6"/>
      <c r="E1043" s="1616"/>
      <c r="F1043" s="1616"/>
      <c r="G1043" s="1616"/>
      <c r="H1043" s="1616"/>
      <c r="I1043" s="1616"/>
      <c r="J1043" s="1616"/>
      <c r="K1043" s="1616"/>
      <c r="L1043" s="1616"/>
      <c r="M1043" s="1616"/>
      <c r="N1043" s="1616"/>
      <c r="O1043" s="1616"/>
      <c r="P1043" s="1616"/>
      <c r="Q1043" s="1616"/>
      <c r="R1043" s="1616"/>
      <c r="S1043" s="1616"/>
      <c r="T1043" s="1616"/>
      <c r="U1043" s="1616"/>
      <c r="V1043" s="1616"/>
      <c r="W1043" s="1616"/>
      <c r="X1043" s="1616"/>
      <c r="Y1043" s="1616"/>
      <c r="Z1043" s="1616"/>
      <c r="AA1043" s="1616"/>
      <c r="AB1043" s="1616"/>
      <c r="AC1043" s="1616"/>
      <c r="AD1043" s="1616"/>
      <c r="AE1043" s="1616"/>
      <c r="AF1043" s="1616"/>
      <c r="AG1043" s="1616"/>
      <c r="AH1043" s="1616"/>
      <c r="AI1043" s="1616"/>
      <c r="AJ1043" s="1616"/>
      <c r="AK1043" s="161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6" t="s">
        <v>136</v>
      </c>
      <c r="B1044" s="1696"/>
      <c r="C1044" s="17">
        <v>6</v>
      </c>
      <c r="D1044" s="1616" t="s">
        <v>1706</v>
      </c>
      <c r="E1044" s="1616"/>
      <c r="F1044" s="1616"/>
      <c r="G1044" s="1616"/>
      <c r="H1044" s="1616"/>
      <c r="I1044" s="1616"/>
      <c r="J1044" s="1616"/>
      <c r="K1044" s="1616"/>
      <c r="L1044" s="1616"/>
      <c r="M1044" s="1616"/>
      <c r="N1044" s="1616"/>
      <c r="O1044" s="1616"/>
      <c r="P1044" s="1616"/>
      <c r="Q1044" s="1616"/>
      <c r="R1044" s="1616"/>
      <c r="S1044" s="1616"/>
      <c r="T1044" s="1616"/>
      <c r="U1044" s="1616"/>
      <c r="V1044" s="1616"/>
      <c r="W1044" s="1616"/>
      <c r="X1044" s="1616"/>
      <c r="Y1044" s="1616"/>
      <c r="Z1044" s="1616"/>
      <c r="AA1044" s="1616"/>
      <c r="AB1044" s="1616"/>
      <c r="AC1044" s="1616"/>
      <c r="AD1044" s="1616"/>
      <c r="AE1044" s="1616"/>
      <c r="AF1044" s="1616"/>
      <c r="AG1044" s="1616"/>
      <c r="AH1044" s="1616"/>
      <c r="AI1044" s="1616"/>
      <c r="AJ1044" s="1616"/>
      <c r="AK1044" s="161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6"/>
      <c r="E1045" s="1616"/>
      <c r="F1045" s="1616"/>
      <c r="G1045" s="1616"/>
      <c r="H1045" s="1616"/>
      <c r="I1045" s="1616"/>
      <c r="J1045" s="1616"/>
      <c r="K1045" s="1616"/>
      <c r="L1045" s="1616"/>
      <c r="M1045" s="1616"/>
      <c r="N1045" s="1616"/>
      <c r="O1045" s="1616"/>
      <c r="P1045" s="1616"/>
      <c r="Q1045" s="1616"/>
      <c r="R1045" s="1616"/>
      <c r="S1045" s="1616"/>
      <c r="T1045" s="1616"/>
      <c r="U1045" s="1616"/>
      <c r="V1045" s="1616"/>
      <c r="W1045" s="1616"/>
      <c r="X1045" s="1616"/>
      <c r="Y1045" s="1616"/>
      <c r="Z1045" s="1616"/>
      <c r="AA1045" s="1616"/>
      <c r="AB1045" s="1616"/>
      <c r="AC1045" s="1616"/>
      <c r="AD1045" s="1616"/>
      <c r="AE1045" s="1616"/>
      <c r="AF1045" s="1616"/>
      <c r="AG1045" s="1616"/>
      <c r="AH1045" s="1616"/>
      <c r="AI1045" s="1616"/>
      <c r="AJ1045" s="1616"/>
      <c r="AK1045" s="161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6"/>
      <c r="E1046" s="1616"/>
      <c r="F1046" s="1616"/>
      <c r="G1046" s="1616"/>
      <c r="H1046" s="1616"/>
      <c r="I1046" s="1616"/>
      <c r="J1046" s="1616"/>
      <c r="K1046" s="1616"/>
      <c r="L1046" s="1616"/>
      <c r="M1046" s="1616"/>
      <c r="N1046" s="1616"/>
      <c r="O1046" s="1616"/>
      <c r="P1046" s="1616"/>
      <c r="Q1046" s="1616"/>
      <c r="R1046" s="1616"/>
      <c r="S1046" s="1616"/>
      <c r="T1046" s="1616"/>
      <c r="U1046" s="1616"/>
      <c r="V1046" s="1616"/>
      <c r="W1046" s="1616"/>
      <c r="X1046" s="1616"/>
      <c r="Y1046" s="1616"/>
      <c r="Z1046" s="1616"/>
      <c r="AA1046" s="1616"/>
      <c r="AB1046" s="1616"/>
      <c r="AC1046" s="1616"/>
      <c r="AD1046" s="1616"/>
      <c r="AE1046" s="1616"/>
      <c r="AF1046" s="1616"/>
      <c r="AG1046" s="1616"/>
      <c r="AH1046" s="1616"/>
      <c r="AI1046" s="1616"/>
      <c r="AJ1046" s="1616"/>
      <c r="AK1046" s="161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6" t="s">
        <v>136</v>
      </c>
      <c r="B1047" s="1696"/>
      <c r="C1047" s="559">
        <v>7</v>
      </c>
      <c r="D1047" s="1616" t="s">
        <v>1708</v>
      </c>
      <c r="E1047" s="1616"/>
      <c r="F1047" s="1616"/>
      <c r="G1047" s="1616"/>
      <c r="H1047" s="1616"/>
      <c r="I1047" s="1616"/>
      <c r="J1047" s="1616"/>
      <c r="K1047" s="1616"/>
      <c r="L1047" s="1616"/>
      <c r="M1047" s="1616"/>
      <c r="N1047" s="1616"/>
      <c r="O1047" s="1616"/>
      <c r="P1047" s="1616"/>
      <c r="Q1047" s="1616"/>
      <c r="R1047" s="1616"/>
      <c r="S1047" s="1616"/>
      <c r="T1047" s="1616"/>
      <c r="U1047" s="1616"/>
      <c r="V1047" s="1616"/>
      <c r="W1047" s="1616"/>
      <c r="X1047" s="1616"/>
      <c r="Y1047" s="1616"/>
      <c r="Z1047" s="1616"/>
      <c r="AA1047" s="1616"/>
      <c r="AB1047" s="1616"/>
      <c r="AC1047" s="1616"/>
      <c r="AD1047" s="1616"/>
      <c r="AE1047" s="1616"/>
      <c r="AF1047" s="1616"/>
      <c r="AG1047" s="1616"/>
      <c r="AH1047" s="1616"/>
      <c r="AI1047" s="1616"/>
      <c r="AJ1047" s="1616"/>
      <c r="AK1047" s="161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6"/>
      <c r="E1048" s="1616"/>
      <c r="F1048" s="1616"/>
      <c r="G1048" s="1616"/>
      <c r="H1048" s="1616"/>
      <c r="I1048" s="1616"/>
      <c r="J1048" s="1616"/>
      <c r="K1048" s="1616"/>
      <c r="L1048" s="1616"/>
      <c r="M1048" s="1616"/>
      <c r="N1048" s="1616"/>
      <c r="O1048" s="1616"/>
      <c r="P1048" s="1616"/>
      <c r="Q1048" s="1616"/>
      <c r="R1048" s="1616"/>
      <c r="S1048" s="1616"/>
      <c r="T1048" s="1616"/>
      <c r="U1048" s="1616"/>
      <c r="V1048" s="1616"/>
      <c r="W1048" s="1616"/>
      <c r="X1048" s="1616"/>
      <c r="Y1048" s="1616"/>
      <c r="Z1048" s="1616"/>
      <c r="AA1048" s="1616"/>
      <c r="AB1048" s="1616"/>
      <c r="AC1048" s="1616"/>
      <c r="AD1048" s="1616"/>
      <c r="AE1048" s="1616"/>
      <c r="AF1048" s="1616"/>
      <c r="AG1048" s="1616"/>
      <c r="AH1048" s="1616"/>
      <c r="AI1048" s="1616"/>
      <c r="AJ1048" s="1616"/>
      <c r="AK1048" s="161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6"/>
      <c r="E1049" s="1616"/>
      <c r="F1049" s="1616"/>
      <c r="G1049" s="1616"/>
      <c r="H1049" s="1616"/>
      <c r="I1049" s="1616"/>
      <c r="J1049" s="1616"/>
      <c r="K1049" s="1616"/>
      <c r="L1049" s="1616"/>
      <c r="M1049" s="1616"/>
      <c r="N1049" s="1616"/>
      <c r="O1049" s="1616"/>
      <c r="P1049" s="1616"/>
      <c r="Q1049" s="1616"/>
      <c r="R1049" s="1616"/>
      <c r="S1049" s="1616"/>
      <c r="T1049" s="1616"/>
      <c r="U1049" s="1616"/>
      <c r="V1049" s="1616"/>
      <c r="W1049" s="1616"/>
      <c r="X1049" s="1616"/>
      <c r="Y1049" s="1616"/>
      <c r="Z1049" s="1616"/>
      <c r="AA1049" s="1616"/>
      <c r="AB1049" s="1616"/>
      <c r="AC1049" s="1616"/>
      <c r="AD1049" s="1616"/>
      <c r="AE1049" s="1616"/>
      <c r="AF1049" s="1616"/>
      <c r="AG1049" s="1616"/>
      <c r="AH1049" s="1616"/>
      <c r="AI1049" s="1616"/>
      <c r="AJ1049" s="1616"/>
      <c r="AK1049" s="161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6"/>
      <c r="E1050" s="1616"/>
      <c r="F1050" s="1616"/>
      <c r="G1050" s="1616"/>
      <c r="H1050" s="1616"/>
      <c r="I1050" s="1616"/>
      <c r="J1050" s="1616"/>
      <c r="K1050" s="1616"/>
      <c r="L1050" s="1616"/>
      <c r="M1050" s="1616"/>
      <c r="N1050" s="1616"/>
      <c r="O1050" s="1616"/>
      <c r="P1050" s="1616"/>
      <c r="Q1050" s="1616"/>
      <c r="R1050" s="1616"/>
      <c r="S1050" s="1616"/>
      <c r="T1050" s="1616"/>
      <c r="U1050" s="1616"/>
      <c r="V1050" s="1616"/>
      <c r="W1050" s="1616"/>
      <c r="X1050" s="1616"/>
      <c r="Y1050" s="1616"/>
      <c r="Z1050" s="1616"/>
      <c r="AA1050" s="1616"/>
      <c r="AB1050" s="1616"/>
      <c r="AC1050" s="1616"/>
      <c r="AD1050" s="1616"/>
      <c r="AE1050" s="1616"/>
      <c r="AF1050" s="1616"/>
      <c r="AG1050" s="1616"/>
      <c r="AH1050" s="1616"/>
      <c r="AI1050" s="1616"/>
      <c r="AJ1050" s="1616"/>
      <c r="AK1050" s="161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6" t="s">
        <v>136</v>
      </c>
      <c r="B1051" s="1696"/>
      <c r="C1051" s="559">
        <v>8</v>
      </c>
      <c r="D1051" s="1615" t="s">
        <v>2321</v>
      </c>
      <c r="E1051" s="1616"/>
      <c r="F1051" s="1616"/>
      <c r="G1051" s="1616"/>
      <c r="H1051" s="1616"/>
      <c r="I1051" s="1616"/>
      <c r="J1051" s="1616"/>
      <c r="K1051" s="1616"/>
      <c r="L1051" s="1616"/>
      <c r="M1051" s="1616"/>
      <c r="N1051" s="1616"/>
      <c r="O1051" s="1616"/>
      <c r="P1051" s="1616"/>
      <c r="Q1051" s="1616"/>
      <c r="R1051" s="1616"/>
      <c r="S1051" s="1616"/>
      <c r="T1051" s="1616"/>
      <c r="U1051" s="1616"/>
      <c r="V1051" s="1616"/>
      <c r="W1051" s="1616"/>
      <c r="X1051" s="1616"/>
      <c r="Y1051" s="1616"/>
      <c r="Z1051" s="1616"/>
      <c r="AA1051" s="1616"/>
      <c r="AB1051" s="1616"/>
      <c r="AC1051" s="1616"/>
      <c r="AD1051" s="1616"/>
      <c r="AE1051" s="1616"/>
      <c r="AF1051" s="1616"/>
      <c r="AG1051" s="1616"/>
      <c r="AH1051" s="1616"/>
      <c r="AI1051" s="1616"/>
      <c r="AJ1051" s="1616"/>
      <c r="AK1051" s="1616"/>
      <c r="AL1051" s="16"/>
      <c r="CE1051" s="1391"/>
    </row>
    <row r="1052" spans="1:97" ht="12.75" customHeight="1">
      <c r="A1052" s="1087"/>
      <c r="B1052" s="1087"/>
      <c r="C1052" s="559"/>
      <c r="D1052" s="1616"/>
      <c r="E1052" s="1616"/>
      <c r="F1052" s="1616"/>
      <c r="G1052" s="1616"/>
      <c r="H1052" s="1616"/>
      <c r="I1052" s="1616"/>
      <c r="J1052" s="1616"/>
      <c r="K1052" s="1616"/>
      <c r="L1052" s="1616"/>
      <c r="M1052" s="1616"/>
      <c r="N1052" s="1616"/>
      <c r="O1052" s="1616"/>
      <c r="P1052" s="1616"/>
      <c r="Q1052" s="1616"/>
      <c r="R1052" s="1616"/>
      <c r="S1052" s="1616"/>
      <c r="T1052" s="1616"/>
      <c r="U1052" s="1616"/>
      <c r="V1052" s="1616"/>
      <c r="W1052" s="1616"/>
      <c r="X1052" s="1616"/>
      <c r="Y1052" s="1616"/>
      <c r="Z1052" s="1616"/>
      <c r="AA1052" s="1616"/>
      <c r="AB1052" s="1616"/>
      <c r="AC1052" s="1616"/>
      <c r="AD1052" s="1616"/>
      <c r="AE1052" s="1616"/>
      <c r="AF1052" s="1616"/>
      <c r="AG1052" s="1616"/>
      <c r="AH1052" s="1616"/>
      <c r="AI1052" s="1616"/>
      <c r="AJ1052" s="1616"/>
      <c r="AK1052" s="1616"/>
    </row>
    <row r="1053" spans="1:97" ht="12.75" customHeight="1">
      <c r="A1053" s="390"/>
      <c r="B1053" s="390"/>
      <c r="C1053" s="559"/>
      <c r="D1053" s="1616"/>
      <c r="E1053" s="1616"/>
      <c r="F1053" s="1616"/>
      <c r="G1053" s="1616"/>
      <c r="H1053" s="1616"/>
      <c r="I1053" s="1616"/>
      <c r="J1053" s="1616"/>
      <c r="K1053" s="1616"/>
      <c r="L1053" s="1616"/>
      <c r="M1053" s="1616"/>
      <c r="N1053" s="1616"/>
      <c r="O1053" s="1616"/>
      <c r="P1053" s="1616"/>
      <c r="Q1053" s="1616"/>
      <c r="R1053" s="1616"/>
      <c r="S1053" s="1616"/>
      <c r="T1053" s="1616"/>
      <c r="U1053" s="1616"/>
      <c r="V1053" s="1616"/>
      <c r="W1053" s="1616"/>
      <c r="X1053" s="1616"/>
      <c r="Y1053" s="1616"/>
      <c r="Z1053" s="1616"/>
      <c r="AA1053" s="1616"/>
      <c r="AB1053" s="1616"/>
      <c r="AC1053" s="1616"/>
      <c r="AD1053" s="1616"/>
      <c r="AE1053" s="1616"/>
      <c r="AF1053" s="1616"/>
      <c r="AG1053" s="1616"/>
      <c r="AH1053" s="1616"/>
      <c r="AI1053" s="1616"/>
      <c r="AJ1053" s="1616"/>
      <c r="AK1053" s="1616"/>
    </row>
    <row r="1054" spans="1:97" ht="12.75" customHeight="1">
      <c r="A1054" s="76"/>
      <c r="B1054" s="80"/>
      <c r="C1054" s="559"/>
      <c r="D1054" s="1616"/>
      <c r="E1054" s="1616"/>
      <c r="F1054" s="1616"/>
      <c r="G1054" s="1616"/>
      <c r="H1054" s="1616"/>
      <c r="I1054" s="1616"/>
      <c r="J1054" s="1616"/>
      <c r="K1054" s="1616"/>
      <c r="L1054" s="1616"/>
      <c r="M1054" s="1616"/>
      <c r="N1054" s="1616"/>
      <c r="O1054" s="1616"/>
      <c r="P1054" s="1616"/>
      <c r="Q1054" s="1616"/>
      <c r="R1054" s="1616"/>
      <c r="S1054" s="1616"/>
      <c r="T1054" s="1616"/>
      <c r="U1054" s="1616"/>
      <c r="V1054" s="1616"/>
      <c r="W1054" s="1616"/>
      <c r="X1054" s="1616"/>
      <c r="Y1054" s="1616"/>
      <c r="Z1054" s="1616"/>
      <c r="AA1054" s="1616"/>
      <c r="AB1054" s="1616"/>
      <c r="AC1054" s="1616"/>
      <c r="AD1054" s="1616"/>
      <c r="AE1054" s="1616"/>
      <c r="AF1054" s="1616"/>
      <c r="AG1054" s="1616"/>
      <c r="AH1054" s="1616"/>
      <c r="AI1054" s="1616"/>
      <c r="AJ1054" s="1616"/>
      <c r="AK1054" s="1616"/>
    </row>
    <row r="1055" spans="1:97" ht="29.25" customHeight="1">
      <c r="A1055" s="1705" t="s">
        <v>136</v>
      </c>
      <c r="B1055" s="1705"/>
      <c r="C1055" s="559">
        <v>9</v>
      </c>
      <c r="D1055" s="1616" t="s">
        <v>1707</v>
      </c>
      <c r="E1055" s="1616"/>
      <c r="F1055" s="1616"/>
      <c r="G1055" s="1616"/>
      <c r="H1055" s="1616"/>
      <c r="I1055" s="1616"/>
      <c r="J1055" s="1616"/>
      <c r="K1055" s="1616"/>
      <c r="L1055" s="1616"/>
      <c r="M1055" s="1616"/>
      <c r="N1055" s="1616"/>
      <c r="O1055" s="1616"/>
      <c r="P1055" s="1616"/>
      <c r="Q1055" s="1616"/>
      <c r="R1055" s="1616"/>
      <c r="S1055" s="1616"/>
      <c r="T1055" s="1616"/>
      <c r="U1055" s="1616"/>
      <c r="V1055" s="1616"/>
      <c r="W1055" s="1616"/>
      <c r="X1055" s="1616"/>
      <c r="Y1055" s="1616"/>
      <c r="Z1055" s="1616"/>
      <c r="AA1055" s="1616"/>
      <c r="AB1055" s="1616"/>
      <c r="AC1055" s="1616"/>
      <c r="AD1055" s="1616"/>
      <c r="AE1055" s="1616"/>
      <c r="AF1055" s="1616"/>
      <c r="AG1055" s="1616"/>
      <c r="AH1055" s="1616"/>
      <c r="AI1055" s="1616"/>
      <c r="AJ1055" s="1616"/>
      <c r="AK1055" s="1616"/>
    </row>
    <row r="1056" spans="1:97" ht="12.75" hidden="1" customHeight="1">
      <c r="A1056" s="76"/>
      <c r="B1056" s="80"/>
      <c r="C1056" s="559"/>
      <c r="D1056" s="1616"/>
      <c r="E1056" s="1616"/>
      <c r="F1056" s="1616"/>
      <c r="G1056" s="1616"/>
      <c r="H1056" s="1616"/>
      <c r="I1056" s="1616"/>
      <c r="J1056" s="1616"/>
      <c r="K1056" s="1616"/>
      <c r="L1056" s="1616"/>
      <c r="M1056" s="1616"/>
      <c r="N1056" s="1616"/>
      <c r="O1056" s="1616"/>
      <c r="P1056" s="1616"/>
      <c r="Q1056" s="1616"/>
      <c r="R1056" s="1616"/>
      <c r="S1056" s="1616"/>
      <c r="T1056" s="1616"/>
      <c r="U1056" s="1616"/>
      <c r="V1056" s="1616"/>
      <c r="W1056" s="1616"/>
      <c r="X1056" s="1616"/>
      <c r="Y1056" s="1616"/>
      <c r="Z1056" s="1616"/>
      <c r="AA1056" s="1616"/>
      <c r="AB1056" s="1616"/>
      <c r="AC1056" s="1616"/>
      <c r="AD1056" s="1616"/>
      <c r="AE1056" s="1616"/>
      <c r="AF1056" s="1616"/>
      <c r="AG1056" s="1616"/>
      <c r="AH1056" s="1616"/>
      <c r="AI1056" s="1616"/>
      <c r="AJ1056" s="1616"/>
      <c r="AK1056" s="1616"/>
    </row>
    <row r="1057" spans="1:38" ht="12.75" hidden="1" customHeight="1">
      <c r="D1057" s="1616"/>
      <c r="E1057" s="1616"/>
      <c r="F1057" s="1616"/>
      <c r="G1057" s="1616"/>
      <c r="H1057" s="1616"/>
      <c r="I1057" s="1616"/>
      <c r="J1057" s="1616"/>
      <c r="K1057" s="1616"/>
      <c r="L1057" s="1616"/>
      <c r="M1057" s="1616"/>
      <c r="N1057" s="1616"/>
      <c r="O1057" s="1616"/>
      <c r="P1057" s="1616"/>
      <c r="Q1057" s="1616"/>
      <c r="R1057" s="1616"/>
      <c r="S1057" s="1616"/>
      <c r="T1057" s="1616"/>
      <c r="U1057" s="1616"/>
      <c r="V1057" s="1616"/>
      <c r="W1057" s="1616"/>
      <c r="X1057" s="1616"/>
      <c r="Y1057" s="1616"/>
      <c r="Z1057" s="1616"/>
      <c r="AA1057" s="1616"/>
      <c r="AB1057" s="1616"/>
      <c r="AC1057" s="1616"/>
      <c r="AD1057" s="1616"/>
      <c r="AE1057" s="1616"/>
      <c r="AF1057" s="1616"/>
      <c r="AG1057" s="1616"/>
      <c r="AH1057" s="1616"/>
      <c r="AI1057" s="1616"/>
      <c r="AJ1057" s="1616"/>
      <c r="AK1057" s="161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1">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58:AH958"/>
    <mergeCell ref="AJ958:AQ963"/>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886:AL887"/>
    <mergeCell ref="C805:H805"/>
    <mergeCell ref="AE921:AK921"/>
    <mergeCell ref="F892:T893"/>
    <mergeCell ref="AB893:AE893"/>
    <mergeCell ref="M806:P806"/>
    <mergeCell ref="M808:P808"/>
    <mergeCell ref="AG806:AJ806"/>
    <mergeCell ref="W835:AC835"/>
    <mergeCell ref="W821:AC821"/>
    <mergeCell ref="C806:H806"/>
    <mergeCell ref="U897:Z897"/>
    <mergeCell ref="U905:Z905"/>
    <mergeCell ref="AA900:AF900"/>
    <mergeCell ref="AA909:AF909"/>
    <mergeCell ref="AE918:AK918"/>
    <mergeCell ref="AA904:AF904"/>
    <mergeCell ref="AB947:AI947"/>
    <mergeCell ref="AN874:AO874"/>
    <mergeCell ref="AJ970:AQ972"/>
    <mergeCell ref="D971:AE972"/>
    <mergeCell ref="U910:Z910"/>
    <mergeCell ref="AP874:AS874"/>
    <mergeCell ref="W857:AC857"/>
    <mergeCell ref="W824:AC824"/>
    <mergeCell ref="W833:AC833"/>
    <mergeCell ref="W832:AC832"/>
    <mergeCell ref="AC866:AH866"/>
    <mergeCell ref="AC863:AH863"/>
    <mergeCell ref="W850:AC850"/>
    <mergeCell ref="AC872:AH872"/>
    <mergeCell ref="W856:AC856"/>
    <mergeCell ref="T836:V836"/>
    <mergeCell ref="T838:V838"/>
    <mergeCell ref="AC868:AH868"/>
    <mergeCell ref="AC869:AH869"/>
    <mergeCell ref="AA901:AF901"/>
    <mergeCell ref="U894:Z894"/>
    <mergeCell ref="AA898:AF898"/>
    <mergeCell ref="AJ946:AQ946"/>
    <mergeCell ref="D957:AE957"/>
    <mergeCell ref="D958:AE958"/>
    <mergeCell ref="M856:V856"/>
    <mergeCell ref="AJ947:AQ947"/>
    <mergeCell ref="D948:Q948"/>
    <mergeCell ref="AB946:AI946"/>
    <mergeCell ref="L917:S917"/>
    <mergeCell ref="U909:Z909"/>
    <mergeCell ref="W827:AC827"/>
    <mergeCell ref="W829:AC829"/>
    <mergeCell ref="U803:X803"/>
    <mergeCell ref="M839:V839"/>
    <mergeCell ref="M807:P807"/>
    <mergeCell ref="W841:AC841"/>
    <mergeCell ref="AC862:AH862"/>
    <mergeCell ref="W830:AC830"/>
    <mergeCell ref="W825:AC825"/>
    <mergeCell ref="E872:AB872"/>
    <mergeCell ref="M803:P803"/>
    <mergeCell ref="C807:H807"/>
    <mergeCell ref="AC806:AF806"/>
    <mergeCell ref="AC805:AF805"/>
    <mergeCell ref="M804:P804"/>
    <mergeCell ref="Q804:T804"/>
    <mergeCell ref="Z877:AE877"/>
    <mergeCell ref="AG809:AJ809"/>
    <mergeCell ref="Z795:AE795"/>
    <mergeCell ref="Y805:AB805"/>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Z796:AE796"/>
    <mergeCell ref="M805:P805"/>
    <mergeCell ref="U804:X804"/>
    <mergeCell ref="AC804:AF804"/>
    <mergeCell ref="Y804:AB804"/>
    <mergeCell ref="W847:AC847"/>
    <mergeCell ref="W854:AC854"/>
    <mergeCell ref="X752:AB752"/>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C769:AG769"/>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K724:N724"/>
    <mergeCell ref="O724:S724"/>
    <mergeCell ref="T724:X724"/>
    <mergeCell ref="Y724:AB724"/>
    <mergeCell ref="AC724:AG724"/>
    <mergeCell ref="AH724:AL724"/>
    <mergeCell ref="T726:X726"/>
    <mergeCell ref="Y726:AB726"/>
    <mergeCell ref="AC726:AG726"/>
    <mergeCell ref="AH726:AL726"/>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2:N722"/>
    <mergeCell ref="O722:S722"/>
    <mergeCell ref="T722:X722"/>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AH720:AL720"/>
    <mergeCell ref="K716:N716"/>
    <mergeCell ref="O716:S716"/>
    <mergeCell ref="T716:X716"/>
    <mergeCell ref="Y716:AB716"/>
    <mergeCell ref="AC716:AG716"/>
    <mergeCell ref="AH716:AL716"/>
    <mergeCell ref="AM714:AO714"/>
    <mergeCell ref="K715:N715"/>
    <mergeCell ref="O715:S715"/>
    <mergeCell ref="T715:X715"/>
    <mergeCell ref="Y715:AB715"/>
    <mergeCell ref="AC715:AG715"/>
    <mergeCell ref="AH715:AL715"/>
    <mergeCell ref="AM715:AO715"/>
    <mergeCell ref="AM712:AO712"/>
    <mergeCell ref="K713:N713"/>
    <mergeCell ref="O713:S713"/>
    <mergeCell ref="T713:X713"/>
    <mergeCell ref="Y713:AB713"/>
    <mergeCell ref="AC713:AG713"/>
    <mergeCell ref="AH713:AL713"/>
    <mergeCell ref="AM713:AO713"/>
    <mergeCell ref="B710:F710"/>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O711:S711"/>
    <mergeCell ref="AM711:AO711"/>
    <mergeCell ref="K708:N708"/>
    <mergeCell ref="O708:S708"/>
    <mergeCell ref="T708:X708"/>
    <mergeCell ref="Y708:AB708"/>
    <mergeCell ref="B711:F711"/>
    <mergeCell ref="AH711:AL711"/>
    <mergeCell ref="O707:S707"/>
    <mergeCell ref="T707:X707"/>
    <mergeCell ref="Y707:AB707"/>
    <mergeCell ref="AC707:AG707"/>
    <mergeCell ref="AH707:AL707"/>
    <mergeCell ref="AM707:AO707"/>
    <mergeCell ref="A697:AO699"/>
    <mergeCell ref="G706:J706"/>
    <mergeCell ref="G676:L676"/>
    <mergeCell ref="AG686:AH686"/>
    <mergeCell ref="H693:R693"/>
    <mergeCell ref="N694:O694"/>
    <mergeCell ref="G691:R691"/>
    <mergeCell ref="G702:J705"/>
    <mergeCell ref="K706:N706"/>
    <mergeCell ref="O706:S706"/>
    <mergeCell ref="T706:X706"/>
    <mergeCell ref="Y706:AB706"/>
    <mergeCell ref="AC706:AG706"/>
    <mergeCell ref="AH706:AL706"/>
    <mergeCell ref="AG694:AH694"/>
    <mergeCell ref="AI660:AK660"/>
    <mergeCell ref="AI676:AK676"/>
    <mergeCell ref="Z672:AK672"/>
    <mergeCell ref="Z668:AE668"/>
    <mergeCell ref="P668:R668"/>
    <mergeCell ref="AA677:AK677"/>
    <mergeCell ref="P684:R684"/>
    <mergeCell ref="Z690:AK690"/>
    <mergeCell ref="AG678:AH678"/>
    <mergeCell ref="AI684:AK684"/>
    <mergeCell ref="Z683:AK683"/>
    <mergeCell ref="AI692:AK692"/>
    <mergeCell ref="G683:R683"/>
    <mergeCell ref="G688:R688"/>
    <mergeCell ref="Z674:AK674"/>
    <mergeCell ref="N670:O670"/>
    <mergeCell ref="G682:R682"/>
    <mergeCell ref="Z682:AK682"/>
    <mergeCell ref="G672:R672"/>
    <mergeCell ref="G690:R690"/>
    <mergeCell ref="N686:O686"/>
    <mergeCell ref="Z666:AK666"/>
    <mergeCell ref="AI668:AK668"/>
    <mergeCell ref="P676:R676"/>
    <mergeCell ref="Z689:AK689"/>
    <mergeCell ref="P692:R692"/>
    <mergeCell ref="H685:R685"/>
    <mergeCell ref="Z688:AK688"/>
    <mergeCell ref="G692:L692"/>
    <mergeCell ref="AC642:AE642"/>
    <mergeCell ref="AF642:AJ642"/>
    <mergeCell ref="AK642:AN642"/>
    <mergeCell ref="AO642:AS642"/>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O638:AS638"/>
    <mergeCell ref="AF638:AJ638"/>
    <mergeCell ref="C639:N639"/>
    <mergeCell ref="O639:Q639"/>
    <mergeCell ref="R639:T639"/>
    <mergeCell ref="U639:W639"/>
    <mergeCell ref="X639:AB639"/>
    <mergeCell ref="AC639:AE639"/>
    <mergeCell ref="AF639:AJ639"/>
    <mergeCell ref="AK639:AN639"/>
    <mergeCell ref="AO639:AS639"/>
    <mergeCell ref="AO640:AS640"/>
    <mergeCell ref="C641:N641"/>
    <mergeCell ref="O641:Q641"/>
    <mergeCell ref="R641:T641"/>
    <mergeCell ref="U641:W641"/>
    <mergeCell ref="X641:AB641"/>
    <mergeCell ref="AC641:AE641"/>
    <mergeCell ref="AF641:AJ641"/>
    <mergeCell ref="AK641:AN641"/>
    <mergeCell ref="AO641:AS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AM572:AS572"/>
    <mergeCell ref="A550:AS551"/>
    <mergeCell ref="Q563:S563"/>
    <mergeCell ref="T563:V563"/>
    <mergeCell ref="W563:Y563"/>
    <mergeCell ref="Z563:AD563"/>
    <mergeCell ref="AE563:AH563"/>
    <mergeCell ref="AI563:AL563"/>
    <mergeCell ref="AM563:AS563"/>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AM566:AS566"/>
    <mergeCell ref="AM569:AS569"/>
    <mergeCell ref="AI571:AL571"/>
    <mergeCell ref="AM571:AS571"/>
    <mergeCell ref="Q568:S568"/>
    <mergeCell ref="T568:V568"/>
    <mergeCell ref="W568:Y568"/>
    <mergeCell ref="Z568:AD568"/>
    <mergeCell ref="AE568:AH568"/>
    <mergeCell ref="AI568:AL568"/>
    <mergeCell ref="AM568:AS568"/>
    <mergeCell ref="Q569:S569"/>
    <mergeCell ref="T569:V569"/>
    <mergeCell ref="Q570:S570"/>
    <mergeCell ref="T570:V570"/>
    <mergeCell ref="W570:Y570"/>
    <mergeCell ref="Z570:AD570"/>
    <mergeCell ref="AE570:AH570"/>
    <mergeCell ref="AI570:AL570"/>
    <mergeCell ref="W569:Y569"/>
    <mergeCell ref="Z569:AD569"/>
    <mergeCell ref="AE569:AH569"/>
    <mergeCell ref="AI569:AL569"/>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I385:N385"/>
    <mergeCell ref="S385:U385"/>
    <mergeCell ref="AI385:AJ385"/>
    <mergeCell ref="Q386:U386"/>
    <mergeCell ref="AG386:AJ386"/>
    <mergeCell ref="Q387:U387"/>
    <mergeCell ref="AG387:AJ387"/>
    <mergeCell ref="S394:U394"/>
    <mergeCell ref="D430:AF430"/>
    <mergeCell ref="AG394:AJ394"/>
    <mergeCell ref="I403:AD403"/>
    <mergeCell ref="P418:Q418"/>
    <mergeCell ref="E413:AJ413"/>
    <mergeCell ref="W458:Y458"/>
    <mergeCell ref="AD404:AE404"/>
    <mergeCell ref="AE423:AF423"/>
    <mergeCell ref="I411:K411"/>
    <mergeCell ref="W411:Y411"/>
    <mergeCell ref="R404:S404"/>
    <mergeCell ref="AE418:AF418"/>
    <mergeCell ref="Q422:R422"/>
    <mergeCell ref="H407:AJ408"/>
    <mergeCell ref="AG430:AJ430"/>
    <mergeCell ref="D435:AF435"/>
    <mergeCell ref="D436:AF436"/>
    <mergeCell ref="AG437:AJ437"/>
    <mergeCell ref="D432:AF432"/>
    <mergeCell ref="F420:AH421"/>
    <mergeCell ref="AG434:AJ434"/>
    <mergeCell ref="D446:AJ446"/>
    <mergeCell ref="AG435:AJ435"/>
    <mergeCell ref="D440:AF440"/>
    <mergeCell ref="D444:AJ445"/>
    <mergeCell ref="D458:V458"/>
    <mergeCell ref="AG431:AJ431"/>
    <mergeCell ref="AG432:AJ432"/>
    <mergeCell ref="AC447:AF447"/>
    <mergeCell ref="AG440:AJ440"/>
    <mergeCell ref="AG441:AJ441"/>
    <mergeCell ref="Z425:AA425"/>
    <mergeCell ref="AC449:AF449"/>
    <mergeCell ref="D439:AF439"/>
    <mergeCell ref="AG438:AJ438"/>
    <mergeCell ref="Y487:AC487"/>
    <mergeCell ref="AD482:AH482"/>
    <mergeCell ref="Y479:AC480"/>
    <mergeCell ref="D437:AF437"/>
    <mergeCell ref="AH510:AK510"/>
    <mergeCell ref="AH513:AK513"/>
    <mergeCell ref="Y488:AC488"/>
    <mergeCell ref="AH512:AK512"/>
    <mergeCell ref="D464:V464"/>
    <mergeCell ref="AG436:AJ436"/>
    <mergeCell ref="Z427:AA427"/>
    <mergeCell ref="AG433:AJ433"/>
    <mergeCell ref="D431:AF431"/>
    <mergeCell ref="D443:AF443"/>
    <mergeCell ref="AG439:AJ439"/>
    <mergeCell ref="D433:AF433"/>
    <mergeCell ref="D438:AF438"/>
    <mergeCell ref="D434:AF434"/>
    <mergeCell ref="W461:Y461"/>
    <mergeCell ref="B508:H509"/>
    <mergeCell ref="D461:V461"/>
    <mergeCell ref="AC521:AF521"/>
    <mergeCell ref="T481:X481"/>
    <mergeCell ref="AC517:AF517"/>
    <mergeCell ref="AH517:AK517"/>
    <mergeCell ref="AC519:AF519"/>
    <mergeCell ref="B520:H522"/>
    <mergeCell ref="AC448:AF448"/>
    <mergeCell ref="AM561:AS561"/>
    <mergeCell ref="AH534:AK534"/>
    <mergeCell ref="AC548:AF548"/>
    <mergeCell ref="AC531:AF531"/>
    <mergeCell ref="AH533:AK533"/>
    <mergeCell ref="AC535:AF535"/>
    <mergeCell ref="AH535:AK535"/>
    <mergeCell ref="L515:AB515"/>
    <mergeCell ref="AC515:AF515"/>
    <mergeCell ref="D459:V459"/>
    <mergeCell ref="B523:H525"/>
    <mergeCell ref="Q492:AK492"/>
    <mergeCell ref="AH507:AK507"/>
    <mergeCell ref="AH522:AK522"/>
    <mergeCell ref="AH502:AK502"/>
    <mergeCell ref="AH544:AK544"/>
    <mergeCell ref="AC542:AF542"/>
    <mergeCell ref="AH538:AK538"/>
    <mergeCell ref="AH530:AK530"/>
    <mergeCell ref="O532:AA532"/>
    <mergeCell ref="AH543:AK543"/>
    <mergeCell ref="AH542:AK542"/>
    <mergeCell ref="AC512:AF512"/>
    <mergeCell ref="AC508:AF508"/>
    <mergeCell ref="AC514:AF514"/>
    <mergeCell ref="AM565:AS565"/>
    <mergeCell ref="Z562:AD562"/>
    <mergeCell ref="AE562:AH562"/>
    <mergeCell ref="AI562:AL562"/>
    <mergeCell ref="AM562:AS562"/>
    <mergeCell ref="Z560:AD560"/>
    <mergeCell ref="AE560:AH560"/>
    <mergeCell ref="C562:P562"/>
    <mergeCell ref="AC718:AG718"/>
    <mergeCell ref="AH718:AL718"/>
    <mergeCell ref="P652:R652"/>
    <mergeCell ref="Z658:AK658"/>
    <mergeCell ref="AK636:AN636"/>
    <mergeCell ref="C640:N640"/>
    <mergeCell ref="O640:Q640"/>
    <mergeCell ref="R640:T640"/>
    <mergeCell ref="U640:W640"/>
    <mergeCell ref="X640:AB640"/>
    <mergeCell ref="C635:N635"/>
    <mergeCell ref="O635:Q635"/>
    <mergeCell ref="Z650:AK650"/>
    <mergeCell ref="O638:Q638"/>
    <mergeCell ref="R638:T638"/>
    <mergeCell ref="U638:W638"/>
    <mergeCell ref="X638:AB638"/>
    <mergeCell ref="AC638:AE638"/>
    <mergeCell ref="AI652:AK652"/>
    <mergeCell ref="Z651:AK651"/>
    <mergeCell ref="Z659:AK659"/>
    <mergeCell ref="G668:L668"/>
    <mergeCell ref="Z680:AK680"/>
    <mergeCell ref="AE566:AH566"/>
    <mergeCell ref="AC524:AF524"/>
    <mergeCell ref="W464:Y464"/>
    <mergeCell ref="T479:X480"/>
    <mergeCell ref="D469:V469"/>
    <mergeCell ref="AC544:AF544"/>
    <mergeCell ref="AH531:AK531"/>
    <mergeCell ref="AH532:AK532"/>
    <mergeCell ref="O541:AA541"/>
    <mergeCell ref="AH525:AK525"/>
    <mergeCell ref="W469:Y469"/>
    <mergeCell ref="AH514:AK514"/>
    <mergeCell ref="T489:X489"/>
    <mergeCell ref="Y490:AC490"/>
    <mergeCell ref="AC528:AF528"/>
    <mergeCell ref="AH529:AK529"/>
    <mergeCell ref="AH537:AK537"/>
    <mergeCell ref="AH539:AK539"/>
    <mergeCell ref="M502:P502"/>
    <mergeCell ref="T483:X483"/>
    <mergeCell ref="AH516:AK516"/>
    <mergeCell ref="AC539:AF539"/>
    <mergeCell ref="AH540:AK540"/>
    <mergeCell ref="T485:X485"/>
    <mergeCell ref="Y485:AC485"/>
    <mergeCell ref="T490:X490"/>
    <mergeCell ref="T484:X484"/>
    <mergeCell ref="Q493:AK493"/>
    <mergeCell ref="Y484:AC484"/>
    <mergeCell ref="AC536:AF536"/>
    <mergeCell ref="O538:AA538"/>
    <mergeCell ref="Y489:AC489"/>
    <mergeCell ref="AC513:AF513"/>
    <mergeCell ref="AH515:AK515"/>
    <mergeCell ref="AC516:AF516"/>
    <mergeCell ref="AC510:AF510"/>
    <mergeCell ref="AC511:AF511"/>
    <mergeCell ref="Y482:AC482"/>
    <mergeCell ref="AC532:AF532"/>
    <mergeCell ref="AC526:AF526"/>
    <mergeCell ref="AC640:AE640"/>
    <mergeCell ref="AF640:AJ640"/>
    <mergeCell ref="AF629:AJ631"/>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AD486:AH486"/>
    <mergeCell ref="S395:U395"/>
    <mergeCell ref="AE395:AJ395"/>
    <mergeCell ref="D399:AJ400"/>
    <mergeCell ref="I414:K414"/>
    <mergeCell ref="AD405:AE405"/>
    <mergeCell ref="S406:T406"/>
    <mergeCell ref="D470:V470"/>
    <mergeCell ref="G465:V465"/>
    <mergeCell ref="W462:Y462"/>
    <mergeCell ref="J758:K758"/>
    <mergeCell ref="Z793:AE793"/>
    <mergeCell ref="O775:S775"/>
    <mergeCell ref="Q562:S562"/>
    <mergeCell ref="T562:V562"/>
    <mergeCell ref="W562:Y562"/>
    <mergeCell ref="C560:P560"/>
    <mergeCell ref="Q560:S560"/>
    <mergeCell ref="T560:V560"/>
    <mergeCell ref="W560:Y560"/>
    <mergeCell ref="Z571:AD571"/>
    <mergeCell ref="AE571:AH571"/>
    <mergeCell ref="Q566:S566"/>
    <mergeCell ref="T566:V566"/>
    <mergeCell ref="W566:Y566"/>
    <mergeCell ref="Z566:AD566"/>
    <mergeCell ref="J768:N768"/>
    <mergeCell ref="Y722:AB722"/>
    <mergeCell ref="AC722:AG722"/>
    <mergeCell ref="AH722:AL722"/>
    <mergeCell ref="G720:J720"/>
    <mergeCell ref="G719:J719"/>
    <mergeCell ref="G713:J713"/>
    <mergeCell ref="AK635:AN635"/>
    <mergeCell ref="C638:N638"/>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X768:AB768"/>
    <mergeCell ref="AC768:AG768"/>
    <mergeCell ref="T769:W769"/>
    <mergeCell ref="X769:AB769"/>
    <mergeCell ref="J754:N754"/>
    <mergeCell ref="D1002:AI1002"/>
    <mergeCell ref="AC865:AH865"/>
    <mergeCell ref="AO644:AS644"/>
    <mergeCell ref="B645:AN645"/>
    <mergeCell ref="AO645:AS645"/>
    <mergeCell ref="B646:AN646"/>
    <mergeCell ref="R636:T636"/>
    <mergeCell ref="U636:W636"/>
    <mergeCell ref="X636:AB636"/>
    <mergeCell ref="AC636:AE636"/>
    <mergeCell ref="AF636:AJ636"/>
    <mergeCell ref="G664:R664"/>
    <mergeCell ref="B629:N631"/>
    <mergeCell ref="T775:W775"/>
    <mergeCell ref="D1047:AK1050"/>
    <mergeCell ref="AC772:AG772"/>
    <mergeCell ref="T773:W773"/>
    <mergeCell ref="X773:AB773"/>
    <mergeCell ref="AC773:AG773"/>
    <mergeCell ref="T729:X729"/>
    <mergeCell ref="Z784:AE784"/>
    <mergeCell ref="AC762:AG765"/>
    <mergeCell ref="J770:N770"/>
    <mergeCell ref="O770:S770"/>
    <mergeCell ref="J771:N771"/>
    <mergeCell ref="O771:S771"/>
    <mergeCell ref="J774:N774"/>
    <mergeCell ref="O774:S774"/>
    <mergeCell ref="AK640:AN640"/>
    <mergeCell ref="C643:N643"/>
    <mergeCell ref="O643:Q643"/>
    <mergeCell ref="R643:T643"/>
    <mergeCell ref="AK637:AN637"/>
    <mergeCell ref="AO637:AS637"/>
    <mergeCell ref="BK628:BL628"/>
    <mergeCell ref="BE621:BF621"/>
    <mergeCell ref="BG624:BH624"/>
    <mergeCell ref="BG627:BH627"/>
    <mergeCell ref="BI627:BJ627"/>
    <mergeCell ref="BG628:BH628"/>
    <mergeCell ref="BK626:BL626"/>
    <mergeCell ref="BI624:BJ624"/>
    <mergeCell ref="BE626:BF626"/>
    <mergeCell ref="BE623:BF623"/>
    <mergeCell ref="BG621:BH621"/>
    <mergeCell ref="BK627:BL627"/>
    <mergeCell ref="BK625:BL625"/>
    <mergeCell ref="B723:F723"/>
    <mergeCell ref="O756:S756"/>
    <mergeCell ref="J753:N753"/>
    <mergeCell ref="O753:S753"/>
    <mergeCell ref="J752:N752"/>
    <mergeCell ref="O748:S751"/>
    <mergeCell ref="BK624:BL624"/>
    <mergeCell ref="BI625:BJ625"/>
    <mergeCell ref="AA669:AK669"/>
    <mergeCell ref="U643:W643"/>
    <mergeCell ref="X643:AB643"/>
    <mergeCell ref="AC643:AE643"/>
    <mergeCell ref="AF643:AJ643"/>
    <mergeCell ref="AK643:AN643"/>
    <mergeCell ref="G656:R656"/>
    <mergeCell ref="G660:L660"/>
    <mergeCell ref="G651:R651"/>
    <mergeCell ref="AG662:AH662"/>
    <mergeCell ref="Z664:AK664"/>
    <mergeCell ref="AO635:AS635"/>
    <mergeCell ref="C636:N636"/>
    <mergeCell ref="O636:Q636"/>
    <mergeCell ref="BE622:BF622"/>
    <mergeCell ref="BG622:BH622"/>
    <mergeCell ref="R635:T635"/>
    <mergeCell ref="BG626:BH626"/>
    <mergeCell ref="AO629:AS631"/>
    <mergeCell ref="C632:N632"/>
    <mergeCell ref="O632:Q632"/>
    <mergeCell ref="AO632:AS632"/>
    <mergeCell ref="AO633:AS633"/>
    <mergeCell ref="O629:Q631"/>
    <mergeCell ref="U629:W631"/>
    <mergeCell ref="X629:AB631"/>
    <mergeCell ref="AC629:AE631"/>
    <mergeCell ref="R633:T633"/>
    <mergeCell ref="U633:W633"/>
    <mergeCell ref="X633:AB633"/>
    <mergeCell ref="AC633:AE633"/>
    <mergeCell ref="AF633:AJ633"/>
    <mergeCell ref="AK633:AN633"/>
    <mergeCell ref="AK629:AN631"/>
    <mergeCell ref="R629:T631"/>
    <mergeCell ref="AC632:AE632"/>
    <mergeCell ref="AF632:AJ632"/>
    <mergeCell ref="AK632:AN632"/>
    <mergeCell ref="U635:W635"/>
    <mergeCell ref="X635:AB635"/>
    <mergeCell ref="AO636:AS636"/>
    <mergeCell ref="U632:W632"/>
    <mergeCell ref="X632:AB632"/>
    <mergeCell ref="BI623:BJ623"/>
    <mergeCell ref="BK623:BL623"/>
    <mergeCell ref="BI605:BJ605"/>
    <mergeCell ref="BI619:BJ619"/>
    <mergeCell ref="BK612:BL612"/>
    <mergeCell ref="BG611:BH611"/>
    <mergeCell ref="BI615:BJ615"/>
    <mergeCell ref="BK615:BL615"/>
    <mergeCell ref="BK610:BL610"/>
    <mergeCell ref="BE618:BF618"/>
    <mergeCell ref="BG619:BH619"/>
    <mergeCell ref="BK620:BL620"/>
    <mergeCell ref="BI607:BJ607"/>
    <mergeCell ref="BK605:BL605"/>
    <mergeCell ref="BI608:BJ608"/>
    <mergeCell ref="BE619:BF619"/>
    <mergeCell ref="BG620:BH620"/>
    <mergeCell ref="BK619:BL619"/>
    <mergeCell ref="BE606:BF606"/>
    <mergeCell ref="BI621:BJ621"/>
    <mergeCell ref="BG615:BH615"/>
    <mergeCell ref="BG616:BH616"/>
    <mergeCell ref="BK606:BL606"/>
    <mergeCell ref="BG613:BH613"/>
    <mergeCell ref="BG608:BH608"/>
    <mergeCell ref="BK608:BL608"/>
    <mergeCell ref="BK607:BL607"/>
    <mergeCell ref="BG607:BH607"/>
    <mergeCell ref="BE613:BF613"/>
    <mergeCell ref="BG614:BH614"/>
    <mergeCell ref="BE615:BF615"/>
    <mergeCell ref="BE603:BF603"/>
    <mergeCell ref="BG603:BH603"/>
    <mergeCell ref="BI603:BJ603"/>
    <mergeCell ref="BE612:BF612"/>
    <mergeCell ref="AG596:AH596"/>
    <mergeCell ref="G610:L610"/>
    <mergeCell ref="BE616:BF616"/>
    <mergeCell ref="BE617:BF617"/>
    <mergeCell ref="BE620:BF620"/>
    <mergeCell ref="Z617:AK617"/>
    <mergeCell ref="BE624:BF624"/>
    <mergeCell ref="BG623:BH623"/>
    <mergeCell ref="BG618:BH618"/>
    <mergeCell ref="BI616:BJ616"/>
    <mergeCell ref="BK616:BL616"/>
    <mergeCell ref="N620:O620"/>
    <mergeCell ref="G599:R599"/>
    <mergeCell ref="Z599:AK599"/>
    <mergeCell ref="G600:R600"/>
    <mergeCell ref="BG610:BH610"/>
    <mergeCell ref="BK617:BL617"/>
    <mergeCell ref="BI618:BJ618"/>
    <mergeCell ref="BK618:BL618"/>
    <mergeCell ref="BK621:BL621"/>
    <mergeCell ref="BI620:BJ620"/>
    <mergeCell ref="P618:R618"/>
    <mergeCell ref="BI611:BJ611"/>
    <mergeCell ref="BK613:BL613"/>
    <mergeCell ref="Z616:AK616"/>
    <mergeCell ref="BK603:BL603"/>
    <mergeCell ref="BG602:BH602"/>
    <mergeCell ref="BK602:BL602"/>
    <mergeCell ref="Z565:AD565"/>
    <mergeCell ref="AE565:AH565"/>
    <mergeCell ref="AI565:AL565"/>
    <mergeCell ref="AH528:AK528"/>
    <mergeCell ref="AI586:AK58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7:BF607"/>
    <mergeCell ref="BI606:BJ606"/>
    <mergeCell ref="BI617:BJ617"/>
    <mergeCell ref="BG617:BH617"/>
    <mergeCell ref="Z608:AK608"/>
    <mergeCell ref="BE605:BF605"/>
    <mergeCell ref="BG605:BH605"/>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AC527:AF527"/>
    <mergeCell ref="O526:AA526"/>
    <mergeCell ref="AI561:AL561"/>
    <mergeCell ref="AH547:AK547"/>
    <mergeCell ref="B572:AL572"/>
    <mergeCell ref="W557:Y559"/>
    <mergeCell ref="AH527:AK527"/>
    <mergeCell ref="AI566:AL566"/>
    <mergeCell ref="Q567:S567"/>
    <mergeCell ref="T567:V567"/>
    <mergeCell ref="W567:Y567"/>
    <mergeCell ref="Z567:AD567"/>
    <mergeCell ref="AE567:AH567"/>
    <mergeCell ref="AC543:AF543"/>
    <mergeCell ref="J378:U378"/>
    <mergeCell ref="P411:R411"/>
    <mergeCell ref="D463:V463"/>
    <mergeCell ref="W460:Y460"/>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O535:AA535"/>
    <mergeCell ref="Q565:S565"/>
    <mergeCell ref="T565:V565"/>
    <mergeCell ref="W565:Y565"/>
    <mergeCell ref="AC534:AF534"/>
    <mergeCell ref="Z583:AK583"/>
    <mergeCell ref="G575:R575"/>
    <mergeCell ref="G574:R574"/>
    <mergeCell ref="Z585:AK585"/>
    <mergeCell ref="G585:R585"/>
    <mergeCell ref="T196:U196"/>
    <mergeCell ref="D211:P211"/>
    <mergeCell ref="D214:Z214"/>
    <mergeCell ref="AI194:AJ194"/>
    <mergeCell ref="N191:AE192"/>
    <mergeCell ref="O164:AH164"/>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H523:AK523"/>
    <mergeCell ref="AC522:AF522"/>
    <mergeCell ref="AC520:AF520"/>
    <mergeCell ref="AC523:AF523"/>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Q383:U383"/>
    <mergeCell ref="AG383:AJ383"/>
    <mergeCell ref="AA314:AK314"/>
    <mergeCell ref="H334:M334"/>
    <mergeCell ref="AA337:AK337"/>
    <mergeCell ref="AJ349:AK349"/>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G593:R593"/>
    <mergeCell ref="G591:R591"/>
    <mergeCell ref="AG580:AH580"/>
    <mergeCell ref="Z591:AK591"/>
    <mergeCell ref="Z578:AE578"/>
    <mergeCell ref="AI578:AK578"/>
    <mergeCell ref="G584:R584"/>
    <mergeCell ref="AG588:AH588"/>
    <mergeCell ref="N588:O588"/>
    <mergeCell ref="Z590:AK590"/>
    <mergeCell ref="AA587:AK587"/>
    <mergeCell ref="AC711:AG711"/>
    <mergeCell ref="H595:R595"/>
    <mergeCell ref="G598:R598"/>
    <mergeCell ref="G606:R606"/>
    <mergeCell ref="Z602:AE602"/>
    <mergeCell ref="AI602:AK602"/>
    <mergeCell ref="G649:R649"/>
    <mergeCell ref="H619:R619"/>
    <mergeCell ref="AG604:AH604"/>
    <mergeCell ref="AA603:AK603"/>
    <mergeCell ref="G650:R650"/>
    <mergeCell ref="C633:N633"/>
    <mergeCell ref="O633:Q633"/>
    <mergeCell ref="C634:N634"/>
    <mergeCell ref="O634:Q634"/>
    <mergeCell ref="R634:T634"/>
    <mergeCell ref="U634:W634"/>
    <mergeCell ref="X634:AB634"/>
    <mergeCell ref="AC634:AE634"/>
    <mergeCell ref="C637:N637"/>
    <mergeCell ref="O637:Q637"/>
    <mergeCell ref="R637:T637"/>
    <mergeCell ref="U637:W637"/>
    <mergeCell ref="AF637:AJ637"/>
    <mergeCell ref="AA685:AK685"/>
    <mergeCell ref="B644:AN644"/>
    <mergeCell ref="AK638:AN638"/>
    <mergeCell ref="C642:N642"/>
    <mergeCell ref="O642:Q642"/>
    <mergeCell ref="R642:T642"/>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B715:F715"/>
    <mergeCell ref="B713:F713"/>
    <mergeCell ref="T712:X712"/>
    <mergeCell ref="Y712:AB712"/>
    <mergeCell ref="AC712:AG712"/>
    <mergeCell ref="AH712:AL712"/>
    <mergeCell ref="AG670:AH670"/>
    <mergeCell ref="U642:W642"/>
    <mergeCell ref="X642:AB642"/>
    <mergeCell ref="AM729:AO729"/>
    <mergeCell ref="AM730:AO730"/>
    <mergeCell ref="T731:X731"/>
    <mergeCell ref="AH731:AL731"/>
    <mergeCell ref="AM731:AO731"/>
    <mergeCell ref="T748:W751"/>
    <mergeCell ref="X748:AB751"/>
    <mergeCell ref="AC748:AG751"/>
    <mergeCell ref="T752:W75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G711:J711"/>
    <mergeCell ref="K711:N711"/>
    <mergeCell ref="T711:X711"/>
    <mergeCell ref="B731:F731"/>
    <mergeCell ref="B719:F719"/>
    <mergeCell ref="AM706:AO706"/>
    <mergeCell ref="K707:N707"/>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L920:S920"/>
    <mergeCell ref="AE924:AK924"/>
    <mergeCell ref="AA929:AG929"/>
    <mergeCell ref="L921:S921"/>
    <mergeCell ref="AJ1002:AQ1002"/>
    <mergeCell ref="D973:AE973"/>
    <mergeCell ref="AG973:AH973"/>
    <mergeCell ref="AG955:AH955"/>
    <mergeCell ref="AJ955:AQ957"/>
    <mergeCell ref="D974:AE976"/>
    <mergeCell ref="D956:AE956"/>
    <mergeCell ref="D969:AE969"/>
    <mergeCell ref="AY924:AZ924"/>
    <mergeCell ref="AY925:AZ925"/>
    <mergeCell ref="L923:S923"/>
    <mergeCell ref="M930:S930"/>
    <mergeCell ref="AA935:AG935"/>
    <mergeCell ref="W936:AG936"/>
    <mergeCell ref="AA937:AG937"/>
    <mergeCell ref="T935:Z935"/>
    <mergeCell ref="F937:L937"/>
    <mergeCell ref="H661:R661"/>
    <mergeCell ref="Z601:AK601"/>
    <mergeCell ref="G594:L594"/>
    <mergeCell ref="P594:R594"/>
    <mergeCell ref="G601:R601"/>
    <mergeCell ref="H603:R603"/>
    <mergeCell ref="N596:O596"/>
    <mergeCell ref="N604:O604"/>
    <mergeCell ref="Z657:AK657"/>
    <mergeCell ref="Z656:AK656"/>
    <mergeCell ref="B726:F726"/>
    <mergeCell ref="B729:F729"/>
    <mergeCell ref="J775:N775"/>
    <mergeCell ref="J776:N776"/>
    <mergeCell ref="O776:S776"/>
    <mergeCell ref="U808:X808"/>
    <mergeCell ref="O768:S768"/>
    <mergeCell ref="J769:N769"/>
    <mergeCell ref="Q809:T809"/>
    <mergeCell ref="Y779:AC779"/>
    <mergeCell ref="AC810:AF810"/>
    <mergeCell ref="W840:AC840"/>
    <mergeCell ref="AY923:AZ923"/>
    <mergeCell ref="AE919:AK919"/>
    <mergeCell ref="AA934:AG934"/>
    <mergeCell ref="AA933:AG933"/>
    <mergeCell ref="AE922:AK922"/>
    <mergeCell ref="L924:S924"/>
    <mergeCell ref="AY928:AZ928"/>
    <mergeCell ref="AY926:BA926"/>
    <mergeCell ref="BA930:BB930"/>
    <mergeCell ref="AY921:AZ921"/>
    <mergeCell ref="J762:N765"/>
    <mergeCell ref="G731:J731"/>
    <mergeCell ref="G712:J712"/>
    <mergeCell ref="Z692:AE692"/>
    <mergeCell ref="Z598:AK598"/>
    <mergeCell ref="G615:R615"/>
    <mergeCell ref="Z649:AK649"/>
    <mergeCell ref="G648:R648"/>
    <mergeCell ref="G618:L618"/>
    <mergeCell ref="H611:R611"/>
    <mergeCell ref="R632:T632"/>
    <mergeCell ref="O767:S767"/>
    <mergeCell ref="U806:X806"/>
    <mergeCell ref="O754:S754"/>
    <mergeCell ref="J755:N755"/>
    <mergeCell ref="O755:S755"/>
    <mergeCell ref="G723:J723"/>
    <mergeCell ref="G724:J724"/>
    <mergeCell ref="J756:N756"/>
    <mergeCell ref="Y806:AB806"/>
    <mergeCell ref="C808:H808"/>
    <mergeCell ref="B722:F722"/>
    <mergeCell ref="AY930:AZ930"/>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Z665:AK665"/>
    <mergeCell ref="N366:AF367"/>
    <mergeCell ref="AC378:AJ378"/>
    <mergeCell ref="H337:R337"/>
    <mergeCell ref="AI610:AK610"/>
    <mergeCell ref="AA619:AK619"/>
    <mergeCell ref="AG384:AJ384"/>
    <mergeCell ref="A622:AS623"/>
    <mergeCell ref="B557:P559"/>
    <mergeCell ref="AM557:AS559"/>
    <mergeCell ref="H341:M341"/>
    <mergeCell ref="Q384:U384"/>
    <mergeCell ref="AA595:AK595"/>
    <mergeCell ref="AI594:AK594"/>
    <mergeCell ref="Z648:AK648"/>
    <mergeCell ref="X637:AB637"/>
    <mergeCell ref="AC637:AE637"/>
    <mergeCell ref="Z786:AE786"/>
    <mergeCell ref="W820:AC820"/>
    <mergeCell ref="W839:AC839"/>
    <mergeCell ref="AG810:AJ810"/>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M351:N351"/>
    <mergeCell ref="AI325:AK325"/>
    <mergeCell ref="P333:R333"/>
    <mergeCell ref="AA318:AF318"/>
    <mergeCell ref="N365:Q365"/>
    <mergeCell ref="K729:N729"/>
    <mergeCell ref="Y711:AB711"/>
    <mergeCell ref="AH729:AL729"/>
    <mergeCell ref="AA330:AK330"/>
    <mergeCell ref="AJ351:AK351"/>
    <mergeCell ref="A345:AL346"/>
    <mergeCell ref="AA343:AK343"/>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P325:R325"/>
    <mergeCell ref="H326:M326"/>
    <mergeCell ref="AA332:AK332"/>
    <mergeCell ref="AA329:AK329"/>
    <mergeCell ref="AA325:AF325"/>
    <mergeCell ref="H331:R331"/>
    <mergeCell ref="AA305:AK305"/>
    <mergeCell ref="AA311:AK311"/>
    <mergeCell ref="P301:R301"/>
    <mergeCell ref="AI301:AK301"/>
    <mergeCell ref="J772:N772"/>
    <mergeCell ref="L281:AD281"/>
    <mergeCell ref="Z791:AE791"/>
    <mergeCell ref="H322:R322"/>
    <mergeCell ref="H324:R324"/>
    <mergeCell ref="AA298:AK298"/>
    <mergeCell ref="H323:R323"/>
    <mergeCell ref="AA323:AK323"/>
    <mergeCell ref="AA302:AF302"/>
    <mergeCell ref="L276:AJ276"/>
    <mergeCell ref="V278:W278"/>
    <mergeCell ref="H307:R307"/>
    <mergeCell ref="H321:R321"/>
    <mergeCell ref="AA303:AK303"/>
    <mergeCell ref="M267:T267"/>
    <mergeCell ref="AF261:AK261"/>
    <mergeCell ref="H293:M293"/>
    <mergeCell ref="P317:R317"/>
    <mergeCell ref="M263:T263"/>
    <mergeCell ref="D272:H272"/>
    <mergeCell ref="M266:AE266"/>
    <mergeCell ref="AA322:AK322"/>
    <mergeCell ref="AA317:AF317"/>
    <mergeCell ref="H317:M317"/>
    <mergeCell ref="AA289:AK289"/>
    <mergeCell ref="L282:AD282"/>
    <mergeCell ref="H301:M301"/>
    <mergeCell ref="AA291:AK291"/>
    <mergeCell ref="H291:R291"/>
    <mergeCell ref="AA290:AK290"/>
    <mergeCell ref="H295:R295"/>
    <mergeCell ref="AI293:AK293"/>
    <mergeCell ref="H315:R315"/>
    <mergeCell ref="H316:R316"/>
    <mergeCell ref="H308:R30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M254:AE254"/>
    <mergeCell ref="M264:AE264"/>
    <mergeCell ref="AC255:AE255"/>
    <mergeCell ref="M256:AE256"/>
    <mergeCell ref="D167:Y167"/>
    <mergeCell ref="W237:X237"/>
    <mergeCell ref="M242:AE242"/>
    <mergeCell ref="O161:R161"/>
    <mergeCell ref="O156:AH156"/>
    <mergeCell ref="W162:X162"/>
    <mergeCell ref="M255:T255"/>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AA895:AF895"/>
    <mergeCell ref="AA897:AF897"/>
    <mergeCell ref="B725:F725"/>
    <mergeCell ref="J748:N751"/>
    <mergeCell ref="O752:S752"/>
    <mergeCell ref="B730:F730"/>
    <mergeCell ref="B728:F728"/>
    <mergeCell ref="O762:S765"/>
    <mergeCell ref="T727:X727"/>
    <mergeCell ref="Y727:AB727"/>
    <mergeCell ref="AC727:AG727"/>
    <mergeCell ref="W831:AC831"/>
    <mergeCell ref="J827:V827"/>
    <mergeCell ref="Y810:AB810"/>
    <mergeCell ref="AC807:AF807"/>
    <mergeCell ref="Q810:T810"/>
    <mergeCell ref="Q803:T803"/>
    <mergeCell ref="G714:J714"/>
    <mergeCell ref="K730:N730"/>
    <mergeCell ref="O730:S730"/>
    <mergeCell ref="K727:N727"/>
    <mergeCell ref="O727:S727"/>
    <mergeCell ref="O729:S729"/>
    <mergeCell ref="G716:J716"/>
    <mergeCell ref="G728:J728"/>
    <mergeCell ref="G730:J730"/>
    <mergeCell ref="B718:F718"/>
    <mergeCell ref="U810:X810"/>
    <mergeCell ref="G729:J729"/>
    <mergeCell ref="B727:F727"/>
    <mergeCell ref="B724:F724"/>
    <mergeCell ref="B720:F720"/>
    <mergeCell ref="B721:F721"/>
    <mergeCell ref="Y808:AB808"/>
    <mergeCell ref="G722:J722"/>
    <mergeCell ref="J773:N773"/>
    <mergeCell ref="O773:S773"/>
    <mergeCell ref="BN626:BR626"/>
    <mergeCell ref="BK609:BL609"/>
    <mergeCell ref="BI609:BJ609"/>
    <mergeCell ref="BK611:BL611"/>
    <mergeCell ref="BI610:BJ610"/>
    <mergeCell ref="BI612:BJ612"/>
    <mergeCell ref="AH727:AL727"/>
    <mergeCell ref="AM727:AO727"/>
    <mergeCell ref="K728:N728"/>
    <mergeCell ref="O728:S728"/>
    <mergeCell ref="T728:X728"/>
    <mergeCell ref="Y728:AB728"/>
    <mergeCell ref="AC728:AG728"/>
    <mergeCell ref="AH728:AL728"/>
    <mergeCell ref="AM728:AO728"/>
    <mergeCell ref="Y729:AB729"/>
    <mergeCell ref="AC729:AG729"/>
    <mergeCell ref="Z667:AK667"/>
    <mergeCell ref="G667:R667"/>
    <mergeCell ref="H669:R669"/>
    <mergeCell ref="AG620:AH620"/>
    <mergeCell ref="Z618:AE618"/>
    <mergeCell ref="Z652:AE652"/>
    <mergeCell ref="AC635:AE635"/>
    <mergeCell ref="AF635:AJ635"/>
    <mergeCell ref="BE627:BF627"/>
    <mergeCell ref="BI626:BJ626"/>
    <mergeCell ref="BE625:BF625"/>
    <mergeCell ref="BG625:BH625"/>
    <mergeCell ref="AF634:AJ634"/>
    <mergeCell ref="AK634:AN634"/>
    <mergeCell ref="AO634:AS634"/>
    <mergeCell ref="U899:Z899"/>
    <mergeCell ref="U902:Z902"/>
    <mergeCell ref="AA902:AF902"/>
    <mergeCell ref="AE923:AK923"/>
    <mergeCell ref="U907:Z907"/>
    <mergeCell ref="AA905:AF905"/>
    <mergeCell ref="Z876:AE876"/>
    <mergeCell ref="AA894:AF894"/>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AC801:AF802"/>
    <mergeCell ref="O772:S772"/>
    <mergeCell ref="X775:AB775"/>
    <mergeCell ref="AC775:AG775"/>
    <mergeCell ref="AC776:AG77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A310:AF310"/>
    <mergeCell ref="AA299:AK299"/>
    <mergeCell ref="H299:R299"/>
    <mergeCell ref="H303:R303"/>
    <mergeCell ref="P309:R309"/>
    <mergeCell ref="H309:M309"/>
    <mergeCell ref="W255:X255"/>
    <mergeCell ref="H314:R314"/>
    <mergeCell ref="P293:R293"/>
    <mergeCell ref="AA306:AK306"/>
    <mergeCell ref="AA313:AK313"/>
    <mergeCell ref="H311:R311"/>
    <mergeCell ref="T280:V280"/>
    <mergeCell ref="H298:R298"/>
    <mergeCell ref="AI309:AK309"/>
    <mergeCell ref="AA308:AK308"/>
    <mergeCell ref="L277:AD277"/>
    <mergeCell ref="L278:S278"/>
    <mergeCell ref="AA295:AK295"/>
    <mergeCell ref="AA267:AK267"/>
    <mergeCell ref="H290:R290"/>
    <mergeCell ref="U257:W257"/>
    <mergeCell ref="H310:M310"/>
    <mergeCell ref="AA259:AK259"/>
    <mergeCell ref="L279:AD279"/>
    <mergeCell ref="X272:AC272"/>
    <mergeCell ref="H289:R289"/>
    <mergeCell ref="M262:AE262"/>
    <mergeCell ref="AA293:AF293"/>
    <mergeCell ref="Z239:AE239"/>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s>
  <phoneticPr fontId="0" type="noConversion"/>
  <conditionalFormatting sqref="AF990">
    <cfRule type="cellIs" dxfId="135" priority="2" stopIfTrue="1" operator="equal">
      <formula>"Please Enter Amount:"</formula>
    </cfRule>
  </conditionalFormatting>
  <conditionalFormatting sqref="B1013 B1011">
    <cfRule type="cellIs" dxfId="134" priority="7" stopIfTrue="1" operator="equal">
      <formula>#N/A</formula>
    </cfRule>
  </conditionalFormatting>
  <conditionalFormatting sqref="AG434:AJ434">
    <cfRule type="expression" dxfId="133" priority="9" stopIfTrue="1">
      <formula>"iserror(d31)"</formula>
    </cfRule>
  </conditionalFormatting>
  <conditionalFormatting sqref="AF978">
    <cfRule type="cellIs" dxfId="132" priority="3" stopIfTrue="1" operator="equal">
      <formula>"Please Enter Amount:"</formula>
    </cfRule>
  </conditionalFormatting>
  <conditionalFormatting sqref="AF983">
    <cfRule type="cellIs" dxfId="13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60" zoomScaleNormal="160" zoomScaleSheetLayoutView="100" workbookViewId="0">
      <pane xSplit="2" ySplit="3" topLeftCell="P39" activePane="bottomRight" state="frozen"/>
      <selection pane="topRight" activeCell="C1" sqref="C1"/>
      <selection pane="bottomLeft" activeCell="A4" sqref="A4"/>
      <selection pane="bottomRight" activeCell="M30" sqref="H30:M30"/>
    </sheetView>
  </sheetViews>
  <sheetFormatPr defaultColWidth="8.6640625" defaultRowHeight="12" zeroHeight="1"/>
  <cols>
    <col min="1" max="1" width="32.44140625" style="765" customWidth="1"/>
    <col min="2" max="12" width="12.109375" style="763" customWidth="1"/>
    <col min="13" max="17" width="11.44140625" style="763" customWidth="1"/>
    <col min="18" max="18" width="12.44140625" style="763" customWidth="1"/>
    <col min="19" max="20" width="12.109375" style="763" customWidth="1"/>
    <col min="21" max="21" width="0.44140625" style="764" customWidth="1"/>
    <col min="22" max="16384" width="8.6640625" style="763"/>
  </cols>
  <sheetData>
    <row r="1" spans="1:21" s="312" customFormat="1" ht="13.8">
      <c r="A1" s="399" t="s">
        <v>146</v>
      </c>
      <c r="B1" s="352"/>
      <c r="C1" s="352"/>
      <c r="D1" s="352"/>
      <c r="E1" s="353"/>
      <c r="F1" s="2243" t="s">
        <v>201</v>
      </c>
      <c r="G1" s="2244"/>
      <c r="H1" s="2244"/>
      <c r="I1" s="2244"/>
      <c r="J1" s="2244"/>
      <c r="K1" s="2244"/>
      <c r="L1" s="2244"/>
      <c r="M1" s="2244"/>
      <c r="N1" s="2244"/>
      <c r="O1" s="2244"/>
      <c r="P1" s="2244"/>
      <c r="Q1" s="2244"/>
      <c r="R1" s="2245"/>
      <c r="S1" s="314"/>
      <c r="T1" s="313"/>
      <c r="U1" s="315"/>
    </row>
    <row r="2" spans="1:21" s="362" customFormat="1" ht="60" customHeight="1">
      <c r="A2" s="361"/>
      <c r="B2" s="362" t="s">
        <v>876</v>
      </c>
      <c r="C2" s="362" t="s">
        <v>565</v>
      </c>
      <c r="D2" s="432" t="s">
        <v>564</v>
      </c>
      <c r="E2" s="362" t="s">
        <v>877</v>
      </c>
      <c r="F2" s="363" t="str">
        <f>Application!B632&amp;Application!C632</f>
        <v>1)Seller Carryback Loan</v>
      </c>
      <c r="G2" s="363" t="str">
        <f>Application!B633&amp;Application!C633</f>
        <v>2)</v>
      </c>
      <c r="H2" s="363" t="str">
        <f>Application!B634&amp;Application!C634</f>
        <v>3)HCD No Place Like Home (NPLH) - Capital</v>
      </c>
      <c r="I2" s="363" t="str">
        <f>Application!B635&amp;Application!C635</f>
        <v>4)Sponsor Loan: CDBG-DR</v>
      </c>
      <c r="J2" s="363" t="str">
        <f>Application!B636&amp;Application!C636</f>
        <v>5)City of Napa - HTF Loan</v>
      </c>
      <c r="K2" s="363" t="str">
        <f>Application!B637&amp;Application!C637</f>
        <v>6)County of Napa</v>
      </c>
      <c r="L2" s="363" t="str">
        <f>Application!B638&amp;Application!C638</f>
        <v>7)County of Napa - Whole Person Care</v>
      </c>
      <c r="M2" s="363" t="str">
        <f>Application!B639&amp;Application!C639</f>
        <v>8)NPLH - Non-competitive</v>
      </c>
      <c r="N2" s="363" t="str">
        <f>Application!B640&amp;Application!C640</f>
        <v>9)Sponsor Loan (Queen of the Valley)</v>
      </c>
      <c r="O2" s="363" t="str">
        <f>Application!B641&amp;Application!C641</f>
        <v>10)Sponsor Loan: NPLH - Technical Assistance</v>
      </c>
      <c r="P2" s="363" t="str">
        <f>Application!B642&amp;Application!C642</f>
        <v>11)GP Equity: Partnership Health Grant</v>
      </c>
      <c r="Q2" s="363" t="str">
        <f>Application!B643&amp;Application!C643</f>
        <v>12)HCD No Place Like Home (NPLH) - COSR</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5580000</v>
      </c>
      <c r="C4" s="371">
        <v>5580000</v>
      </c>
      <c r="D4" s="371"/>
      <c r="E4" s="371">
        <f>C4-SUM(F4:Q4)</f>
        <v>1317985</v>
      </c>
      <c r="F4" s="371">
        <f>F107</f>
        <v>4262015</v>
      </c>
      <c r="G4" s="371"/>
      <c r="H4" s="371"/>
      <c r="I4" s="371"/>
      <c r="J4" s="371"/>
      <c r="K4" s="371"/>
      <c r="L4" s="371"/>
      <c r="M4" s="371"/>
      <c r="N4" s="371"/>
      <c r="O4" s="371"/>
      <c r="P4" s="371"/>
      <c r="Q4" s="371"/>
      <c r="R4" s="371">
        <f>C4</f>
        <v>5580000</v>
      </c>
      <c r="S4" s="372"/>
      <c r="T4" s="372"/>
      <c r="U4" s="367"/>
    </row>
    <row r="5" spans="1:21" s="368" customFormat="1" ht="13.2">
      <c r="A5" s="481" t="s">
        <v>75</v>
      </c>
      <c r="B5" s="370">
        <f>SUM(C5+D5)</f>
        <v>401564</v>
      </c>
      <c r="C5" s="371">
        <v>401564</v>
      </c>
      <c r="D5" s="371"/>
      <c r="E5" s="371">
        <f t="shared" ref="E5:E10" si="0">C5-SUM(F5:Q5)</f>
        <v>401564</v>
      </c>
      <c r="F5" s="371"/>
      <c r="G5" s="371"/>
      <c r="H5" s="371"/>
      <c r="I5" s="371"/>
      <c r="J5" s="371"/>
      <c r="K5" s="371"/>
      <c r="L5" s="371"/>
      <c r="M5" s="371"/>
      <c r="N5" s="371"/>
      <c r="O5" s="371"/>
      <c r="P5" s="371"/>
      <c r="Q5" s="371"/>
      <c r="R5" s="371">
        <f>SUM(E5:Q5)</f>
        <v>401564</v>
      </c>
      <c r="S5" s="372"/>
      <c r="T5" s="372"/>
      <c r="U5" s="367"/>
    </row>
    <row r="6" spans="1:21" s="368" customFormat="1" ht="11.4">
      <c r="A6" s="369" t="s">
        <v>382</v>
      </c>
      <c r="B6" s="370">
        <f>SUM(C6+D6)</f>
        <v>10000</v>
      </c>
      <c r="C6" s="371">
        <v>10000</v>
      </c>
      <c r="D6" s="371"/>
      <c r="E6" s="371">
        <f t="shared" si="0"/>
        <v>10000</v>
      </c>
      <c r="F6" s="371"/>
      <c r="G6" s="371"/>
      <c r="H6" s="371"/>
      <c r="I6" s="371"/>
      <c r="J6" s="371"/>
      <c r="K6" s="371"/>
      <c r="L6" s="371"/>
      <c r="M6" s="371"/>
      <c r="N6" s="371"/>
      <c r="O6" s="371"/>
      <c r="P6" s="371"/>
      <c r="Q6" s="371"/>
      <c r="R6" s="371">
        <f>SUM(E6:Q6)</f>
        <v>10000</v>
      </c>
      <c r="S6" s="372"/>
      <c r="T6" s="372"/>
      <c r="U6" s="367"/>
    </row>
    <row r="7" spans="1:21" s="368" customFormat="1" ht="11.4">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5991564</v>
      </c>
      <c r="C8" s="370">
        <f t="shared" ref="C8:R8" si="1">SUM(C4:C7)</f>
        <v>5991564</v>
      </c>
      <c r="D8" s="370">
        <f t="shared" si="1"/>
        <v>0</v>
      </c>
      <c r="E8" s="370">
        <f t="shared" si="1"/>
        <v>1729549</v>
      </c>
      <c r="F8" s="370">
        <f t="shared" si="1"/>
        <v>4262015</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5991564</v>
      </c>
      <c r="S8" s="372"/>
      <c r="T8" s="372"/>
      <c r="U8" s="367"/>
    </row>
    <row r="9" spans="1:21" s="368" customFormat="1" ht="11.4">
      <c r="A9" s="369" t="s">
        <v>1938</v>
      </c>
      <c r="B9" s="370">
        <f>SUM(C9+D9)</f>
        <v>0</v>
      </c>
      <c r="C9" s="371"/>
      <c r="D9" s="371"/>
      <c r="E9" s="371">
        <f t="shared" si="0"/>
        <v>0</v>
      </c>
      <c r="F9" s="371"/>
      <c r="G9" s="371"/>
      <c r="H9" s="371"/>
      <c r="I9" s="371"/>
      <c r="J9" s="371"/>
      <c r="K9" s="371"/>
      <c r="L9" s="371"/>
      <c r="M9" s="371"/>
      <c r="N9" s="371"/>
      <c r="O9" s="371"/>
      <c r="P9" s="371"/>
      <c r="Q9" s="371"/>
      <c r="R9" s="371">
        <f>C9</f>
        <v>0</v>
      </c>
      <c r="S9" s="372"/>
      <c r="T9" s="371"/>
      <c r="U9" s="367"/>
    </row>
    <row r="10" spans="1:21" s="368" customFormat="1" ht="13.2">
      <c r="A10" s="481" t="s">
        <v>76</v>
      </c>
      <c r="B10" s="370">
        <f>SUM(C10+D10)</f>
        <v>285000</v>
      </c>
      <c r="C10" s="371">
        <v>285000</v>
      </c>
      <c r="D10" s="371"/>
      <c r="E10" s="371">
        <f t="shared" si="0"/>
        <v>285000</v>
      </c>
      <c r="F10" s="371"/>
      <c r="G10" s="371"/>
      <c r="H10" s="371"/>
      <c r="I10" s="371"/>
      <c r="J10" s="371"/>
      <c r="K10" s="371"/>
      <c r="L10" s="371"/>
      <c r="M10" s="371"/>
      <c r="N10" s="371"/>
      <c r="O10" s="371"/>
      <c r="P10" s="371"/>
      <c r="Q10" s="371"/>
      <c r="R10" s="371">
        <f>SUM(E10:Q10)</f>
        <v>285000</v>
      </c>
      <c r="S10" s="371">
        <f>C10</f>
        <v>285000</v>
      </c>
      <c r="T10" s="371"/>
      <c r="U10" s="367"/>
    </row>
    <row r="11" spans="1:21" s="368" customFormat="1">
      <c r="A11" s="373" t="s">
        <v>646</v>
      </c>
      <c r="B11" s="370">
        <f>SUM(C11:D11)</f>
        <v>285000</v>
      </c>
      <c r="C11" s="370">
        <f t="shared" ref="C11:T11" si="2">SUM(C9:C10)</f>
        <v>285000</v>
      </c>
      <c r="D11" s="370">
        <f t="shared" si="2"/>
        <v>0</v>
      </c>
      <c r="E11" s="370">
        <f t="shared" si="2"/>
        <v>285000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285000</v>
      </c>
      <c r="S11" s="372"/>
      <c r="T11" s="370">
        <f t="shared" si="2"/>
        <v>0</v>
      </c>
      <c r="U11" s="367"/>
    </row>
    <row r="12" spans="1:21" s="368" customFormat="1">
      <c r="A12" s="373" t="s">
        <v>778</v>
      </c>
      <c r="B12" s="370">
        <f t="shared" ref="B12:R12" si="3">SUM(B8+B11)</f>
        <v>6276564</v>
      </c>
      <c r="C12" s="370">
        <f t="shared" si="3"/>
        <v>6276564</v>
      </c>
      <c r="D12" s="370">
        <f t="shared" si="3"/>
        <v>0</v>
      </c>
      <c r="E12" s="370">
        <f t="shared" si="3"/>
        <v>2014549</v>
      </c>
      <c r="F12" s="370">
        <f t="shared" si="3"/>
        <v>4262015</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6276564</v>
      </c>
      <c r="S12" s="372"/>
      <c r="T12" s="372"/>
      <c r="U12" s="367"/>
    </row>
    <row r="13" spans="1:21" s="368" customFormat="1" ht="11.4">
      <c r="A13" s="719" t="s">
        <v>1229</v>
      </c>
      <c r="B13" s="370">
        <f>SUM(C13+D13)</f>
        <v>140000</v>
      </c>
      <c r="C13" s="371">
        <v>140000</v>
      </c>
      <c r="D13" s="371"/>
      <c r="E13" s="371">
        <f t="shared" ref="E13" si="4">C13-SUM(F13:Q13)</f>
        <v>140000</v>
      </c>
      <c r="F13" s="371"/>
      <c r="G13" s="371"/>
      <c r="H13" s="371"/>
      <c r="I13" s="371"/>
      <c r="J13" s="371"/>
      <c r="K13" s="371"/>
      <c r="L13" s="371"/>
      <c r="M13" s="371"/>
      <c r="N13" s="371"/>
      <c r="O13" s="371"/>
      <c r="P13" s="371"/>
      <c r="Q13" s="371"/>
      <c r="R13" s="371">
        <f>SUM(E13:Q13)</f>
        <v>140000</v>
      </c>
      <c r="S13" s="371">
        <f>B13</f>
        <v>140000</v>
      </c>
      <c r="T13" s="371"/>
      <c r="U13" s="367"/>
    </row>
    <row r="14" spans="1:21" s="368" customFormat="1" ht="22.8">
      <c r="A14" s="720"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0"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ht="11.4">
      <c r="A21" s="369" t="s">
        <v>1018</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ht="11.4">
      <c r="A22" s="369" t="s">
        <v>1019</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ht="11.4">
      <c r="A23" s="369" t="s">
        <v>1020</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ht="11.4">
      <c r="A24" s="380" t="s">
        <v>2239</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ht="11.4">
      <c r="A25" s="376" t="s">
        <v>592</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248</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1021</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8">SUM(C29+D29)</f>
        <v>2658753</v>
      </c>
      <c r="C29" s="371">
        <v>2658753</v>
      </c>
      <c r="D29" s="371"/>
      <c r="E29" s="371">
        <f t="shared" ref="E29:E37" si="9">C29-SUM(F29:Q29)</f>
        <v>2658753</v>
      </c>
      <c r="F29" s="371"/>
      <c r="G29" s="371"/>
      <c r="H29" s="371"/>
      <c r="I29" s="371"/>
      <c r="J29" s="371"/>
      <c r="K29" s="371"/>
      <c r="L29" s="371"/>
      <c r="M29" s="371"/>
      <c r="N29" s="371"/>
      <c r="O29" s="371"/>
      <c r="P29" s="371"/>
      <c r="Q29" s="371"/>
      <c r="R29" s="371">
        <f t="shared" ref="R29:R37" si="10">SUM(E29:Q29)</f>
        <v>2658753</v>
      </c>
      <c r="S29" s="371">
        <f>B29</f>
        <v>2658753</v>
      </c>
      <c r="T29" s="371"/>
      <c r="U29" s="367"/>
    </row>
    <row r="30" spans="1:21" s="368" customFormat="1" ht="11.4">
      <c r="A30" s="369" t="s">
        <v>1015</v>
      </c>
      <c r="B30" s="370">
        <f t="shared" si="8"/>
        <v>20318318</v>
      </c>
      <c r="C30" s="371">
        <f>18534287+1784031</f>
        <v>20318318</v>
      </c>
      <c r="D30" s="371"/>
      <c r="E30" s="371">
        <f t="shared" si="9"/>
        <v>6982407</v>
      </c>
      <c r="F30" s="371"/>
      <c r="G30" s="371">
        <f>G107</f>
        <v>0</v>
      </c>
      <c r="H30" s="371">
        <v>5653152</v>
      </c>
      <c r="I30" s="371">
        <f>I107</f>
        <v>2664774</v>
      </c>
      <c r="J30" s="371">
        <f>J107</f>
        <v>2200000</v>
      </c>
      <c r="K30" s="371">
        <f>K107</f>
        <v>1317985</v>
      </c>
      <c r="L30" s="371">
        <f>L107</f>
        <v>1000000</v>
      </c>
      <c r="M30" s="371">
        <f>M107</f>
        <v>500000</v>
      </c>
      <c r="N30" s="371"/>
      <c r="O30" s="371"/>
      <c r="P30" s="371"/>
      <c r="Q30" s="371"/>
      <c r="R30" s="371">
        <f t="shared" si="10"/>
        <v>20318318</v>
      </c>
      <c r="S30" s="371">
        <f t="shared" ref="S30:S37" si="11">B30</f>
        <v>20318318</v>
      </c>
      <c r="T30" s="371"/>
      <c r="U30" s="367"/>
    </row>
    <row r="31" spans="1:21" s="368" customFormat="1" ht="11.4">
      <c r="A31" s="369" t="s">
        <v>1016</v>
      </c>
      <c r="B31" s="370">
        <f t="shared" si="8"/>
        <v>1268276</v>
      </c>
      <c r="C31" s="371">
        <v>1268276</v>
      </c>
      <c r="D31" s="371"/>
      <c r="E31" s="371">
        <f t="shared" si="9"/>
        <v>268276</v>
      </c>
      <c r="F31" s="371"/>
      <c r="G31" s="371"/>
      <c r="H31" s="371"/>
      <c r="I31" s="371"/>
      <c r="J31" s="371"/>
      <c r="K31" s="371"/>
      <c r="L31" s="371"/>
      <c r="M31" s="371"/>
      <c r="N31" s="371"/>
      <c r="O31" s="371"/>
      <c r="P31" s="371">
        <f>P107</f>
        <v>1000000</v>
      </c>
      <c r="Q31" s="371"/>
      <c r="R31" s="371">
        <f t="shared" si="10"/>
        <v>1268276</v>
      </c>
      <c r="S31" s="371">
        <f t="shared" si="11"/>
        <v>1268276</v>
      </c>
      <c r="T31" s="371"/>
      <c r="U31" s="367"/>
    </row>
    <row r="32" spans="1:21" s="368" customFormat="1" ht="11.4">
      <c r="A32" s="369" t="s">
        <v>1017</v>
      </c>
      <c r="B32" s="370">
        <f t="shared" si="8"/>
        <v>900179</v>
      </c>
      <c r="C32" s="371">
        <f>1800358/2</f>
        <v>900179</v>
      </c>
      <c r="D32" s="371"/>
      <c r="E32" s="371">
        <f t="shared" si="9"/>
        <v>900179</v>
      </c>
      <c r="F32" s="371"/>
      <c r="G32" s="371"/>
      <c r="H32" s="371"/>
      <c r="I32" s="371"/>
      <c r="J32" s="371"/>
      <c r="K32" s="371"/>
      <c r="L32" s="371"/>
      <c r="M32" s="371"/>
      <c r="N32" s="371"/>
      <c r="O32" s="371"/>
      <c r="P32" s="371"/>
      <c r="Q32" s="371"/>
      <c r="R32" s="371">
        <f t="shared" si="10"/>
        <v>900179</v>
      </c>
      <c r="S32" s="371">
        <f t="shared" si="11"/>
        <v>900179</v>
      </c>
      <c r="T32" s="371"/>
      <c r="U32" s="367"/>
    </row>
    <row r="33" spans="1:21" s="368" customFormat="1" ht="11.4">
      <c r="A33" s="369" t="s">
        <v>1018</v>
      </c>
      <c r="B33" s="370">
        <f t="shared" si="8"/>
        <v>900179</v>
      </c>
      <c r="C33" s="371">
        <f>1800358/2</f>
        <v>900179</v>
      </c>
      <c r="D33" s="371"/>
      <c r="E33" s="371">
        <f t="shared" si="9"/>
        <v>900179</v>
      </c>
      <c r="F33" s="371"/>
      <c r="G33" s="371"/>
      <c r="H33" s="371"/>
      <c r="I33" s="371"/>
      <c r="J33" s="371"/>
      <c r="K33" s="371"/>
      <c r="L33" s="371"/>
      <c r="M33" s="371"/>
      <c r="N33" s="371"/>
      <c r="O33" s="371"/>
      <c r="P33" s="371"/>
      <c r="Q33" s="371"/>
      <c r="R33" s="371">
        <f t="shared" si="10"/>
        <v>900179</v>
      </c>
      <c r="S33" s="371">
        <f t="shared" si="11"/>
        <v>900179</v>
      </c>
      <c r="T33" s="371"/>
      <c r="U33" s="367"/>
    </row>
    <row r="34" spans="1:21" s="368" customFormat="1" ht="11.4">
      <c r="A34" s="369" t="s">
        <v>1019</v>
      </c>
      <c r="B34" s="370">
        <f t="shared" si="8"/>
        <v>0</v>
      </c>
      <c r="C34" s="371"/>
      <c r="D34" s="371"/>
      <c r="E34" s="371">
        <f t="shared" si="9"/>
        <v>0</v>
      </c>
      <c r="F34" s="371"/>
      <c r="G34" s="371"/>
      <c r="H34" s="371"/>
      <c r="I34" s="371"/>
      <c r="J34" s="371"/>
      <c r="K34" s="371"/>
      <c r="L34" s="371"/>
      <c r="M34" s="371"/>
      <c r="N34" s="371"/>
      <c r="O34" s="371"/>
      <c r="P34" s="371"/>
      <c r="Q34" s="371"/>
      <c r="R34" s="371">
        <f t="shared" si="10"/>
        <v>0</v>
      </c>
      <c r="S34" s="371">
        <f t="shared" si="11"/>
        <v>0</v>
      </c>
      <c r="T34" s="371"/>
      <c r="U34" s="367"/>
    </row>
    <row r="35" spans="1:21" s="368" customFormat="1" ht="11.4">
      <c r="A35" s="369" t="s">
        <v>1020</v>
      </c>
      <c r="B35" s="370">
        <f t="shared" si="8"/>
        <v>186990</v>
      </c>
      <c r="C35" s="371">
        <v>186990</v>
      </c>
      <c r="D35" s="371"/>
      <c r="E35" s="371">
        <f t="shared" si="9"/>
        <v>186990</v>
      </c>
      <c r="F35" s="371"/>
      <c r="G35" s="371"/>
      <c r="H35" s="371"/>
      <c r="I35" s="371"/>
      <c r="J35" s="371"/>
      <c r="K35" s="371"/>
      <c r="L35" s="371"/>
      <c r="M35" s="371"/>
      <c r="N35" s="371"/>
      <c r="O35" s="371"/>
      <c r="P35" s="371"/>
      <c r="Q35" s="371"/>
      <c r="R35" s="371">
        <f t="shared" si="10"/>
        <v>186990</v>
      </c>
      <c r="S35" s="371">
        <f t="shared" si="11"/>
        <v>186990</v>
      </c>
      <c r="T35" s="371"/>
      <c r="U35" s="367"/>
    </row>
    <row r="36" spans="1:21" s="368" customFormat="1" ht="11.4">
      <c r="A36" s="380" t="s">
        <v>2239</v>
      </c>
      <c r="B36" s="370">
        <f t="shared" si="8"/>
        <v>0</v>
      </c>
      <c r="C36" s="371"/>
      <c r="D36" s="371"/>
      <c r="E36" s="371">
        <f t="shared" si="9"/>
        <v>0</v>
      </c>
      <c r="F36" s="371"/>
      <c r="G36" s="371"/>
      <c r="H36" s="371"/>
      <c r="I36" s="371"/>
      <c r="J36" s="371"/>
      <c r="K36" s="371"/>
      <c r="L36" s="371"/>
      <c r="M36" s="371"/>
      <c r="N36" s="371"/>
      <c r="O36" s="371"/>
      <c r="P36" s="371"/>
      <c r="Q36" s="371"/>
      <c r="R36" s="371">
        <f t="shared" si="10"/>
        <v>0</v>
      </c>
      <c r="S36" s="371">
        <f t="shared" si="11"/>
        <v>0</v>
      </c>
      <c r="T36" s="371"/>
      <c r="U36" s="367"/>
    </row>
    <row r="37" spans="1:21" s="368" customFormat="1" ht="11.4">
      <c r="A37" s="376" t="s">
        <v>2482</v>
      </c>
      <c r="B37" s="370">
        <f t="shared" si="8"/>
        <v>137852</v>
      </c>
      <c r="C37" s="371">
        <v>137852</v>
      </c>
      <c r="D37" s="371"/>
      <c r="E37" s="371">
        <f t="shared" si="9"/>
        <v>137852</v>
      </c>
      <c r="F37" s="371"/>
      <c r="G37" s="371"/>
      <c r="H37" s="371"/>
      <c r="I37" s="371"/>
      <c r="J37" s="371"/>
      <c r="K37" s="371"/>
      <c r="L37" s="371"/>
      <c r="M37" s="371"/>
      <c r="N37" s="371"/>
      <c r="O37" s="371"/>
      <c r="P37" s="371"/>
      <c r="Q37" s="371"/>
      <c r="R37" s="371">
        <f t="shared" si="10"/>
        <v>137852</v>
      </c>
      <c r="S37" s="371">
        <f t="shared" si="11"/>
        <v>137852</v>
      </c>
      <c r="T37" s="371"/>
      <c r="U37" s="367"/>
    </row>
    <row r="38" spans="1:21" s="368" customFormat="1">
      <c r="A38" s="373" t="s">
        <v>1023</v>
      </c>
      <c r="B38" s="370">
        <f t="shared" si="8"/>
        <v>26370547</v>
      </c>
      <c r="C38" s="370">
        <f>SUM(C29:C37)</f>
        <v>26370547</v>
      </c>
      <c r="D38" s="370">
        <f>SUM(D29:D37)</f>
        <v>0</v>
      </c>
      <c r="E38" s="370">
        <f>SUM(E29:E37)</f>
        <v>12034636</v>
      </c>
      <c r="F38" s="370">
        <f t="shared" ref="F38:T38" si="12">SUM(F29:F37)</f>
        <v>0</v>
      </c>
      <c r="G38" s="370">
        <f t="shared" si="12"/>
        <v>0</v>
      </c>
      <c r="H38" s="370">
        <f t="shared" si="12"/>
        <v>5653152</v>
      </c>
      <c r="I38" s="370">
        <f t="shared" si="12"/>
        <v>2664774</v>
      </c>
      <c r="J38" s="370">
        <f t="shared" si="12"/>
        <v>2200000</v>
      </c>
      <c r="K38" s="370">
        <f t="shared" si="12"/>
        <v>1317985</v>
      </c>
      <c r="L38" s="370">
        <f t="shared" si="12"/>
        <v>1000000</v>
      </c>
      <c r="M38" s="370">
        <f t="shared" si="12"/>
        <v>500000</v>
      </c>
      <c r="N38" s="370">
        <f t="shared" si="12"/>
        <v>0</v>
      </c>
      <c r="O38" s="370">
        <f t="shared" si="12"/>
        <v>0</v>
      </c>
      <c r="P38" s="370">
        <f t="shared" si="12"/>
        <v>1000000</v>
      </c>
      <c r="Q38" s="370">
        <f t="shared" si="12"/>
        <v>0</v>
      </c>
      <c r="R38" s="370">
        <f t="shared" si="12"/>
        <v>26370547</v>
      </c>
      <c r="S38" s="374">
        <f t="shared" si="12"/>
        <v>26370547</v>
      </c>
      <c r="T38" s="374">
        <f t="shared" si="12"/>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1688927</v>
      </c>
      <c r="C40" s="371">
        <f>1678927+10000</f>
        <v>1688927</v>
      </c>
      <c r="D40" s="371"/>
      <c r="E40" s="371">
        <f t="shared" ref="E40:E41" si="13">C40-SUM(F40:Q40)</f>
        <v>688927</v>
      </c>
      <c r="F40" s="371"/>
      <c r="G40" s="371"/>
      <c r="H40" s="371"/>
      <c r="I40" s="371"/>
      <c r="J40" s="371"/>
      <c r="K40" s="371"/>
      <c r="L40" s="371"/>
      <c r="M40" s="371"/>
      <c r="N40" s="371">
        <f>N107</f>
        <v>1000000</v>
      </c>
      <c r="O40" s="371"/>
      <c r="P40" s="371"/>
      <c r="Q40" s="371"/>
      <c r="R40" s="371">
        <f>SUM(E40:Q40)</f>
        <v>1688927</v>
      </c>
      <c r="S40" s="371">
        <f>B40</f>
        <v>1688927</v>
      </c>
      <c r="T40" s="371"/>
      <c r="U40" s="367"/>
    </row>
    <row r="41" spans="1:21" s="368" customFormat="1" ht="11.4">
      <c r="A41" s="369" t="s">
        <v>1026</v>
      </c>
      <c r="B41" s="370">
        <f>SUM(C41+D41)</f>
        <v>0</v>
      </c>
      <c r="C41" s="371"/>
      <c r="D41" s="371"/>
      <c r="E41" s="371">
        <f t="shared" si="13"/>
        <v>0</v>
      </c>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1688927</v>
      </c>
      <c r="C42" s="370">
        <f>SUM(C39:C41)</f>
        <v>1688927</v>
      </c>
      <c r="D42" s="370">
        <f>SUM(D39:D41)</f>
        <v>0</v>
      </c>
      <c r="E42" s="370">
        <f t="shared" ref="E42:T42" si="14">SUM(E40:E41)</f>
        <v>688927</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1000000</v>
      </c>
      <c r="O42" s="370">
        <f t="shared" si="14"/>
        <v>0</v>
      </c>
      <c r="P42" s="370">
        <f t="shared" si="14"/>
        <v>0</v>
      </c>
      <c r="Q42" s="370">
        <f t="shared" si="14"/>
        <v>0</v>
      </c>
      <c r="R42" s="370">
        <f t="shared" si="14"/>
        <v>1688927</v>
      </c>
      <c r="S42" s="374">
        <f t="shared" si="14"/>
        <v>1688927</v>
      </c>
      <c r="T42" s="374">
        <f t="shared" si="14"/>
        <v>0</v>
      </c>
      <c r="U42" s="367"/>
    </row>
    <row r="43" spans="1:21" s="368" customFormat="1">
      <c r="A43" s="373" t="s">
        <v>1028</v>
      </c>
      <c r="B43" s="370">
        <f>SUM(C43:D43)</f>
        <v>600000</v>
      </c>
      <c r="C43" s="371">
        <v>600000</v>
      </c>
      <c r="D43" s="371"/>
      <c r="E43" s="371">
        <f t="shared" ref="E43" si="15">C43-SUM(F43:Q43)</f>
        <v>600000</v>
      </c>
      <c r="F43" s="371">
        <v>0</v>
      </c>
      <c r="G43" s="371"/>
      <c r="H43" s="371"/>
      <c r="I43" s="371"/>
      <c r="J43" s="371"/>
      <c r="K43" s="371"/>
      <c r="L43" s="371"/>
      <c r="M43" s="371"/>
      <c r="N43" s="371"/>
      <c r="O43" s="371"/>
      <c r="P43" s="371"/>
      <c r="Q43" s="371"/>
      <c r="R43" s="371">
        <f>SUM(E43:Q43)</f>
        <v>600000</v>
      </c>
      <c r="S43" s="371">
        <f>B43</f>
        <v>600000</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6">SUM(C45+D45)</f>
        <v>1237422</v>
      </c>
      <c r="C45" s="371">
        <v>1237422</v>
      </c>
      <c r="D45" s="371"/>
      <c r="E45" s="371">
        <f t="shared" ref="E45:E52" si="17">C45-SUM(F45:Q45)</f>
        <v>1237422</v>
      </c>
      <c r="F45" s="371"/>
      <c r="G45" s="371"/>
      <c r="H45" s="371"/>
      <c r="I45" s="371"/>
      <c r="J45" s="371"/>
      <c r="K45" s="371"/>
      <c r="L45" s="371"/>
      <c r="M45" s="371"/>
      <c r="N45" s="371"/>
      <c r="O45" s="371"/>
      <c r="P45" s="371"/>
      <c r="Q45" s="371"/>
      <c r="R45" s="371">
        <f t="shared" ref="R45:R52" si="18">SUM(E45:Q45)</f>
        <v>1237422</v>
      </c>
      <c r="S45" s="371">
        <v>786083</v>
      </c>
      <c r="T45" s="371"/>
      <c r="U45" s="367"/>
    </row>
    <row r="46" spans="1:21" s="368" customFormat="1" ht="11.4">
      <c r="A46" s="369" t="s">
        <v>1031</v>
      </c>
      <c r="B46" s="370">
        <f t="shared" si="16"/>
        <v>277747</v>
      </c>
      <c r="C46" s="371">
        <v>277747</v>
      </c>
      <c r="D46" s="371"/>
      <c r="E46" s="371">
        <f t="shared" si="17"/>
        <v>277747</v>
      </c>
      <c r="F46" s="371"/>
      <c r="G46" s="371"/>
      <c r="H46" s="371"/>
      <c r="I46" s="371"/>
      <c r="J46" s="371"/>
      <c r="K46" s="371"/>
      <c r="L46" s="371"/>
      <c r="M46" s="371"/>
      <c r="N46" s="371"/>
      <c r="O46" s="371"/>
      <c r="P46" s="371"/>
      <c r="Q46" s="371"/>
      <c r="R46" s="371">
        <f t="shared" si="18"/>
        <v>277747</v>
      </c>
      <c r="S46" s="371">
        <v>176441</v>
      </c>
      <c r="T46" s="371"/>
      <c r="U46" s="367"/>
    </row>
    <row r="47" spans="1:21" s="368" customFormat="1" ht="12" customHeight="1">
      <c r="A47" s="369" t="s">
        <v>1032</v>
      </c>
      <c r="B47" s="370">
        <f t="shared" si="16"/>
        <v>0</v>
      </c>
      <c r="C47" s="371"/>
      <c r="D47" s="371"/>
      <c r="E47" s="371">
        <f t="shared" si="17"/>
        <v>0</v>
      </c>
      <c r="F47" s="371"/>
      <c r="G47" s="371"/>
      <c r="H47" s="371"/>
      <c r="I47" s="371"/>
      <c r="J47" s="371"/>
      <c r="K47" s="371"/>
      <c r="L47" s="371"/>
      <c r="M47" s="371"/>
      <c r="N47" s="371"/>
      <c r="O47" s="371"/>
      <c r="P47" s="371"/>
      <c r="Q47" s="371"/>
      <c r="R47" s="371">
        <f t="shared" si="18"/>
        <v>0</v>
      </c>
      <c r="S47" s="371"/>
      <c r="T47" s="371"/>
      <c r="U47" s="367"/>
    </row>
    <row r="48" spans="1:21" s="368" customFormat="1" ht="11.4">
      <c r="A48" s="369" t="s">
        <v>1033</v>
      </c>
      <c r="B48" s="370">
        <f t="shared" si="16"/>
        <v>0</v>
      </c>
      <c r="C48" s="371"/>
      <c r="D48" s="371"/>
      <c r="E48" s="371">
        <f t="shared" si="17"/>
        <v>0</v>
      </c>
      <c r="F48" s="371"/>
      <c r="G48" s="371"/>
      <c r="H48" s="371"/>
      <c r="I48" s="371"/>
      <c r="J48" s="371"/>
      <c r="K48" s="371"/>
      <c r="L48" s="371"/>
      <c r="M48" s="371"/>
      <c r="N48" s="371"/>
      <c r="O48" s="371"/>
      <c r="P48" s="371"/>
      <c r="Q48" s="371"/>
      <c r="R48" s="371">
        <f t="shared" si="18"/>
        <v>0</v>
      </c>
      <c r="S48" s="371"/>
      <c r="T48" s="371"/>
      <c r="U48" s="367"/>
    </row>
    <row r="49" spans="1:21" s="368" customFormat="1" ht="11.4">
      <c r="A49" s="369" t="s">
        <v>1036</v>
      </c>
      <c r="B49" s="370">
        <f t="shared" si="16"/>
        <v>50000</v>
      </c>
      <c r="C49" s="371">
        <v>50000</v>
      </c>
      <c r="D49" s="371"/>
      <c r="E49" s="371">
        <f t="shared" si="17"/>
        <v>50000</v>
      </c>
      <c r="F49" s="371"/>
      <c r="G49" s="371"/>
      <c r="H49" s="371"/>
      <c r="I49" s="371"/>
      <c r="J49" s="371"/>
      <c r="K49" s="371"/>
      <c r="L49" s="371"/>
      <c r="M49" s="371"/>
      <c r="N49" s="371"/>
      <c r="O49" s="371"/>
      <c r="P49" s="371"/>
      <c r="Q49" s="371"/>
      <c r="R49" s="371">
        <f t="shared" si="18"/>
        <v>50000</v>
      </c>
      <c r="S49" s="371">
        <f>B49</f>
        <v>50000</v>
      </c>
      <c r="T49" s="371"/>
      <c r="U49" s="367"/>
    </row>
    <row r="50" spans="1:21" s="368" customFormat="1" ht="11.4">
      <c r="A50" s="369" t="s">
        <v>1034</v>
      </c>
      <c r="B50" s="370">
        <f t="shared" si="16"/>
        <v>0</v>
      </c>
      <c r="C50" s="371"/>
      <c r="D50" s="371"/>
      <c r="E50" s="371">
        <f t="shared" si="17"/>
        <v>0</v>
      </c>
      <c r="F50" s="371"/>
      <c r="G50" s="371"/>
      <c r="H50" s="371"/>
      <c r="I50" s="371"/>
      <c r="J50" s="371"/>
      <c r="K50" s="371"/>
      <c r="L50" s="371"/>
      <c r="M50" s="371"/>
      <c r="N50" s="371"/>
      <c r="O50" s="371"/>
      <c r="P50" s="371"/>
      <c r="Q50" s="371"/>
      <c r="R50" s="371">
        <f t="shared" si="18"/>
        <v>0</v>
      </c>
      <c r="S50" s="371"/>
      <c r="T50" s="371"/>
      <c r="U50" s="367"/>
    </row>
    <row r="51" spans="1:21" s="368" customFormat="1" ht="11.4">
      <c r="A51" s="369" t="s">
        <v>1035</v>
      </c>
      <c r="B51" s="370">
        <f t="shared" si="16"/>
        <v>300000</v>
      </c>
      <c r="C51" s="371">
        <v>300000</v>
      </c>
      <c r="D51" s="371"/>
      <c r="E51" s="371">
        <f t="shared" si="17"/>
        <v>300000</v>
      </c>
      <c r="F51" s="371"/>
      <c r="G51" s="371"/>
      <c r="H51" s="371"/>
      <c r="I51" s="371"/>
      <c r="J51" s="371"/>
      <c r="K51" s="371"/>
      <c r="L51" s="371"/>
      <c r="M51" s="371"/>
      <c r="N51" s="371"/>
      <c r="O51" s="371"/>
      <c r="P51" s="371"/>
      <c r="Q51" s="371"/>
      <c r="R51" s="371">
        <f t="shared" si="18"/>
        <v>300000</v>
      </c>
      <c r="S51" s="371">
        <f>B51</f>
        <v>300000</v>
      </c>
      <c r="T51" s="371"/>
      <c r="U51" s="367"/>
    </row>
    <row r="52" spans="1:21" s="368" customFormat="1" ht="11.4">
      <c r="A52" s="376" t="s">
        <v>2495</v>
      </c>
      <c r="B52" s="370">
        <f t="shared" si="16"/>
        <v>15000</v>
      </c>
      <c r="C52" s="371">
        <v>15000</v>
      </c>
      <c r="D52" s="371"/>
      <c r="E52" s="371">
        <f t="shared" si="17"/>
        <v>15000</v>
      </c>
      <c r="F52" s="371"/>
      <c r="G52" s="371"/>
      <c r="H52" s="371"/>
      <c r="I52" s="371"/>
      <c r="J52" s="371"/>
      <c r="K52" s="371"/>
      <c r="L52" s="371"/>
      <c r="M52" s="371"/>
      <c r="N52" s="371"/>
      <c r="O52" s="371"/>
      <c r="P52" s="371"/>
      <c r="Q52" s="371"/>
      <c r="R52" s="371">
        <f t="shared" si="18"/>
        <v>15000</v>
      </c>
      <c r="S52" s="371">
        <v>9529</v>
      </c>
      <c r="T52" s="371"/>
      <c r="U52" s="367"/>
    </row>
    <row r="53" spans="1:21" s="378" customFormat="1">
      <c r="A53" s="373" t="s">
        <v>1037</v>
      </c>
      <c r="B53" s="374">
        <f>SUM(C53:D53)</f>
        <v>1880169</v>
      </c>
      <c r="C53" s="374">
        <f t="shared" ref="C53:T53" si="19">SUM(C45:C52)</f>
        <v>1880169</v>
      </c>
      <c r="D53" s="374">
        <f t="shared" si="19"/>
        <v>0</v>
      </c>
      <c r="E53" s="374">
        <f t="shared" si="19"/>
        <v>1880169</v>
      </c>
      <c r="F53" s="374">
        <f t="shared" si="19"/>
        <v>0</v>
      </c>
      <c r="G53" s="374">
        <f t="shared" si="19"/>
        <v>0</v>
      </c>
      <c r="H53" s="374">
        <f t="shared" si="19"/>
        <v>0</v>
      </c>
      <c r="I53" s="374">
        <f t="shared" si="19"/>
        <v>0</v>
      </c>
      <c r="J53" s="374">
        <f t="shared" si="19"/>
        <v>0</v>
      </c>
      <c r="K53" s="374">
        <f t="shared" si="19"/>
        <v>0</v>
      </c>
      <c r="L53" s="374">
        <f t="shared" si="19"/>
        <v>0</v>
      </c>
      <c r="M53" s="374">
        <f t="shared" si="19"/>
        <v>0</v>
      </c>
      <c r="N53" s="374">
        <f t="shared" si="19"/>
        <v>0</v>
      </c>
      <c r="O53" s="374">
        <f t="shared" si="19"/>
        <v>0</v>
      </c>
      <c r="P53" s="374">
        <f t="shared" si="19"/>
        <v>0</v>
      </c>
      <c r="Q53" s="374">
        <f t="shared" si="19"/>
        <v>0</v>
      </c>
      <c r="R53" s="370">
        <f t="shared" si="19"/>
        <v>1880169</v>
      </c>
      <c r="S53" s="374">
        <f t="shared" si="19"/>
        <v>1322053</v>
      </c>
      <c r="T53" s="374">
        <f t="shared" si="19"/>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20">SUM(C55+D55)</f>
        <v>0</v>
      </c>
      <c r="C55" s="371"/>
      <c r="D55" s="371"/>
      <c r="E55" s="371">
        <f t="shared" ref="E55:E60" si="21">C55-SUM(F55:Q55)</f>
        <v>0</v>
      </c>
      <c r="F55" s="371"/>
      <c r="G55" s="371"/>
      <c r="H55" s="371"/>
      <c r="I55" s="371"/>
      <c r="J55" s="371"/>
      <c r="K55" s="371"/>
      <c r="L55" s="371"/>
      <c r="M55" s="371"/>
      <c r="N55" s="371"/>
      <c r="O55" s="371"/>
      <c r="P55" s="371"/>
      <c r="Q55" s="371"/>
      <c r="R55" s="371">
        <f t="shared" ref="R55:R60" si="22">SUM(E55:Q55)</f>
        <v>0</v>
      </c>
      <c r="S55" s="372"/>
      <c r="T55" s="372"/>
      <c r="U55" s="367"/>
    </row>
    <row r="56" spans="1:21" s="368" customFormat="1" ht="12" customHeight="1">
      <c r="A56" s="369" t="s">
        <v>1032</v>
      </c>
      <c r="B56" s="370">
        <f t="shared" si="20"/>
        <v>0</v>
      </c>
      <c r="C56" s="371"/>
      <c r="D56" s="371"/>
      <c r="E56" s="371">
        <f t="shared" si="21"/>
        <v>0</v>
      </c>
      <c r="F56" s="371"/>
      <c r="G56" s="371"/>
      <c r="H56" s="371"/>
      <c r="I56" s="371"/>
      <c r="J56" s="371"/>
      <c r="K56" s="371"/>
      <c r="L56" s="371"/>
      <c r="M56" s="371"/>
      <c r="N56" s="371"/>
      <c r="O56" s="371"/>
      <c r="P56" s="371"/>
      <c r="Q56" s="371"/>
      <c r="R56" s="371">
        <f t="shared" si="22"/>
        <v>0</v>
      </c>
      <c r="S56" s="372"/>
      <c r="T56" s="372"/>
      <c r="U56" s="367"/>
    </row>
    <row r="57" spans="1:21" s="368" customFormat="1" ht="11.4">
      <c r="A57" s="369" t="s">
        <v>1036</v>
      </c>
      <c r="B57" s="370">
        <f t="shared" si="20"/>
        <v>25000</v>
      </c>
      <c r="C57" s="371">
        <v>25000</v>
      </c>
      <c r="D57" s="371"/>
      <c r="E57" s="371">
        <f t="shared" si="21"/>
        <v>25000</v>
      </c>
      <c r="F57" s="371"/>
      <c r="G57" s="371"/>
      <c r="H57" s="371"/>
      <c r="I57" s="371"/>
      <c r="J57" s="371"/>
      <c r="K57" s="371"/>
      <c r="L57" s="371"/>
      <c r="M57" s="371"/>
      <c r="N57" s="371"/>
      <c r="O57" s="371"/>
      <c r="P57" s="371"/>
      <c r="Q57" s="371"/>
      <c r="R57" s="371">
        <f t="shared" si="22"/>
        <v>25000</v>
      </c>
      <c r="S57" s="372"/>
      <c r="T57" s="372"/>
      <c r="U57" s="367"/>
    </row>
    <row r="58" spans="1:21" s="368" customFormat="1" ht="11.4">
      <c r="A58" s="369" t="s">
        <v>1034</v>
      </c>
      <c r="B58" s="370">
        <f t="shared" si="20"/>
        <v>0</v>
      </c>
      <c r="C58" s="371"/>
      <c r="D58" s="371"/>
      <c r="E58" s="371">
        <f t="shared" si="21"/>
        <v>0</v>
      </c>
      <c r="F58" s="371"/>
      <c r="G58" s="371"/>
      <c r="H58" s="371"/>
      <c r="I58" s="371"/>
      <c r="J58" s="371"/>
      <c r="K58" s="371"/>
      <c r="L58" s="371"/>
      <c r="M58" s="371"/>
      <c r="N58" s="371"/>
      <c r="O58" s="371"/>
      <c r="P58" s="371"/>
      <c r="Q58" s="371"/>
      <c r="R58" s="371">
        <f t="shared" si="22"/>
        <v>0</v>
      </c>
      <c r="S58" s="372"/>
      <c r="T58" s="372"/>
      <c r="U58" s="367"/>
    </row>
    <row r="59" spans="1:21" s="368" customFormat="1" ht="11.4">
      <c r="A59" s="369" t="s">
        <v>1035</v>
      </c>
      <c r="B59" s="370">
        <f t="shared" si="20"/>
        <v>0</v>
      </c>
      <c r="C59" s="371"/>
      <c r="D59" s="371"/>
      <c r="E59" s="371">
        <f t="shared" si="21"/>
        <v>0</v>
      </c>
      <c r="F59" s="371"/>
      <c r="G59" s="371"/>
      <c r="H59" s="371"/>
      <c r="I59" s="371"/>
      <c r="J59" s="371"/>
      <c r="K59" s="371"/>
      <c r="L59" s="371"/>
      <c r="M59" s="371"/>
      <c r="N59" s="371"/>
      <c r="O59" s="371"/>
      <c r="P59" s="371"/>
      <c r="Q59" s="371"/>
      <c r="R59" s="371">
        <f t="shared" si="22"/>
        <v>0</v>
      </c>
      <c r="S59" s="372"/>
      <c r="T59" s="372"/>
      <c r="U59" s="367"/>
    </row>
    <row r="60" spans="1:21" s="368" customFormat="1" ht="11.4">
      <c r="A60" s="376" t="s">
        <v>592</v>
      </c>
      <c r="B60" s="370">
        <f t="shared" si="20"/>
        <v>0</v>
      </c>
      <c r="C60" s="371"/>
      <c r="D60" s="371"/>
      <c r="E60" s="371">
        <f t="shared" si="21"/>
        <v>0</v>
      </c>
      <c r="F60" s="371"/>
      <c r="G60" s="371"/>
      <c r="H60" s="371"/>
      <c r="I60" s="371"/>
      <c r="J60" s="371"/>
      <c r="K60" s="371"/>
      <c r="L60" s="371"/>
      <c r="M60" s="371"/>
      <c r="N60" s="371"/>
      <c r="O60" s="371"/>
      <c r="P60" s="371"/>
      <c r="Q60" s="371"/>
      <c r="R60" s="371">
        <f t="shared" si="22"/>
        <v>0</v>
      </c>
      <c r="S60" s="372"/>
      <c r="T60" s="372"/>
      <c r="U60" s="367"/>
    </row>
    <row r="61" spans="1:21" s="368" customFormat="1" ht="13.95" customHeight="1">
      <c r="A61" s="373" t="s">
        <v>549</v>
      </c>
      <c r="B61" s="370">
        <f>SUM(C61:D61)</f>
        <v>25000</v>
      </c>
      <c r="C61" s="370">
        <f t="shared" ref="C61:R61" si="23">SUM(C55:C60)</f>
        <v>25000</v>
      </c>
      <c r="D61" s="370">
        <f t="shared" si="23"/>
        <v>0</v>
      </c>
      <c r="E61" s="370">
        <f t="shared" si="23"/>
        <v>25000</v>
      </c>
      <c r="F61" s="370">
        <f t="shared" si="23"/>
        <v>0</v>
      </c>
      <c r="G61" s="370">
        <f t="shared" si="23"/>
        <v>0</v>
      </c>
      <c r="H61" s="370">
        <f t="shared" si="23"/>
        <v>0</v>
      </c>
      <c r="I61" s="370">
        <f t="shared" si="23"/>
        <v>0</v>
      </c>
      <c r="J61" s="370">
        <f t="shared" si="23"/>
        <v>0</v>
      </c>
      <c r="K61" s="370">
        <f t="shared" si="23"/>
        <v>0</v>
      </c>
      <c r="L61" s="370">
        <f t="shared" si="23"/>
        <v>0</v>
      </c>
      <c r="M61" s="370">
        <f t="shared" si="23"/>
        <v>0</v>
      </c>
      <c r="N61" s="370">
        <f t="shared" si="23"/>
        <v>0</v>
      </c>
      <c r="O61" s="370">
        <f t="shared" si="23"/>
        <v>0</v>
      </c>
      <c r="P61" s="370">
        <f t="shared" si="23"/>
        <v>0</v>
      </c>
      <c r="Q61" s="370">
        <f t="shared" si="23"/>
        <v>0</v>
      </c>
      <c r="R61" s="370">
        <f t="shared" si="23"/>
        <v>25000</v>
      </c>
      <c r="S61" s="372"/>
      <c r="T61" s="372"/>
      <c r="U61" s="367"/>
    </row>
    <row r="62" spans="1:21" s="368" customFormat="1" ht="11.4">
      <c r="A62" s="379" t="s">
        <v>550</v>
      </c>
      <c r="B62" s="370">
        <f>SUM(C62:D62)</f>
        <v>36981207</v>
      </c>
      <c r="C62" s="370">
        <f t="shared" ref="C62:R62" si="24">SUM(C8+C11+C13+C14+C15+C26+C27+C38+C42+C43+C53+C61)</f>
        <v>36981207</v>
      </c>
      <c r="D62" s="370">
        <f t="shared" si="24"/>
        <v>0</v>
      </c>
      <c r="E62" s="370">
        <f t="shared" si="24"/>
        <v>17383281</v>
      </c>
      <c r="F62" s="370">
        <f t="shared" si="24"/>
        <v>4262015</v>
      </c>
      <c r="G62" s="370">
        <f t="shared" si="24"/>
        <v>0</v>
      </c>
      <c r="H62" s="370">
        <f t="shared" si="24"/>
        <v>5653152</v>
      </c>
      <c r="I62" s="370">
        <f t="shared" si="24"/>
        <v>2664774</v>
      </c>
      <c r="J62" s="370">
        <f t="shared" si="24"/>
        <v>2200000</v>
      </c>
      <c r="K62" s="370">
        <f t="shared" si="24"/>
        <v>1317985</v>
      </c>
      <c r="L62" s="370">
        <f t="shared" si="24"/>
        <v>1000000</v>
      </c>
      <c r="M62" s="370">
        <f t="shared" si="24"/>
        <v>500000</v>
      </c>
      <c r="N62" s="370">
        <f t="shared" si="24"/>
        <v>1000000</v>
      </c>
      <c r="O62" s="370">
        <f t="shared" si="24"/>
        <v>0</v>
      </c>
      <c r="P62" s="370">
        <f t="shared" si="24"/>
        <v>1000000</v>
      </c>
      <c r="Q62" s="370">
        <f t="shared" si="24"/>
        <v>0</v>
      </c>
      <c r="R62" s="370">
        <f t="shared" si="24"/>
        <v>36981207</v>
      </c>
      <c r="S62" s="370">
        <f>SUM(S10+S13+S14+S15+S26+S27+S38+S42+S43+S53)</f>
        <v>30406527</v>
      </c>
      <c r="T62" s="370">
        <f>SUM(T11+T13+T14+T15+T26+T27+T38+T42+T43+T53)</f>
        <v>0</v>
      </c>
      <c r="U62" s="367"/>
    </row>
    <row r="63" spans="1:21" s="368" customFormat="1" ht="22.8">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30000</v>
      </c>
      <c r="C64" s="371">
        <v>30000</v>
      </c>
      <c r="D64" s="371"/>
      <c r="E64" s="371">
        <f t="shared" ref="E64:E68" si="25">C64-SUM(F64:Q64)</f>
        <v>30000</v>
      </c>
      <c r="F64" s="371"/>
      <c r="G64" s="371"/>
      <c r="H64" s="371"/>
      <c r="I64" s="371"/>
      <c r="J64" s="371"/>
      <c r="K64" s="371"/>
      <c r="L64" s="371"/>
      <c r="M64" s="371"/>
      <c r="N64" s="371"/>
      <c r="O64" s="371"/>
      <c r="P64" s="371"/>
      <c r="Q64" s="371"/>
      <c r="R64" s="371">
        <f>SUM(E64:Q64)</f>
        <v>30000</v>
      </c>
      <c r="S64" s="371">
        <v>19058</v>
      </c>
      <c r="T64" s="371"/>
      <c r="U64" s="367"/>
    </row>
    <row r="65" spans="1:21" s="368" customFormat="1" ht="22.8">
      <c r="A65" s="369" t="s">
        <v>2241</v>
      </c>
      <c r="B65" s="370">
        <f>SUM(C65+D65)</f>
        <v>0</v>
      </c>
      <c r="C65" s="371"/>
      <c r="D65" s="371"/>
      <c r="E65" s="371">
        <f t="shared" si="25"/>
        <v>0</v>
      </c>
      <c r="F65" s="371"/>
      <c r="G65" s="371"/>
      <c r="H65" s="371"/>
      <c r="I65" s="371"/>
      <c r="J65" s="371"/>
      <c r="K65" s="371"/>
      <c r="L65" s="371"/>
      <c r="M65" s="371"/>
      <c r="N65" s="371"/>
      <c r="O65" s="371"/>
      <c r="P65" s="371"/>
      <c r="Q65" s="371"/>
      <c r="R65" s="371">
        <f>SUM(E65:Q65)</f>
        <v>0</v>
      </c>
      <c r="S65" s="371"/>
      <c r="T65" s="371"/>
      <c r="U65" s="367"/>
    </row>
    <row r="66" spans="1:21" s="368" customFormat="1" ht="22.8">
      <c r="A66" s="369" t="s">
        <v>2242</v>
      </c>
      <c r="B66" s="370">
        <f>SUM(C66+D66)</f>
        <v>0</v>
      </c>
      <c r="C66" s="371"/>
      <c r="D66" s="371"/>
      <c r="E66" s="371">
        <f t="shared" si="25"/>
        <v>0</v>
      </c>
      <c r="F66" s="371"/>
      <c r="G66" s="371"/>
      <c r="H66" s="371"/>
      <c r="I66" s="371"/>
      <c r="J66" s="371"/>
      <c r="K66" s="371"/>
      <c r="L66" s="371"/>
      <c r="M66" s="371"/>
      <c r="N66" s="371"/>
      <c r="O66" s="371"/>
      <c r="P66" s="371"/>
      <c r="Q66" s="371"/>
      <c r="R66" s="371">
        <f>SUM(E66:Q66)</f>
        <v>0</v>
      </c>
      <c r="S66" s="371"/>
      <c r="T66" s="371"/>
      <c r="U66" s="367"/>
    </row>
    <row r="67" spans="1:21" s="368" customFormat="1" ht="11.4">
      <c r="A67" s="369" t="s">
        <v>2243</v>
      </c>
      <c r="B67" s="370">
        <f>SUM(C67+D67)</f>
        <v>0</v>
      </c>
      <c r="C67" s="371"/>
      <c r="D67" s="371"/>
      <c r="E67" s="371">
        <f t="shared" si="25"/>
        <v>0</v>
      </c>
      <c r="F67" s="371"/>
      <c r="G67" s="371"/>
      <c r="H67" s="371"/>
      <c r="I67" s="371"/>
      <c r="J67" s="371"/>
      <c r="K67" s="371"/>
      <c r="L67" s="371"/>
      <c r="M67" s="371"/>
      <c r="N67" s="371"/>
      <c r="O67" s="371"/>
      <c r="P67" s="371"/>
      <c r="Q67" s="371"/>
      <c r="R67" s="371">
        <f>SUM(E67:Q67)</f>
        <v>0</v>
      </c>
      <c r="S67" s="371"/>
      <c r="T67" s="371"/>
      <c r="U67" s="367"/>
    </row>
    <row r="68" spans="1:21" s="368" customFormat="1" ht="11.4">
      <c r="A68" s="376" t="s">
        <v>2496</v>
      </c>
      <c r="B68" s="370">
        <f>SUM(C68+D68)</f>
        <v>85000</v>
      </c>
      <c r="C68" s="371">
        <f>85000</f>
        <v>85000</v>
      </c>
      <c r="D68" s="371"/>
      <c r="E68" s="371">
        <f t="shared" si="25"/>
        <v>85000</v>
      </c>
      <c r="F68" s="371"/>
      <c r="G68" s="371"/>
      <c r="H68" s="371"/>
      <c r="I68" s="371"/>
      <c r="J68" s="371"/>
      <c r="K68" s="371"/>
      <c r="L68" s="371"/>
      <c r="M68" s="371"/>
      <c r="N68" s="371"/>
      <c r="O68" s="371"/>
      <c r="P68" s="371"/>
      <c r="Q68" s="371"/>
      <c r="R68" s="371">
        <f>SUM(E68:Q68)</f>
        <v>85000</v>
      </c>
      <c r="S68" s="371">
        <f>B68</f>
        <v>85000</v>
      </c>
      <c r="T68" s="371"/>
      <c r="U68" s="367"/>
    </row>
    <row r="69" spans="1:21" s="368" customFormat="1">
      <c r="A69" s="373" t="s">
        <v>2244</v>
      </c>
      <c r="B69" s="370">
        <f>SUM(C69:D69)</f>
        <v>115000</v>
      </c>
      <c r="C69" s="370">
        <f>SUM(C63:C68)</f>
        <v>115000</v>
      </c>
      <c r="D69" s="370">
        <f>SUM(D63:D68)</f>
        <v>0</v>
      </c>
      <c r="E69" s="370">
        <f t="shared" ref="E69:T69" si="26">SUM(E64:E68)</f>
        <v>115000</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115000</v>
      </c>
      <c r="S69" s="374">
        <f t="shared" si="26"/>
        <v>104058</v>
      </c>
      <c r="T69" s="374">
        <f t="shared" si="26"/>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f t="shared" ref="E71:E74" si="27">C71-SUM(F71:Q71)</f>
        <v>0</v>
      </c>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f t="shared" si="27"/>
        <v>0</v>
      </c>
      <c r="F72" s="371"/>
      <c r="G72" s="371"/>
      <c r="H72" s="371"/>
      <c r="I72" s="371"/>
      <c r="J72" s="371"/>
      <c r="K72" s="371"/>
      <c r="L72" s="371"/>
      <c r="M72" s="371"/>
      <c r="N72" s="371"/>
      <c r="O72" s="371"/>
      <c r="P72" s="371"/>
      <c r="Q72" s="371"/>
      <c r="R72" s="371">
        <f>SUM(E72:Q72)</f>
        <v>0</v>
      </c>
      <c r="S72" s="372"/>
      <c r="T72" s="372"/>
      <c r="U72" s="367"/>
    </row>
    <row r="73" spans="1:21" s="368" customFormat="1" ht="11.4">
      <c r="A73" s="996" t="s">
        <v>1372</v>
      </c>
      <c r="B73" s="370">
        <f>SUM(C73+D73)</f>
        <v>0</v>
      </c>
      <c r="C73" s="371"/>
      <c r="D73" s="371"/>
      <c r="E73" s="371">
        <f t="shared" si="27"/>
        <v>0</v>
      </c>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338433</v>
      </c>
      <c r="C74" s="371">
        <v>338433</v>
      </c>
      <c r="D74" s="371"/>
      <c r="E74" s="371">
        <f t="shared" si="27"/>
        <v>338433</v>
      </c>
      <c r="F74" s="371"/>
      <c r="G74" s="371"/>
      <c r="H74" s="371"/>
      <c r="I74" s="371"/>
      <c r="J74" s="371"/>
      <c r="K74" s="371"/>
      <c r="L74" s="371"/>
      <c r="M74" s="371"/>
      <c r="N74" s="371"/>
      <c r="O74" s="371"/>
      <c r="P74" s="371"/>
      <c r="Q74" s="371"/>
      <c r="R74" s="371">
        <f>SUM(E74:Q74)</f>
        <v>338433</v>
      </c>
      <c r="S74" s="372"/>
      <c r="T74" s="372"/>
      <c r="U74" s="367"/>
    </row>
    <row r="75" spans="1:21" s="368" customFormat="1" ht="22.8">
      <c r="A75" s="376" t="s">
        <v>2561</v>
      </c>
      <c r="B75" s="370">
        <f>SUM(C75+D75)</f>
        <v>2340301</v>
      </c>
      <c r="C75" s="371">
        <f>1768652+571649</f>
        <v>2340301</v>
      </c>
      <c r="D75" s="371"/>
      <c r="E75" s="371">
        <f>C75-SUM(F75:Q75)</f>
        <v>571649</v>
      </c>
      <c r="F75" s="371"/>
      <c r="G75" s="371"/>
      <c r="H75" s="371">
        <f>H107-H30</f>
        <v>0</v>
      </c>
      <c r="I75" s="371"/>
      <c r="J75" s="371"/>
      <c r="K75" s="371"/>
      <c r="L75" s="371"/>
      <c r="M75" s="371"/>
      <c r="N75" s="371"/>
      <c r="O75" s="371"/>
      <c r="P75" s="371"/>
      <c r="Q75" s="371">
        <f>Q107</f>
        <v>1768652</v>
      </c>
      <c r="R75" s="371">
        <f>SUM(E75:Q75)</f>
        <v>2340301</v>
      </c>
      <c r="S75" s="372"/>
      <c r="T75" s="372"/>
      <c r="U75" s="367"/>
    </row>
    <row r="76" spans="1:21" s="368" customFormat="1">
      <c r="A76" s="373" t="s">
        <v>317</v>
      </c>
      <c r="B76" s="370">
        <f>SUM(C76:D76)</f>
        <v>2678734</v>
      </c>
      <c r="C76" s="370">
        <f t="shared" ref="C76:Q76" si="28">SUM(C71:C75)</f>
        <v>2678734</v>
      </c>
      <c r="D76" s="370">
        <f t="shared" si="28"/>
        <v>0</v>
      </c>
      <c r="E76" s="370">
        <f>SUM(E71:E75)</f>
        <v>910082</v>
      </c>
      <c r="F76" s="370">
        <f>SUM(F71:F75)</f>
        <v>0</v>
      </c>
      <c r="G76" s="370">
        <f>SUM(G71:G75)</f>
        <v>0</v>
      </c>
      <c r="H76" s="370">
        <f t="shared" si="28"/>
        <v>0</v>
      </c>
      <c r="I76" s="370">
        <f t="shared" si="28"/>
        <v>0</v>
      </c>
      <c r="J76" s="370">
        <f t="shared" si="28"/>
        <v>0</v>
      </c>
      <c r="K76" s="370">
        <f t="shared" si="28"/>
        <v>0</v>
      </c>
      <c r="L76" s="370">
        <f t="shared" si="28"/>
        <v>0</v>
      </c>
      <c r="M76" s="370">
        <f t="shared" si="28"/>
        <v>0</v>
      </c>
      <c r="N76" s="370">
        <f t="shared" si="28"/>
        <v>0</v>
      </c>
      <c r="O76" s="370">
        <f t="shared" si="28"/>
        <v>0</v>
      </c>
      <c r="P76" s="370">
        <f t="shared" si="28"/>
        <v>0</v>
      </c>
      <c r="Q76" s="370">
        <f t="shared" si="28"/>
        <v>1768652</v>
      </c>
      <c r="R76" s="370">
        <f>SUM(R71:R75)</f>
        <v>2678734</v>
      </c>
      <c r="S76" s="372"/>
      <c r="T76" s="372"/>
      <c r="U76" s="367"/>
    </row>
    <row r="77" spans="1:21" s="368" customFormat="1" ht="11.7"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1967</v>
      </c>
      <c r="B78" s="370">
        <f>SUM(C78+D78)</f>
        <v>2102150</v>
      </c>
      <c r="C78" s="371">
        <v>2102150</v>
      </c>
      <c r="D78" s="371"/>
      <c r="E78" s="371">
        <f t="shared" ref="E78:E79" si="29">C78-SUM(F78:Q78)</f>
        <v>2102150</v>
      </c>
      <c r="F78" s="371"/>
      <c r="G78" s="371"/>
      <c r="H78" s="371"/>
      <c r="I78" s="371"/>
      <c r="J78" s="371"/>
      <c r="K78" s="371"/>
      <c r="L78" s="371"/>
      <c r="M78" s="371"/>
      <c r="N78" s="371"/>
      <c r="O78" s="371"/>
      <c r="P78" s="371"/>
      <c r="Q78" s="371"/>
      <c r="R78" s="371">
        <f>SUM(E78:Q78)</f>
        <v>2102150</v>
      </c>
      <c r="S78" s="371">
        <f>B78</f>
        <v>2102150</v>
      </c>
      <c r="T78" s="371"/>
      <c r="U78" s="367"/>
    </row>
    <row r="79" spans="1:21" s="368" customFormat="1" ht="11.4">
      <c r="A79" s="369" t="s">
        <v>597</v>
      </c>
      <c r="B79" s="370">
        <f>SUM(C79+D79)</f>
        <v>250000</v>
      </c>
      <c r="C79" s="371">
        <v>250000</v>
      </c>
      <c r="D79" s="371"/>
      <c r="E79" s="371">
        <f t="shared" si="29"/>
        <v>250000</v>
      </c>
      <c r="F79" s="371"/>
      <c r="G79" s="371"/>
      <c r="H79" s="371"/>
      <c r="I79" s="371"/>
      <c r="J79" s="371"/>
      <c r="K79" s="371"/>
      <c r="L79" s="371"/>
      <c r="M79" s="371"/>
      <c r="N79" s="371"/>
      <c r="O79" s="371"/>
      <c r="P79" s="371"/>
      <c r="Q79" s="371"/>
      <c r="R79" s="371">
        <f>SUM(E79:Q79)</f>
        <v>250000</v>
      </c>
      <c r="S79" s="371">
        <f>B79</f>
        <v>250000</v>
      </c>
      <c r="T79" s="371"/>
      <c r="U79" s="367"/>
    </row>
    <row r="80" spans="1:21" s="368" customFormat="1">
      <c r="A80" s="373" t="s">
        <v>1968</v>
      </c>
      <c r="B80" s="370">
        <f>SUM(C80:D80)</f>
        <v>2352150</v>
      </c>
      <c r="C80" s="1122">
        <f>SUM(C78:C79)</f>
        <v>2352150</v>
      </c>
      <c r="D80" s="1122">
        <f t="shared" ref="D80:R80" si="30">SUM(D78:D79)</f>
        <v>0</v>
      </c>
      <c r="E80" s="1122">
        <f t="shared" si="30"/>
        <v>2352150</v>
      </c>
      <c r="F80" s="1122">
        <f t="shared" si="30"/>
        <v>0</v>
      </c>
      <c r="G80" s="1122">
        <f t="shared" si="30"/>
        <v>0</v>
      </c>
      <c r="H80" s="1122">
        <f t="shared" si="30"/>
        <v>0</v>
      </c>
      <c r="I80" s="1122">
        <f t="shared" si="30"/>
        <v>0</v>
      </c>
      <c r="J80" s="1122">
        <f t="shared" si="30"/>
        <v>0</v>
      </c>
      <c r="K80" s="1122">
        <f t="shared" si="30"/>
        <v>0</v>
      </c>
      <c r="L80" s="1122">
        <f t="shared" si="30"/>
        <v>0</v>
      </c>
      <c r="M80" s="1122">
        <f t="shared" si="30"/>
        <v>0</v>
      </c>
      <c r="N80" s="1122">
        <f t="shared" si="30"/>
        <v>0</v>
      </c>
      <c r="O80" s="1122">
        <f t="shared" si="30"/>
        <v>0</v>
      </c>
      <c r="P80" s="1122">
        <f t="shared" si="30"/>
        <v>0</v>
      </c>
      <c r="Q80" s="1122">
        <f t="shared" si="30"/>
        <v>0</v>
      </c>
      <c r="R80" s="1122">
        <f t="shared" si="30"/>
        <v>2352150</v>
      </c>
      <c r="S80" s="1122">
        <f>SUM(S78:S79)</f>
        <v>2352150</v>
      </c>
      <c r="T80" s="1122">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154257</v>
      </c>
      <c r="C82" s="371">
        <v>154257</v>
      </c>
      <c r="D82" s="371"/>
      <c r="E82" s="371">
        <f t="shared" ref="E82:E94" si="31">C82-SUM(F82:Q82)</f>
        <v>154257</v>
      </c>
      <c r="F82" s="371"/>
      <c r="G82" s="371"/>
      <c r="H82" s="371"/>
      <c r="I82" s="371"/>
      <c r="J82" s="371"/>
      <c r="K82" s="371"/>
      <c r="L82" s="371"/>
      <c r="M82" s="371"/>
      <c r="N82" s="371"/>
      <c r="O82" s="371"/>
      <c r="P82" s="371"/>
      <c r="Q82" s="371"/>
      <c r="R82" s="371">
        <f>SUM(E82:Q82)</f>
        <v>154257</v>
      </c>
      <c r="S82" s="372"/>
      <c r="T82" s="372"/>
      <c r="U82" s="367"/>
    </row>
    <row r="83" spans="1:21" s="368" customFormat="1" ht="11.4">
      <c r="A83" s="369" t="s">
        <v>575</v>
      </c>
      <c r="B83" s="370">
        <f t="shared" ref="B83:B93" si="32">SUM(C83+D83)</f>
        <v>500000</v>
      </c>
      <c r="C83" s="371">
        <v>500000</v>
      </c>
      <c r="D83" s="371"/>
      <c r="E83" s="371">
        <f t="shared" si="31"/>
        <v>500000</v>
      </c>
      <c r="F83" s="371"/>
      <c r="G83" s="371"/>
      <c r="H83" s="371"/>
      <c r="I83" s="371"/>
      <c r="J83" s="371"/>
      <c r="K83" s="371"/>
      <c r="L83" s="371"/>
      <c r="M83" s="371"/>
      <c r="N83" s="371"/>
      <c r="O83" s="371"/>
      <c r="P83" s="371"/>
      <c r="Q83" s="371"/>
      <c r="R83" s="371">
        <f t="shared" ref="R83:R93" si="33">SUM(E83:Q83)</f>
        <v>500000</v>
      </c>
      <c r="S83" s="371">
        <f>B83</f>
        <v>500000</v>
      </c>
      <c r="T83" s="371"/>
      <c r="U83" s="367"/>
    </row>
    <row r="84" spans="1:21" s="368" customFormat="1" ht="11.4">
      <c r="A84" s="369" t="s">
        <v>576</v>
      </c>
      <c r="B84" s="370">
        <f t="shared" si="32"/>
        <v>2511073</v>
      </c>
      <c r="C84" s="371">
        <v>2511073</v>
      </c>
      <c r="D84" s="371"/>
      <c r="E84" s="371">
        <f t="shared" si="31"/>
        <v>2511073</v>
      </c>
      <c r="F84" s="371"/>
      <c r="G84" s="371"/>
      <c r="H84" s="371"/>
      <c r="I84" s="371"/>
      <c r="J84" s="371"/>
      <c r="K84" s="371"/>
      <c r="L84" s="371"/>
      <c r="M84" s="371"/>
      <c r="N84" s="371"/>
      <c r="O84" s="371"/>
      <c r="P84" s="371"/>
      <c r="Q84" s="371"/>
      <c r="R84" s="371">
        <f t="shared" si="33"/>
        <v>2511073</v>
      </c>
      <c r="S84" s="371">
        <f>B84</f>
        <v>2511073</v>
      </c>
      <c r="T84" s="371"/>
      <c r="U84" s="367"/>
    </row>
    <row r="85" spans="1:21" s="368" customFormat="1" ht="11.4">
      <c r="A85" s="369" t="s">
        <v>577</v>
      </c>
      <c r="B85" s="370">
        <f t="shared" si="32"/>
        <v>200000</v>
      </c>
      <c r="C85" s="371">
        <v>200000</v>
      </c>
      <c r="D85" s="371"/>
      <c r="E85" s="371">
        <f t="shared" si="31"/>
        <v>200000</v>
      </c>
      <c r="F85" s="371"/>
      <c r="G85" s="371"/>
      <c r="H85" s="371"/>
      <c r="I85" s="371"/>
      <c r="J85" s="371"/>
      <c r="K85" s="371"/>
      <c r="L85" s="371"/>
      <c r="M85" s="371"/>
      <c r="N85" s="371"/>
      <c r="O85" s="371"/>
      <c r="P85" s="371"/>
      <c r="Q85" s="371"/>
      <c r="R85" s="371">
        <f t="shared" si="33"/>
        <v>200000</v>
      </c>
      <c r="S85" s="371">
        <f>B85</f>
        <v>200000</v>
      </c>
      <c r="T85" s="371"/>
      <c r="U85" s="367"/>
    </row>
    <row r="86" spans="1:21" s="368" customFormat="1" ht="11.4">
      <c r="A86" s="369" t="s">
        <v>578</v>
      </c>
      <c r="B86" s="370">
        <f t="shared" si="32"/>
        <v>0</v>
      </c>
      <c r="C86" s="371"/>
      <c r="D86" s="371"/>
      <c r="E86" s="371">
        <f t="shared" si="31"/>
        <v>0</v>
      </c>
      <c r="F86" s="371"/>
      <c r="G86" s="371"/>
      <c r="H86" s="371"/>
      <c r="I86" s="371"/>
      <c r="J86" s="371"/>
      <c r="K86" s="371"/>
      <c r="L86" s="371"/>
      <c r="M86" s="371"/>
      <c r="N86" s="371"/>
      <c r="O86" s="371"/>
      <c r="P86" s="371"/>
      <c r="Q86" s="371"/>
      <c r="R86" s="371">
        <f t="shared" si="33"/>
        <v>0</v>
      </c>
      <c r="S86" s="371"/>
      <c r="T86" s="371"/>
      <c r="U86" s="367"/>
    </row>
    <row r="87" spans="1:21" s="368" customFormat="1" ht="11.4">
      <c r="A87" s="369" t="s">
        <v>579</v>
      </c>
      <c r="B87" s="370">
        <f t="shared" si="32"/>
        <v>150000</v>
      </c>
      <c r="C87" s="371">
        <v>150000</v>
      </c>
      <c r="D87" s="371"/>
      <c r="E87" s="371">
        <f t="shared" si="31"/>
        <v>150000</v>
      </c>
      <c r="F87" s="371"/>
      <c r="G87" s="371"/>
      <c r="H87" s="371"/>
      <c r="I87" s="371"/>
      <c r="J87" s="371"/>
      <c r="K87" s="371"/>
      <c r="L87" s="371"/>
      <c r="M87" s="371"/>
      <c r="N87" s="371"/>
      <c r="O87" s="371"/>
      <c r="P87" s="371"/>
      <c r="Q87" s="371"/>
      <c r="R87" s="371">
        <f t="shared" si="33"/>
        <v>150000</v>
      </c>
      <c r="S87" s="372"/>
      <c r="T87" s="372"/>
      <c r="U87" s="367"/>
    </row>
    <row r="88" spans="1:21" s="368" customFormat="1" ht="11.4">
      <c r="A88" s="369" t="s">
        <v>580</v>
      </c>
      <c r="B88" s="370">
        <f t="shared" si="32"/>
        <v>100000</v>
      </c>
      <c r="C88" s="371">
        <v>100000</v>
      </c>
      <c r="D88" s="371"/>
      <c r="E88" s="371">
        <f t="shared" si="31"/>
        <v>100000</v>
      </c>
      <c r="F88" s="371"/>
      <c r="G88" s="371"/>
      <c r="H88" s="371"/>
      <c r="I88" s="371"/>
      <c r="J88" s="371"/>
      <c r="K88" s="371"/>
      <c r="L88" s="371"/>
      <c r="M88" s="371"/>
      <c r="N88" s="371"/>
      <c r="O88" s="371"/>
      <c r="P88" s="371"/>
      <c r="Q88" s="371"/>
      <c r="R88" s="371">
        <f t="shared" si="33"/>
        <v>100000</v>
      </c>
      <c r="S88" s="371">
        <f>B88</f>
        <v>100000</v>
      </c>
      <c r="T88" s="371"/>
      <c r="U88" s="367"/>
    </row>
    <row r="89" spans="1:21" s="368" customFormat="1" ht="11.4">
      <c r="A89" s="369" t="s">
        <v>581</v>
      </c>
      <c r="B89" s="370">
        <f t="shared" si="32"/>
        <v>22000</v>
      </c>
      <c r="C89" s="371">
        <v>22000</v>
      </c>
      <c r="D89" s="371"/>
      <c r="E89" s="371">
        <f t="shared" si="31"/>
        <v>22000</v>
      </c>
      <c r="F89" s="371"/>
      <c r="G89" s="371"/>
      <c r="H89" s="371"/>
      <c r="I89" s="371"/>
      <c r="J89" s="371"/>
      <c r="K89" s="371"/>
      <c r="L89" s="371"/>
      <c r="M89" s="371"/>
      <c r="N89" s="371"/>
      <c r="O89" s="371"/>
      <c r="P89" s="371"/>
      <c r="Q89" s="371"/>
      <c r="R89" s="371">
        <f t="shared" si="33"/>
        <v>22000</v>
      </c>
      <c r="S89" s="371"/>
      <c r="T89" s="371"/>
      <c r="U89" s="367"/>
    </row>
    <row r="90" spans="1:21" s="368" customFormat="1" ht="11.4">
      <c r="A90" s="380" t="s">
        <v>1454</v>
      </c>
      <c r="B90" s="370">
        <f t="shared" si="32"/>
        <v>0</v>
      </c>
      <c r="C90" s="371"/>
      <c r="D90" s="371"/>
      <c r="E90" s="371">
        <f t="shared" si="31"/>
        <v>0</v>
      </c>
      <c r="F90" s="371"/>
      <c r="G90" s="371"/>
      <c r="H90" s="371"/>
      <c r="I90" s="371"/>
      <c r="J90" s="371"/>
      <c r="K90" s="371"/>
      <c r="L90" s="371"/>
      <c r="M90" s="371"/>
      <c r="N90" s="371"/>
      <c r="O90" s="371"/>
      <c r="P90" s="371"/>
      <c r="Q90" s="371"/>
      <c r="R90" s="371">
        <f t="shared" si="33"/>
        <v>0</v>
      </c>
      <c r="S90" s="371"/>
      <c r="T90" s="371"/>
      <c r="U90" s="367"/>
    </row>
    <row r="91" spans="1:21" s="368" customFormat="1" ht="11.4">
      <c r="A91" s="380" t="s">
        <v>1966</v>
      </c>
      <c r="B91" s="370">
        <f t="shared" si="32"/>
        <v>25000</v>
      </c>
      <c r="C91" s="371">
        <v>25000</v>
      </c>
      <c r="D91" s="371"/>
      <c r="E91" s="371">
        <f t="shared" si="31"/>
        <v>25000</v>
      </c>
      <c r="F91" s="371"/>
      <c r="G91" s="371"/>
      <c r="H91" s="371"/>
      <c r="I91" s="371"/>
      <c r="J91" s="371"/>
      <c r="K91" s="371"/>
      <c r="L91" s="371"/>
      <c r="M91" s="371"/>
      <c r="N91" s="371"/>
      <c r="O91" s="371"/>
      <c r="P91" s="371"/>
      <c r="Q91" s="371"/>
      <c r="R91" s="371">
        <f t="shared" si="33"/>
        <v>25000</v>
      </c>
      <c r="S91" s="371">
        <f>B91</f>
        <v>25000</v>
      </c>
      <c r="T91" s="371"/>
      <c r="U91" s="367"/>
    </row>
    <row r="92" spans="1:21" s="368" customFormat="1" ht="11.4">
      <c r="A92" s="376" t="s">
        <v>2481</v>
      </c>
      <c r="B92" s="370">
        <f t="shared" si="32"/>
        <v>25000</v>
      </c>
      <c r="C92" s="371">
        <v>25000</v>
      </c>
      <c r="D92" s="371"/>
      <c r="E92" s="371">
        <f t="shared" si="31"/>
        <v>25000</v>
      </c>
      <c r="F92" s="371"/>
      <c r="G92" s="371"/>
      <c r="H92" s="371"/>
      <c r="I92" s="371"/>
      <c r="J92" s="371"/>
      <c r="K92" s="371"/>
      <c r="L92" s="371"/>
      <c r="M92" s="371"/>
      <c r="N92" s="371"/>
      <c r="O92" s="371"/>
      <c r="P92" s="371"/>
      <c r="Q92" s="371"/>
      <c r="R92" s="371">
        <f t="shared" si="33"/>
        <v>25000</v>
      </c>
      <c r="S92" s="371"/>
      <c r="T92" s="371"/>
      <c r="U92" s="367"/>
    </row>
    <row r="93" spans="1:21" s="368" customFormat="1" ht="11.4">
      <c r="A93" s="376" t="s">
        <v>2497</v>
      </c>
      <c r="B93" s="370">
        <f t="shared" si="32"/>
        <v>100000</v>
      </c>
      <c r="C93" s="371">
        <v>100000</v>
      </c>
      <c r="D93" s="371"/>
      <c r="E93" s="371">
        <f t="shared" si="31"/>
        <v>100000</v>
      </c>
      <c r="F93" s="371"/>
      <c r="G93" s="371"/>
      <c r="H93" s="371"/>
      <c r="I93" s="371"/>
      <c r="J93" s="371"/>
      <c r="K93" s="371"/>
      <c r="L93" s="371"/>
      <c r="M93" s="371"/>
      <c r="N93" s="371"/>
      <c r="O93" s="371"/>
      <c r="P93" s="371"/>
      <c r="Q93" s="371"/>
      <c r="R93" s="371">
        <f t="shared" si="33"/>
        <v>100000</v>
      </c>
      <c r="S93" s="371">
        <f>B93</f>
        <v>100000</v>
      </c>
      <c r="T93" s="371"/>
      <c r="U93" s="367"/>
    </row>
    <row r="94" spans="1:21" s="368" customFormat="1" ht="11.4">
      <c r="A94" s="376" t="s">
        <v>592</v>
      </c>
      <c r="B94" s="370">
        <f>SUM(C94+D94)</f>
        <v>0</v>
      </c>
      <c r="C94" s="371"/>
      <c r="D94" s="371"/>
      <c r="E94" s="371">
        <f t="shared" si="31"/>
        <v>0</v>
      </c>
      <c r="F94" s="371"/>
      <c r="G94" s="371"/>
      <c r="H94" s="371"/>
      <c r="I94" s="371"/>
      <c r="J94" s="371"/>
      <c r="K94" s="371"/>
      <c r="L94" s="371"/>
      <c r="M94" s="371"/>
      <c r="N94" s="371"/>
      <c r="O94" s="371"/>
      <c r="P94" s="371"/>
      <c r="Q94" s="371"/>
      <c r="R94" s="371">
        <f>SUM(E94:Q94)</f>
        <v>0</v>
      </c>
      <c r="S94" s="371">
        <f>B94</f>
        <v>0</v>
      </c>
      <c r="T94" s="371"/>
      <c r="U94" s="367"/>
    </row>
    <row r="95" spans="1:21" s="368" customFormat="1">
      <c r="A95" s="373" t="s">
        <v>582</v>
      </c>
      <c r="B95" s="370">
        <f>SUM(C95:D95)</f>
        <v>3787330</v>
      </c>
      <c r="C95" s="370">
        <f t="shared" ref="C95:R95" si="34">SUM(C82:C94)</f>
        <v>3787330</v>
      </c>
      <c r="D95" s="370">
        <f t="shared" si="34"/>
        <v>0</v>
      </c>
      <c r="E95" s="370">
        <f t="shared" si="34"/>
        <v>3787330</v>
      </c>
      <c r="F95" s="370">
        <f t="shared" si="34"/>
        <v>0</v>
      </c>
      <c r="G95" s="370">
        <f t="shared" si="34"/>
        <v>0</v>
      </c>
      <c r="H95" s="370">
        <f t="shared" si="34"/>
        <v>0</v>
      </c>
      <c r="I95" s="370">
        <f t="shared" si="34"/>
        <v>0</v>
      </c>
      <c r="J95" s="370">
        <f t="shared" si="34"/>
        <v>0</v>
      </c>
      <c r="K95" s="370">
        <f t="shared" si="34"/>
        <v>0</v>
      </c>
      <c r="L95" s="370">
        <f t="shared" si="34"/>
        <v>0</v>
      </c>
      <c r="M95" s="370">
        <f t="shared" si="34"/>
        <v>0</v>
      </c>
      <c r="N95" s="370">
        <f t="shared" si="34"/>
        <v>0</v>
      </c>
      <c r="O95" s="370">
        <f t="shared" si="34"/>
        <v>0</v>
      </c>
      <c r="P95" s="370">
        <f t="shared" si="34"/>
        <v>0</v>
      </c>
      <c r="Q95" s="370">
        <f t="shared" si="34"/>
        <v>0</v>
      </c>
      <c r="R95" s="370">
        <f t="shared" si="34"/>
        <v>3787330</v>
      </c>
      <c r="S95" s="374">
        <f>SUM(S83:S86,S88:S94)</f>
        <v>3436073</v>
      </c>
      <c r="T95" s="370">
        <f>SUM(T83:T86,T88:T94)</f>
        <v>0</v>
      </c>
      <c r="U95" s="367"/>
    </row>
    <row r="96" spans="1:21" s="368" customFormat="1">
      <c r="A96" s="373" t="s">
        <v>583</v>
      </c>
      <c r="B96" s="370">
        <f>SUM(C96:D96)</f>
        <v>45914421</v>
      </c>
      <c r="C96" s="370">
        <f t="shared" ref="C96:R96" si="35">SUM(C62+C69+C76+C80+C95)</f>
        <v>45914421</v>
      </c>
      <c r="D96" s="370">
        <f t="shared" si="35"/>
        <v>0</v>
      </c>
      <c r="E96" s="370">
        <f t="shared" si="35"/>
        <v>24547843</v>
      </c>
      <c r="F96" s="370">
        <f t="shared" si="35"/>
        <v>4262015</v>
      </c>
      <c r="G96" s="370">
        <f t="shared" si="35"/>
        <v>0</v>
      </c>
      <c r="H96" s="370">
        <f t="shared" si="35"/>
        <v>5653152</v>
      </c>
      <c r="I96" s="370">
        <f t="shared" si="35"/>
        <v>2664774</v>
      </c>
      <c r="J96" s="370">
        <f t="shared" si="35"/>
        <v>2200000</v>
      </c>
      <c r="K96" s="370">
        <f t="shared" si="35"/>
        <v>1317985</v>
      </c>
      <c r="L96" s="370">
        <f t="shared" si="35"/>
        <v>1000000</v>
      </c>
      <c r="M96" s="370">
        <f t="shared" si="35"/>
        <v>500000</v>
      </c>
      <c r="N96" s="370">
        <f t="shared" si="35"/>
        <v>1000000</v>
      </c>
      <c r="O96" s="370">
        <f t="shared" si="35"/>
        <v>0</v>
      </c>
      <c r="P96" s="370">
        <f t="shared" si="35"/>
        <v>1000000</v>
      </c>
      <c r="Q96" s="370">
        <f t="shared" si="35"/>
        <v>1768652</v>
      </c>
      <c r="R96" s="370">
        <f t="shared" si="35"/>
        <v>45914421</v>
      </c>
      <c r="S96" s="374">
        <f>SUM(+S62+S69+S80+S95)</f>
        <v>36298808</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2200000</v>
      </c>
      <c r="C98" s="371">
        <v>2200000</v>
      </c>
      <c r="D98" s="371"/>
      <c r="E98" s="371">
        <f t="shared" ref="E98" si="36">C98-SUM(F98:Q98)</f>
        <v>2125000</v>
      </c>
      <c r="F98" s="371"/>
      <c r="G98" s="371"/>
      <c r="H98" s="371"/>
      <c r="I98" s="371"/>
      <c r="J98" s="371"/>
      <c r="K98" s="371"/>
      <c r="L98" s="371"/>
      <c r="M98" s="371"/>
      <c r="N98" s="371"/>
      <c r="O98" s="371">
        <f>O107</f>
        <v>75000</v>
      </c>
      <c r="P98" s="371"/>
      <c r="Q98" s="371"/>
      <c r="R98" s="371">
        <f>SUM(E98:Q98)</f>
        <v>2200000</v>
      </c>
      <c r="S98" s="371">
        <f>B98</f>
        <v>2200000</v>
      </c>
      <c r="T98" s="371"/>
      <c r="U98" s="367"/>
    </row>
    <row r="99" spans="1:21" s="368" customFormat="1" ht="11.4">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7">SUM(C98:C102)</f>
        <v>2200000</v>
      </c>
      <c r="D103" s="370">
        <f t="shared" si="37"/>
        <v>0</v>
      </c>
      <c r="E103" s="370">
        <f t="shared" si="37"/>
        <v>2125000</v>
      </c>
      <c r="F103" s="370">
        <f t="shared" si="37"/>
        <v>0</v>
      </c>
      <c r="G103" s="370">
        <f t="shared" si="37"/>
        <v>0</v>
      </c>
      <c r="H103" s="370">
        <f t="shared" si="37"/>
        <v>0</v>
      </c>
      <c r="I103" s="370">
        <f t="shared" si="37"/>
        <v>0</v>
      </c>
      <c r="J103" s="370">
        <f t="shared" si="37"/>
        <v>0</v>
      </c>
      <c r="K103" s="370">
        <f t="shared" si="37"/>
        <v>0</v>
      </c>
      <c r="L103" s="370">
        <f t="shared" si="37"/>
        <v>0</v>
      </c>
      <c r="M103" s="370">
        <f t="shared" si="37"/>
        <v>0</v>
      </c>
      <c r="N103" s="370">
        <f t="shared" si="37"/>
        <v>0</v>
      </c>
      <c r="O103" s="370">
        <f t="shared" si="37"/>
        <v>75000</v>
      </c>
      <c r="P103" s="370">
        <f t="shared" si="37"/>
        <v>0</v>
      </c>
      <c r="Q103" s="370">
        <f t="shared" si="37"/>
        <v>0</v>
      </c>
      <c r="R103" s="370">
        <f t="shared" si="37"/>
        <v>2200000</v>
      </c>
      <c r="S103" s="374">
        <f t="shared" si="37"/>
        <v>2200000</v>
      </c>
      <c r="T103" s="374">
        <f t="shared" si="37"/>
        <v>0</v>
      </c>
      <c r="U103" s="367"/>
    </row>
    <row r="104" spans="1:21" s="368" customFormat="1">
      <c r="A104" s="373" t="s">
        <v>1282</v>
      </c>
      <c r="B104" s="374">
        <f>SUM(C104:D104)</f>
        <v>48114421</v>
      </c>
      <c r="C104" s="374">
        <f t="shared" ref="C104:R104" si="38">SUM(C96+C103)</f>
        <v>48114421</v>
      </c>
      <c r="D104" s="374">
        <f t="shared" si="38"/>
        <v>0</v>
      </c>
      <c r="E104" s="374">
        <f t="shared" si="38"/>
        <v>26672843</v>
      </c>
      <c r="F104" s="374">
        <f t="shared" si="38"/>
        <v>4262015</v>
      </c>
      <c r="G104" s="374">
        <f t="shared" si="38"/>
        <v>0</v>
      </c>
      <c r="H104" s="374">
        <f t="shared" si="38"/>
        <v>5653152</v>
      </c>
      <c r="I104" s="374">
        <f t="shared" si="38"/>
        <v>2664774</v>
      </c>
      <c r="J104" s="374">
        <f t="shared" si="38"/>
        <v>2200000</v>
      </c>
      <c r="K104" s="374">
        <f t="shared" si="38"/>
        <v>1317985</v>
      </c>
      <c r="L104" s="374">
        <f t="shared" si="38"/>
        <v>1000000</v>
      </c>
      <c r="M104" s="374">
        <f t="shared" si="38"/>
        <v>500000</v>
      </c>
      <c r="N104" s="374">
        <f t="shared" si="38"/>
        <v>1000000</v>
      </c>
      <c r="O104" s="374">
        <f t="shared" si="38"/>
        <v>75000</v>
      </c>
      <c r="P104" s="374">
        <f t="shared" si="38"/>
        <v>1000000</v>
      </c>
      <c r="Q104" s="374">
        <f t="shared" si="38"/>
        <v>1768652</v>
      </c>
      <c r="R104" s="370">
        <f t="shared" si="38"/>
        <v>48114421</v>
      </c>
      <c r="S104" s="374">
        <f>S96+S103</f>
        <v>38498808</v>
      </c>
      <c r="T104" s="374">
        <f>T96+T103</f>
        <v>0</v>
      </c>
      <c r="U104" s="367"/>
    </row>
    <row r="105" spans="1:21" s="383" customFormat="1">
      <c r="A105" s="1309"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38498808</v>
      </c>
      <c r="T106" s="388">
        <f>T104+T105</f>
        <v>0</v>
      </c>
      <c r="U106" s="386"/>
    </row>
    <row r="107" spans="1:21" s="389" customFormat="1">
      <c r="A107" s="387" t="s">
        <v>1226</v>
      </c>
      <c r="B107" s="382"/>
      <c r="C107" s="382"/>
      <c r="D107" s="382"/>
      <c r="E107" s="652">
        <f>Application!AO645</f>
        <v>26672843</v>
      </c>
      <c r="F107" s="652">
        <f>Application!AO632</f>
        <v>4262015</v>
      </c>
      <c r="G107" s="652">
        <f>Application!AO633</f>
        <v>0</v>
      </c>
      <c r="H107" s="652">
        <f>Application!AO634</f>
        <v>5653152</v>
      </c>
      <c r="I107" s="652">
        <f>Application!AO635</f>
        <v>2664774</v>
      </c>
      <c r="J107" s="652">
        <f>Application!AO636</f>
        <v>2200000</v>
      </c>
      <c r="K107" s="652">
        <f>Application!AO637</f>
        <v>1317985</v>
      </c>
      <c r="L107" s="652">
        <f>Application!AO638</f>
        <v>1000000</v>
      </c>
      <c r="M107" s="652">
        <f>Application!AO639</f>
        <v>500000</v>
      </c>
      <c r="N107" s="652">
        <f>Application!AO640</f>
        <v>1000000</v>
      </c>
      <c r="O107" s="652">
        <f>Application!AO641</f>
        <v>75000</v>
      </c>
      <c r="P107" s="652">
        <f>Application!AO642</f>
        <v>1000000</v>
      </c>
      <c r="Q107" s="652">
        <f>Application!AO643</f>
        <v>1768652</v>
      </c>
      <c r="R107" s="651"/>
      <c r="S107" s="383"/>
      <c r="T107" s="383"/>
      <c r="U107" s="470"/>
    </row>
    <row r="108" spans="1:21" s="389" customFormat="1">
      <c r="A108" s="387"/>
      <c r="B108" s="382"/>
      <c r="C108" s="382"/>
      <c r="D108" s="382"/>
      <c r="E108" s="651"/>
      <c r="F108" s="651"/>
      <c r="G108" s="651"/>
      <c r="H108" s="651"/>
      <c r="I108" s="651"/>
      <c r="J108" s="651"/>
      <c r="K108" s="651"/>
      <c r="L108" s="651"/>
      <c r="M108" s="651"/>
      <c r="N108" s="651"/>
      <c r="O108" s="651"/>
      <c r="P108" s="651"/>
      <c r="Q108" s="651"/>
      <c r="R108" s="651"/>
      <c r="S108" s="383"/>
      <c r="T108" s="383"/>
      <c r="U108" s="470"/>
    </row>
    <row r="109" spans="1:21" s="389" customFormat="1" ht="13.2">
      <c r="A109" s="759" t="s">
        <v>1346</v>
      </c>
      <c r="B109" s="382"/>
      <c r="C109" s="382"/>
      <c r="D109" s="382"/>
      <c r="E109" s="651"/>
      <c r="F109" s="651"/>
      <c r="G109" s="651"/>
      <c r="H109" s="651"/>
      <c r="I109" s="651"/>
      <c r="J109" s="651"/>
      <c r="K109" s="651"/>
      <c r="L109" s="651"/>
      <c r="M109" s="651"/>
      <c r="N109" s="651"/>
      <c r="O109" s="651"/>
      <c r="P109" s="651"/>
      <c r="Q109" s="651"/>
      <c r="R109" s="651"/>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1"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0"/>
    </row>
    <row r="115" spans="1:21" s="383" customFormat="1" ht="15.6">
      <c r="A115" s="473"/>
      <c r="U115" s="386"/>
    </row>
    <row r="116" spans="1:21" s="389" customFormat="1">
      <c r="A116" s="889"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89"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1" customFormat="1">
      <c r="A118" s="889" t="s">
        <v>1451</v>
      </c>
      <c r="B118" s="383"/>
      <c r="C118" s="383"/>
      <c r="D118" s="383"/>
      <c r="E118" s="383"/>
      <c r="F118" s="383"/>
      <c r="G118" s="383"/>
      <c r="H118" s="383"/>
      <c r="I118" s="383"/>
      <c r="J118" s="383"/>
      <c r="K118" s="383"/>
      <c r="L118" s="383"/>
      <c r="M118" s="383"/>
      <c r="N118" s="383"/>
      <c r="O118" s="383"/>
      <c r="P118" s="383"/>
      <c r="Q118" s="383"/>
      <c r="R118" s="383"/>
      <c r="S118" s="383"/>
      <c r="T118" s="383"/>
      <c r="U118" s="760"/>
    </row>
    <row r="119" spans="1:21" s="761" customFormat="1">
      <c r="A119" s="889" t="s">
        <v>1453</v>
      </c>
      <c r="B119" s="383"/>
      <c r="C119" s="383"/>
      <c r="D119" s="383"/>
      <c r="E119" s="383"/>
      <c r="F119" s="383"/>
      <c r="G119" s="383"/>
      <c r="H119" s="383"/>
      <c r="I119" s="383"/>
      <c r="J119" s="383"/>
      <c r="K119" s="383"/>
      <c r="L119" s="383"/>
      <c r="M119" s="383"/>
      <c r="N119" s="383"/>
      <c r="O119" s="383"/>
      <c r="P119" s="383"/>
      <c r="Q119" s="383"/>
      <c r="R119" s="383"/>
      <c r="S119" s="383"/>
      <c r="T119" s="383"/>
      <c r="U119" s="760"/>
    </row>
    <row r="120" spans="1:21" s="383" customFormat="1" ht="15.6">
      <c r="A120" s="473"/>
      <c r="U120" s="386"/>
    </row>
    <row r="121" spans="1:21" s="878" customFormat="1" ht="15.6">
      <c r="A121" s="877" t="s">
        <v>1442</v>
      </c>
      <c r="U121" s="879"/>
    </row>
    <row r="122" spans="1:21" s="383" customFormat="1" ht="11.4">
      <c r="A122" s="384" t="s">
        <v>1426</v>
      </c>
      <c r="D122" s="2249" t="s">
        <v>1427</v>
      </c>
      <c r="E122" s="2249"/>
      <c r="F122" s="2249"/>
      <c r="U122" s="386"/>
    </row>
    <row r="123" spans="1:21" s="383" customFormat="1" ht="11.4">
      <c r="A123" s="383" t="s">
        <v>1428</v>
      </c>
      <c r="B123" s="867"/>
      <c r="D123" s="2252" t="s">
        <v>1455</v>
      </c>
      <c r="E123" s="2253"/>
      <c r="F123" s="2253"/>
      <c r="G123" s="2253"/>
      <c r="H123" s="2253"/>
      <c r="I123" s="2253"/>
      <c r="J123" s="2253"/>
      <c r="K123" s="2253"/>
      <c r="L123" s="2253"/>
      <c r="M123" s="2253"/>
      <c r="N123" s="2253"/>
      <c r="O123" s="2253"/>
      <c r="P123" s="2253"/>
      <c r="Q123" s="2253"/>
      <c r="R123" s="2253"/>
      <c r="S123" s="2253"/>
      <c r="U123" s="386"/>
    </row>
    <row r="124" spans="1:21" s="383" customFormat="1" ht="13.2">
      <c r="A124" s="870" t="s">
        <v>1429</v>
      </c>
      <c r="B124" s="867"/>
      <c r="C124" s="870"/>
      <c r="D124" s="2253"/>
      <c r="E124" s="2253"/>
      <c r="F124" s="2253"/>
      <c r="G124" s="2253"/>
      <c r="H124" s="2253"/>
      <c r="I124" s="2253"/>
      <c r="J124" s="2253"/>
      <c r="K124" s="2253"/>
      <c r="L124" s="2253"/>
      <c r="M124" s="2253"/>
      <c r="N124" s="2253"/>
      <c r="O124" s="2253"/>
      <c r="P124" s="2253"/>
      <c r="Q124" s="2253"/>
      <c r="R124" s="2253"/>
      <c r="S124" s="2253"/>
      <c r="U124" s="386"/>
    </row>
    <row r="125" spans="1:21" s="383" customFormat="1" ht="13.2">
      <c r="A125" s="870" t="s">
        <v>1430</v>
      </c>
      <c r="B125" s="867"/>
      <c r="C125" s="870"/>
      <c r="D125" s="2253"/>
      <c r="E125" s="2253"/>
      <c r="F125" s="2253"/>
      <c r="G125" s="2253"/>
      <c r="H125" s="2253"/>
      <c r="I125" s="2253"/>
      <c r="J125" s="2253"/>
      <c r="K125" s="2253"/>
      <c r="L125" s="2253"/>
      <c r="M125" s="2253"/>
      <c r="N125" s="2253"/>
      <c r="O125" s="2253"/>
      <c r="P125" s="2253"/>
      <c r="Q125" s="2253"/>
      <c r="R125" s="2253"/>
      <c r="S125" s="2253"/>
      <c r="U125" s="386"/>
    </row>
    <row r="126" spans="1:21" s="383" customFormat="1" ht="13.2">
      <c r="A126" s="870" t="s">
        <v>1431</v>
      </c>
      <c r="B126" s="867"/>
      <c r="C126" s="870"/>
      <c r="D126" s="869"/>
      <c r="E126" s="869"/>
      <c r="F126" s="869"/>
      <c r="G126" s="869"/>
      <c r="H126" s="869"/>
      <c r="I126" s="869"/>
      <c r="J126" s="869"/>
      <c r="K126" s="869"/>
      <c r="L126" s="869"/>
      <c r="M126" s="869"/>
      <c r="N126" s="869"/>
      <c r="O126" s="870"/>
      <c r="P126" s="870"/>
      <c r="Q126" s="870"/>
      <c r="R126" s="870"/>
      <c r="S126" s="870"/>
      <c r="U126" s="386"/>
    </row>
    <row r="127" spans="1:21" s="383" customFormat="1" ht="13.2">
      <c r="A127" s="870" t="s">
        <v>1432</v>
      </c>
      <c r="B127" s="867"/>
      <c r="C127" s="870"/>
      <c r="D127" s="869"/>
      <c r="E127" s="869"/>
      <c r="F127" s="869"/>
      <c r="G127" s="869"/>
      <c r="H127" s="869"/>
      <c r="I127" s="869"/>
      <c r="J127" s="869"/>
      <c r="K127" s="869"/>
      <c r="L127" s="869"/>
      <c r="M127" s="869"/>
      <c r="N127" s="869"/>
      <c r="O127" s="870"/>
      <c r="P127" s="870"/>
      <c r="Q127" s="870"/>
      <c r="R127" s="870"/>
      <c r="S127" s="870"/>
      <c r="U127" s="386"/>
    </row>
    <row r="128" spans="1:21" s="383" customFormat="1" ht="13.2">
      <c r="A128" s="870" t="s">
        <v>1433</v>
      </c>
      <c r="B128" s="867"/>
      <c r="C128" s="870"/>
      <c r="D128" s="2246"/>
      <c r="E128" s="2246"/>
      <c r="F128" s="2246"/>
      <c r="G128" s="2246"/>
      <c r="H128" s="2246"/>
      <c r="I128" s="870"/>
      <c r="J128" s="2247"/>
      <c r="K128" s="2247"/>
      <c r="L128" s="870"/>
      <c r="M128" s="870"/>
      <c r="N128" s="870"/>
      <c r="O128" s="870"/>
      <c r="P128" s="870"/>
      <c r="Q128" s="870"/>
      <c r="R128" s="870"/>
      <c r="S128" s="870"/>
      <c r="U128" s="386"/>
    </row>
    <row r="129" spans="1:21" s="383" customFormat="1" ht="13.2">
      <c r="A129" s="870" t="s">
        <v>548</v>
      </c>
      <c r="B129" s="867"/>
      <c r="C129" s="870"/>
      <c r="D129" s="2248" t="s">
        <v>1434</v>
      </c>
      <c r="E129" s="2248"/>
      <c r="F129" s="2248"/>
      <c r="G129" s="2248"/>
      <c r="H129" s="2248"/>
      <c r="I129" s="870"/>
      <c r="J129" s="870" t="s">
        <v>1435</v>
      </c>
      <c r="K129" s="870"/>
      <c r="L129" s="870"/>
      <c r="M129" s="870"/>
      <c r="N129" s="870"/>
      <c r="O129" s="870"/>
      <c r="P129" s="870"/>
      <c r="Q129" s="870"/>
      <c r="R129" s="870"/>
      <c r="S129" s="870"/>
      <c r="U129" s="386"/>
    </row>
    <row r="130" spans="1:21" s="383" customFormat="1" ht="13.2">
      <c r="A130" s="870"/>
      <c r="B130" s="865"/>
      <c r="C130" s="870"/>
      <c r="D130" s="870"/>
      <c r="E130" s="870"/>
      <c r="F130" s="870"/>
      <c r="G130" s="870"/>
      <c r="H130" s="870"/>
      <c r="I130" s="870"/>
      <c r="J130" s="870"/>
      <c r="K130" s="870"/>
      <c r="L130" s="870"/>
      <c r="M130" s="870"/>
      <c r="N130" s="870"/>
      <c r="O130" s="870"/>
      <c r="P130" s="870"/>
      <c r="Q130" s="870"/>
      <c r="R130" s="870"/>
      <c r="S130" s="870"/>
      <c r="U130" s="386"/>
    </row>
    <row r="131" spans="1:21" s="383" customFormat="1" ht="13.2">
      <c r="A131" s="871" t="s">
        <v>1436</v>
      </c>
      <c r="B131" s="868">
        <f>SUM(B123:B129)</f>
        <v>0</v>
      </c>
      <c r="C131" s="870"/>
      <c r="D131" s="1873"/>
      <c r="E131" s="1873"/>
      <c r="F131" s="1873"/>
      <c r="G131" s="1873"/>
      <c r="H131" s="1873"/>
      <c r="I131" s="870"/>
      <c r="J131" s="1873"/>
      <c r="K131" s="1873"/>
      <c r="L131" s="1873"/>
      <c r="M131" s="1873"/>
      <c r="N131" s="870"/>
      <c r="O131" s="870"/>
      <c r="P131" s="870"/>
      <c r="Q131" s="870"/>
      <c r="R131" s="870"/>
      <c r="S131" s="870"/>
      <c r="U131" s="386"/>
    </row>
    <row r="132" spans="1:21" s="383" customFormat="1" ht="13.2">
      <c r="A132" s="872"/>
      <c r="B132" s="870"/>
      <c r="C132" s="870"/>
      <c r="D132" s="2254" t="s">
        <v>1437</v>
      </c>
      <c r="E132" s="2254"/>
      <c r="F132" s="2254"/>
      <c r="G132" s="2254"/>
      <c r="H132" s="2254"/>
      <c r="I132" s="870"/>
      <c r="J132" s="2254" t="s">
        <v>1438</v>
      </c>
      <c r="K132" s="2254"/>
      <c r="L132" s="2254"/>
      <c r="M132" s="2254"/>
      <c r="N132" s="870"/>
      <c r="O132" s="870"/>
      <c r="P132" s="870"/>
      <c r="Q132" s="870"/>
      <c r="R132" s="870"/>
      <c r="S132" s="870"/>
      <c r="U132" s="386"/>
    </row>
    <row r="133" spans="1:21" s="383" customFormat="1" ht="13.2">
      <c r="A133" s="872"/>
      <c r="B133" s="870"/>
      <c r="C133" s="870"/>
      <c r="D133" s="870"/>
      <c r="E133" s="870"/>
      <c r="F133" s="870"/>
      <c r="G133" s="870"/>
      <c r="H133" s="870"/>
      <c r="I133" s="870"/>
      <c r="J133" s="870"/>
      <c r="K133" s="870"/>
      <c r="L133" s="870"/>
      <c r="M133" s="870"/>
      <c r="N133" s="870"/>
      <c r="O133" s="870"/>
      <c r="P133" s="870"/>
      <c r="Q133" s="870"/>
      <c r="R133" s="870"/>
      <c r="S133" s="870"/>
      <c r="U133" s="386"/>
    </row>
    <row r="134" spans="1:21" s="383" customFormat="1" ht="13.2">
      <c r="A134" s="873" t="s">
        <v>1439</v>
      </c>
      <c r="B134" s="870"/>
      <c r="C134" s="870"/>
      <c r="D134" s="870"/>
      <c r="E134" s="870"/>
      <c r="F134" s="870"/>
      <c r="G134" s="870"/>
      <c r="H134" s="870"/>
      <c r="I134" s="870"/>
      <c r="J134" s="870"/>
      <c r="K134" s="870"/>
      <c r="L134" s="870"/>
      <c r="M134" s="870"/>
      <c r="N134" s="870"/>
      <c r="O134" s="870"/>
      <c r="P134" s="870"/>
      <c r="Q134" s="870"/>
      <c r="R134" s="870"/>
      <c r="S134" s="870"/>
      <c r="U134" s="386"/>
    </row>
    <row r="135" spans="1:21" s="383" customFormat="1" ht="13.2">
      <c r="A135" s="569" t="s">
        <v>1440</v>
      </c>
      <c r="B135" s="870"/>
      <c r="C135" s="870"/>
      <c r="D135" s="870"/>
      <c r="E135" s="870"/>
      <c r="F135" s="870"/>
      <c r="G135" s="870"/>
      <c r="H135" s="870"/>
      <c r="I135" s="870"/>
      <c r="J135" s="870"/>
      <c r="K135" s="870"/>
      <c r="L135" s="870"/>
      <c r="M135" s="870"/>
      <c r="N135" s="874"/>
      <c r="O135" s="870"/>
      <c r="P135" s="870"/>
      <c r="Q135" s="870"/>
      <c r="R135" s="870"/>
      <c r="S135" s="870"/>
      <c r="U135" s="386"/>
    </row>
    <row r="136" spans="1:21" ht="13.2">
      <c r="A136" s="872"/>
      <c r="B136" s="870"/>
      <c r="C136" s="870"/>
      <c r="D136" s="870"/>
      <c r="E136" s="870"/>
      <c r="F136" s="870"/>
      <c r="G136" s="870"/>
      <c r="H136" s="870"/>
      <c r="I136" s="870"/>
      <c r="J136" s="870"/>
      <c r="K136" s="870"/>
      <c r="L136" s="870"/>
      <c r="M136" s="870"/>
      <c r="N136" s="870"/>
      <c r="O136" s="870"/>
      <c r="P136" s="870"/>
      <c r="Q136" s="870"/>
      <c r="R136" s="870"/>
      <c r="S136" s="870"/>
    </row>
    <row r="137" spans="1:21" ht="12" customHeight="1">
      <c r="A137" s="872"/>
      <c r="B137" s="870"/>
      <c r="C137" s="870"/>
      <c r="D137" s="870"/>
      <c r="E137" s="870"/>
      <c r="F137" s="870"/>
      <c r="G137" s="870"/>
      <c r="H137" s="870"/>
      <c r="I137" s="870"/>
      <c r="J137" s="870"/>
      <c r="K137" s="870"/>
      <c r="L137" s="870"/>
      <c r="M137" s="870"/>
      <c r="N137" s="870"/>
      <c r="O137" s="870"/>
      <c r="P137" s="870"/>
      <c r="Q137" s="870"/>
      <c r="R137" s="870"/>
      <c r="S137" s="870"/>
    </row>
    <row r="138" spans="1:21" ht="12" customHeight="1">
      <c r="A138" s="2255"/>
      <c r="B138" s="2256"/>
      <c r="C138" s="2256"/>
      <c r="D138" s="565"/>
      <c r="E138" s="2247"/>
      <c r="F138" s="2247"/>
      <c r="G138" s="870"/>
      <c r="H138" s="870"/>
      <c r="I138" s="870"/>
      <c r="J138" s="870"/>
      <c r="K138" s="870"/>
      <c r="L138" s="870"/>
      <c r="M138" s="870"/>
      <c r="N138" s="870"/>
      <c r="O138" s="870"/>
      <c r="P138" s="870"/>
      <c r="Q138" s="870"/>
      <c r="R138" s="870"/>
      <c r="S138" s="870"/>
    </row>
    <row r="139" spans="1:21" ht="12" customHeight="1">
      <c r="A139" s="2250" t="s">
        <v>1441</v>
      </c>
      <c r="B139" s="2251"/>
      <c r="C139" s="2251"/>
      <c r="D139" s="565"/>
      <c r="E139" s="870" t="s">
        <v>1435</v>
      </c>
      <c r="F139" s="870"/>
      <c r="G139" s="870"/>
      <c r="H139" s="870"/>
      <c r="I139" s="870"/>
      <c r="J139" s="870"/>
      <c r="K139" s="870"/>
      <c r="L139" s="870"/>
      <c r="M139" s="870"/>
      <c r="N139" s="870"/>
      <c r="O139" s="870"/>
      <c r="P139" s="870"/>
      <c r="Q139" s="870"/>
      <c r="R139" s="870"/>
      <c r="S139" s="870"/>
    </row>
    <row r="140" spans="1:21" s="472" customFormat="1" ht="12" customHeight="1">
      <c r="A140" s="866"/>
      <c r="B140" s="870"/>
      <c r="C140" s="870"/>
      <c r="D140" s="565"/>
      <c r="E140" s="870"/>
      <c r="F140" s="870"/>
      <c r="G140" s="870"/>
      <c r="H140" s="870"/>
      <c r="I140" s="870"/>
      <c r="J140" s="870"/>
      <c r="K140" s="870"/>
      <c r="L140" s="870"/>
      <c r="M140" s="870"/>
      <c r="N140" s="870"/>
      <c r="O140" s="870"/>
      <c r="P140" s="870"/>
      <c r="Q140" s="870"/>
      <c r="R140" s="870"/>
      <c r="S140" s="870"/>
      <c r="T140" s="906"/>
      <c r="U140" s="762"/>
    </row>
    <row r="141" spans="1:21" s="875" customFormat="1" ht="12" customHeight="1">
      <c r="B141" s="565"/>
      <c r="C141" s="565"/>
      <c r="D141" s="565"/>
      <c r="E141" s="565"/>
      <c r="F141" s="565"/>
      <c r="G141" s="870"/>
      <c r="H141" s="870"/>
      <c r="I141" s="870"/>
      <c r="J141" s="870"/>
      <c r="K141" s="870"/>
      <c r="L141" s="870"/>
      <c r="M141" s="870"/>
      <c r="N141" s="870"/>
      <c r="O141" s="870"/>
      <c r="P141" s="870"/>
      <c r="Q141" s="870"/>
      <c r="R141" s="870"/>
      <c r="S141" s="870"/>
      <c r="T141" s="906"/>
      <c r="U141" s="876"/>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0" priority="238" stopIfTrue="1">
      <formula>T9&gt;C9</formula>
    </cfRule>
  </conditionalFormatting>
  <conditionalFormatting sqref="T10">
    <cfRule type="expression" dxfId="129" priority="237" stopIfTrue="1">
      <formula>(T10+S10)&gt;C10</formula>
    </cfRule>
  </conditionalFormatting>
  <conditionalFormatting sqref="R8">
    <cfRule type="cellIs" dxfId="128" priority="217" stopIfTrue="1" operator="notEqual">
      <formula>$B8</formula>
    </cfRule>
    <cfRule type="cellIs" priority="220" stopIfTrue="1" operator="notEqual">
      <formula>$B8</formula>
    </cfRule>
  </conditionalFormatting>
  <conditionalFormatting sqref="R4:R7 R45:R52 R56:R60 R82:R94 R98:R102">
    <cfRule type="cellIs" dxfId="127" priority="219" stopIfTrue="1" operator="notEqual">
      <formula>$B4</formula>
    </cfRule>
  </conditionalFormatting>
  <conditionalFormatting sqref="R9:R10">
    <cfRule type="cellIs" dxfId="126" priority="218" stopIfTrue="1" operator="notEqual">
      <formula>$B9</formula>
    </cfRule>
  </conditionalFormatting>
  <conditionalFormatting sqref="R11:R12">
    <cfRule type="cellIs" dxfId="125" priority="215" stopIfTrue="1" operator="notEqual">
      <formula>$B11</formula>
    </cfRule>
    <cfRule type="cellIs" priority="216" stopIfTrue="1" operator="notEqual">
      <formula>$B11</formula>
    </cfRule>
  </conditionalFormatting>
  <conditionalFormatting sqref="R13:R15">
    <cfRule type="cellIs" dxfId="124" priority="214" stopIfTrue="1" operator="notEqual">
      <formula>$B13</formula>
    </cfRule>
  </conditionalFormatting>
  <conditionalFormatting sqref="R26">
    <cfRule type="cellIs" dxfId="123" priority="212" stopIfTrue="1" operator="notEqual">
      <formula>$B26</formula>
    </cfRule>
    <cfRule type="cellIs" priority="213" stopIfTrue="1" operator="notEqual">
      <formula>$B26</formula>
    </cfRule>
  </conditionalFormatting>
  <conditionalFormatting sqref="R17:R25">
    <cfRule type="cellIs" dxfId="122" priority="211" stopIfTrue="1" operator="notEqual">
      <formula>$B17</formula>
    </cfRule>
  </conditionalFormatting>
  <conditionalFormatting sqref="R27">
    <cfRule type="cellIs" dxfId="121" priority="210" stopIfTrue="1" operator="notEqual">
      <formula>$B27</formula>
    </cfRule>
  </conditionalFormatting>
  <conditionalFormatting sqref="R38">
    <cfRule type="cellIs" dxfId="120" priority="208" stopIfTrue="1" operator="notEqual">
      <formula>$B38</formula>
    </cfRule>
    <cfRule type="cellIs" priority="209" stopIfTrue="1" operator="notEqual">
      <formula>$B38</formula>
    </cfRule>
  </conditionalFormatting>
  <conditionalFormatting sqref="R29:R37">
    <cfRule type="cellIs" dxfId="119" priority="207" stopIfTrue="1" operator="notEqual">
      <formula>$B29</formula>
    </cfRule>
  </conditionalFormatting>
  <conditionalFormatting sqref="R42">
    <cfRule type="cellIs" dxfId="118" priority="205" stopIfTrue="1" operator="notEqual">
      <formula>$B42</formula>
    </cfRule>
    <cfRule type="cellIs" priority="206" stopIfTrue="1" operator="notEqual">
      <formula>$B42</formula>
    </cfRule>
  </conditionalFormatting>
  <conditionalFormatting sqref="R40:R41">
    <cfRule type="cellIs" dxfId="117" priority="204" stopIfTrue="1" operator="notEqual">
      <formula>$B40</formula>
    </cfRule>
  </conditionalFormatting>
  <conditionalFormatting sqref="R43">
    <cfRule type="cellIs" dxfId="116" priority="203" stopIfTrue="1" operator="notEqual">
      <formula>$B43</formula>
    </cfRule>
  </conditionalFormatting>
  <conditionalFormatting sqref="R53">
    <cfRule type="cellIs" dxfId="115" priority="200" stopIfTrue="1" operator="notEqual">
      <formula>$B53</formula>
    </cfRule>
    <cfRule type="cellIs" priority="201" stopIfTrue="1" operator="notEqual">
      <formula>$B53</formula>
    </cfRule>
  </conditionalFormatting>
  <conditionalFormatting sqref="R55">
    <cfRule type="cellIs" dxfId="114" priority="198" stopIfTrue="1" operator="notEqual">
      <formula>$B55</formula>
    </cfRule>
  </conditionalFormatting>
  <conditionalFormatting sqref="R61:R62">
    <cfRule type="cellIs" dxfId="113" priority="196" stopIfTrue="1" operator="notEqual">
      <formula>$B61</formula>
    </cfRule>
    <cfRule type="cellIs" priority="197" stopIfTrue="1" operator="notEqual">
      <formula>$B61</formula>
    </cfRule>
  </conditionalFormatting>
  <conditionalFormatting sqref="R64:R68">
    <cfRule type="cellIs" dxfId="112" priority="195" stopIfTrue="1" operator="notEqual">
      <formula>$B64</formula>
    </cfRule>
  </conditionalFormatting>
  <conditionalFormatting sqref="R69">
    <cfRule type="cellIs" dxfId="111" priority="193" stopIfTrue="1" operator="notEqual">
      <formula>$B69</formula>
    </cfRule>
    <cfRule type="cellIs" priority="194" stopIfTrue="1" operator="notEqual">
      <formula>$B69</formula>
    </cfRule>
  </conditionalFormatting>
  <conditionalFormatting sqref="R71:R75">
    <cfRule type="cellIs" dxfId="110" priority="192" stopIfTrue="1" operator="notEqual">
      <formula>$B71</formula>
    </cfRule>
  </conditionalFormatting>
  <conditionalFormatting sqref="R76">
    <cfRule type="cellIs" dxfId="109" priority="190" stopIfTrue="1" operator="notEqual">
      <formula>$B76</formula>
    </cfRule>
    <cfRule type="cellIs" priority="191" stopIfTrue="1" operator="notEqual">
      <formula>$B76</formula>
    </cfRule>
  </conditionalFormatting>
  <conditionalFormatting sqref="R78:R79">
    <cfRule type="cellIs" dxfId="108" priority="189" stopIfTrue="1" operator="notEqual">
      <formula>$B78</formula>
    </cfRule>
  </conditionalFormatting>
  <conditionalFormatting sqref="R95:R96">
    <cfRule type="cellIs" dxfId="107" priority="186" stopIfTrue="1" operator="notEqual">
      <formula>$B95</formula>
    </cfRule>
    <cfRule type="cellIs" priority="187" stopIfTrue="1" operator="notEqual">
      <formula>$B95</formula>
    </cfRule>
  </conditionalFormatting>
  <conditionalFormatting sqref="R103:R104">
    <cfRule type="cellIs" dxfId="106" priority="183" stopIfTrue="1" operator="notEqual">
      <formula>$B103</formula>
    </cfRule>
    <cfRule type="cellIs" priority="184" stopIfTrue="1" operator="notEqual">
      <formula>$B103</formula>
    </cfRule>
  </conditionalFormatting>
  <conditionalFormatting sqref="E104:Q104">
    <cfRule type="cellIs" dxfId="105" priority="182" stopIfTrue="1" operator="notEqual">
      <formula>E$107</formula>
    </cfRule>
  </conditionalFormatting>
  <conditionalFormatting sqref="S10">
    <cfRule type="expression" dxfId="104" priority="118" stopIfTrue="1">
      <formula>(S10+T10)&gt;C10</formula>
    </cfRule>
  </conditionalFormatting>
  <conditionalFormatting sqref="S29:S37">
    <cfRule type="expression" dxfId="103" priority="95" stopIfTrue="1">
      <formula>(S29+T29)&gt;C29</formula>
    </cfRule>
  </conditionalFormatting>
  <conditionalFormatting sqref="S23:S24">
    <cfRule type="expression" dxfId="102" priority="99" stopIfTrue="1">
      <formula>(S23+T23)&gt;C23</formula>
    </cfRule>
  </conditionalFormatting>
  <conditionalFormatting sqref="T13">
    <cfRule type="expression" dxfId="101" priority="117" stopIfTrue="1">
      <formula>(T13+S13)&gt;C13</formula>
    </cfRule>
  </conditionalFormatting>
  <conditionalFormatting sqref="T14">
    <cfRule type="expression" dxfId="100" priority="116" stopIfTrue="1">
      <formula>(T14+S14)&gt;C14</formula>
    </cfRule>
  </conditionalFormatting>
  <conditionalFormatting sqref="T17">
    <cfRule type="expression" dxfId="99" priority="115" stopIfTrue="1">
      <formula>(T17+S17)&gt;C17</formula>
    </cfRule>
  </conditionalFormatting>
  <conditionalFormatting sqref="T18">
    <cfRule type="expression" dxfId="98" priority="114" stopIfTrue="1">
      <formula>(T18+S18)&gt;C18</formula>
    </cfRule>
  </conditionalFormatting>
  <conditionalFormatting sqref="T19">
    <cfRule type="expression" dxfId="97" priority="113" stopIfTrue="1">
      <formula>(T19+S19)&gt;C19</formula>
    </cfRule>
  </conditionalFormatting>
  <conditionalFormatting sqref="T20">
    <cfRule type="expression" dxfId="96" priority="112" stopIfTrue="1">
      <formula>(T20+S20)&gt;C20</formula>
    </cfRule>
  </conditionalFormatting>
  <conditionalFormatting sqref="T21">
    <cfRule type="expression" dxfId="95" priority="111" stopIfTrue="1">
      <formula>(T21+S21)&gt;C21</formula>
    </cfRule>
  </conditionalFormatting>
  <conditionalFormatting sqref="T22">
    <cfRule type="expression" dxfId="94" priority="110" stopIfTrue="1">
      <formula>(T22+S22)&gt;C22</formula>
    </cfRule>
  </conditionalFormatting>
  <conditionalFormatting sqref="T23:T24">
    <cfRule type="expression" dxfId="93" priority="109" stopIfTrue="1">
      <formula>(T23+S23)&gt;C23</formula>
    </cfRule>
  </conditionalFormatting>
  <conditionalFormatting sqref="T25">
    <cfRule type="expression" dxfId="92" priority="108" stopIfTrue="1">
      <formula>(T25+S25)&gt;C25</formula>
    </cfRule>
  </conditionalFormatting>
  <conditionalFormatting sqref="S13">
    <cfRule type="expression" dxfId="91" priority="107" stopIfTrue="1">
      <formula>(S13+T13)&gt;C13</formula>
    </cfRule>
  </conditionalFormatting>
  <conditionalFormatting sqref="S14">
    <cfRule type="expression" dxfId="90" priority="106" stopIfTrue="1">
      <formula>(S14+T14)&gt;C14</formula>
    </cfRule>
  </conditionalFormatting>
  <conditionalFormatting sqref="S17">
    <cfRule type="expression" dxfId="89" priority="105" stopIfTrue="1">
      <formula>(S17+T17)&gt;C17</formula>
    </cfRule>
  </conditionalFormatting>
  <conditionalFormatting sqref="S18">
    <cfRule type="expression" dxfId="88" priority="104" stopIfTrue="1">
      <formula>(S18+T18)&gt;C18</formula>
    </cfRule>
  </conditionalFormatting>
  <conditionalFormatting sqref="S19">
    <cfRule type="expression" dxfId="87" priority="103" stopIfTrue="1">
      <formula>(S19+T19)&gt;C19</formula>
    </cfRule>
  </conditionalFormatting>
  <conditionalFormatting sqref="S20">
    <cfRule type="expression" dxfId="86" priority="102" stopIfTrue="1">
      <formula>(S20+T20)&gt;C20</formula>
    </cfRule>
  </conditionalFormatting>
  <conditionalFormatting sqref="S21">
    <cfRule type="expression" dxfId="85" priority="101" stopIfTrue="1">
      <formula>(S21+T21)&gt;C21</formula>
    </cfRule>
  </conditionalFormatting>
  <conditionalFormatting sqref="S22">
    <cfRule type="expression" dxfId="84" priority="100" stopIfTrue="1">
      <formula>(S22+T22)&gt;C22</formula>
    </cfRule>
  </conditionalFormatting>
  <conditionalFormatting sqref="S25">
    <cfRule type="expression" dxfId="83" priority="98" stopIfTrue="1">
      <formula>(S25+T25)&gt;C25</formula>
    </cfRule>
  </conditionalFormatting>
  <conditionalFormatting sqref="S27">
    <cfRule type="expression" dxfId="82" priority="97" stopIfTrue="1">
      <formula>(S27+T27)&gt;C27</formula>
    </cfRule>
  </conditionalFormatting>
  <conditionalFormatting sqref="T27">
    <cfRule type="expression" dxfId="81" priority="96" stopIfTrue="1">
      <formula>(T27+S27)&gt;C27</formula>
    </cfRule>
  </conditionalFormatting>
  <conditionalFormatting sqref="T29">
    <cfRule type="expression" dxfId="80" priority="87" stopIfTrue="1">
      <formula>(T29+S29)&gt;C29</formula>
    </cfRule>
  </conditionalFormatting>
  <conditionalFormatting sqref="T30">
    <cfRule type="expression" dxfId="79" priority="86" stopIfTrue="1">
      <formula>(T30+S30)&gt;C30</formula>
    </cfRule>
  </conditionalFormatting>
  <conditionalFormatting sqref="T31">
    <cfRule type="expression" dxfId="78" priority="85" stopIfTrue="1">
      <formula>(T31+S31)&gt;C31</formula>
    </cfRule>
  </conditionalFormatting>
  <conditionalFormatting sqref="T32">
    <cfRule type="expression" dxfId="77" priority="84" stopIfTrue="1">
      <formula>(T32+S32)&gt;C32</formula>
    </cfRule>
  </conditionalFormatting>
  <conditionalFormatting sqref="T33">
    <cfRule type="expression" dxfId="76" priority="83" stopIfTrue="1">
      <formula>(T33+S33)&gt;C33</formula>
    </cfRule>
  </conditionalFormatting>
  <conditionalFormatting sqref="T34">
    <cfRule type="expression" dxfId="75" priority="82" stopIfTrue="1">
      <formula>(T34+S34)&gt;C34</formula>
    </cfRule>
  </conditionalFormatting>
  <conditionalFormatting sqref="T35:T36">
    <cfRule type="expression" dxfId="74" priority="81" stopIfTrue="1">
      <formula>(T35+S35)&gt;C35</formula>
    </cfRule>
  </conditionalFormatting>
  <conditionalFormatting sqref="T37">
    <cfRule type="expression" dxfId="73" priority="80" stopIfTrue="1">
      <formula>(T37+S37)&gt;C37</formula>
    </cfRule>
  </conditionalFormatting>
  <conditionalFormatting sqref="T40">
    <cfRule type="expression" dxfId="72" priority="79" stopIfTrue="1">
      <formula>(T40+S40)&gt;C40</formula>
    </cfRule>
  </conditionalFormatting>
  <conditionalFormatting sqref="T41">
    <cfRule type="expression" dxfId="71" priority="78" stopIfTrue="1">
      <formula>(T41+S41)&gt;C41</formula>
    </cfRule>
  </conditionalFormatting>
  <conditionalFormatting sqref="S40">
    <cfRule type="expression" dxfId="70" priority="77" stopIfTrue="1">
      <formula>(S40+T40)&gt;C40</formula>
    </cfRule>
  </conditionalFormatting>
  <conditionalFormatting sqref="S41">
    <cfRule type="expression" dxfId="69" priority="76" stopIfTrue="1">
      <formula>(S41+T41)&gt;C41</formula>
    </cfRule>
  </conditionalFormatting>
  <conditionalFormatting sqref="T43">
    <cfRule type="expression" dxfId="68" priority="74" stopIfTrue="1">
      <formula>(T43+S43)&gt;C43</formula>
    </cfRule>
  </conditionalFormatting>
  <conditionalFormatting sqref="S45">
    <cfRule type="expression" dxfId="67" priority="73" stopIfTrue="1">
      <formula>(S45+T45)&gt;C45</formula>
    </cfRule>
  </conditionalFormatting>
  <conditionalFormatting sqref="S46">
    <cfRule type="expression" dxfId="66" priority="72" stopIfTrue="1">
      <formula>(S46+T46)&gt;C46</formula>
    </cfRule>
  </conditionalFormatting>
  <conditionalFormatting sqref="S47">
    <cfRule type="expression" dxfId="65" priority="71" stopIfTrue="1">
      <formula>(S47+T47)&gt;C47</formula>
    </cfRule>
  </conditionalFormatting>
  <conditionalFormatting sqref="S48">
    <cfRule type="expression" dxfId="64" priority="70" stopIfTrue="1">
      <formula>(S48+T48)&gt;C48</formula>
    </cfRule>
  </conditionalFormatting>
  <conditionalFormatting sqref="S49">
    <cfRule type="expression" dxfId="63" priority="69" stopIfTrue="1">
      <formula>(S49+T49)&gt;C49</formula>
    </cfRule>
  </conditionalFormatting>
  <conditionalFormatting sqref="S50">
    <cfRule type="expression" dxfId="62" priority="68" stopIfTrue="1">
      <formula>(S50+T50)&gt;C50</formula>
    </cfRule>
  </conditionalFormatting>
  <conditionalFormatting sqref="S51">
    <cfRule type="expression" dxfId="61" priority="67" stopIfTrue="1">
      <formula>(S51+T51)&gt;C51</formula>
    </cfRule>
  </conditionalFormatting>
  <conditionalFormatting sqref="S52">
    <cfRule type="expression" dxfId="60" priority="65" stopIfTrue="1">
      <formula>(S52+T52)&gt;C52</formula>
    </cfRule>
  </conditionalFormatting>
  <conditionalFormatting sqref="T45">
    <cfRule type="expression" dxfId="59" priority="64" stopIfTrue="1">
      <formula>(T45+S45)&gt;C45</formula>
    </cfRule>
  </conditionalFormatting>
  <conditionalFormatting sqref="T46">
    <cfRule type="expression" dxfId="58" priority="63" stopIfTrue="1">
      <formula>(T46+S46)&gt;C46</formula>
    </cfRule>
  </conditionalFormatting>
  <conditionalFormatting sqref="T47">
    <cfRule type="expression" dxfId="57" priority="62" stopIfTrue="1">
      <formula>(T47+S47)&gt;C47</formula>
    </cfRule>
  </conditionalFormatting>
  <conditionalFormatting sqref="T48">
    <cfRule type="expression" dxfId="56" priority="61" stopIfTrue="1">
      <formula>(T48+S48)&gt;C48</formula>
    </cfRule>
  </conditionalFormatting>
  <conditionalFormatting sqref="T49">
    <cfRule type="expression" dxfId="55" priority="60" stopIfTrue="1">
      <formula>(T49+S49)&gt;C49</formula>
    </cfRule>
  </conditionalFormatting>
  <conditionalFormatting sqref="T50">
    <cfRule type="expression" dxfId="54" priority="59" stopIfTrue="1">
      <formula>(T50+S50)&gt;C50</formula>
    </cfRule>
  </conditionalFormatting>
  <conditionalFormatting sqref="T51">
    <cfRule type="expression" dxfId="53" priority="58" stopIfTrue="1">
      <formula>(T51+S51)&gt;C51</formula>
    </cfRule>
  </conditionalFormatting>
  <conditionalFormatting sqref="T52">
    <cfRule type="expression" dxfId="52" priority="56" stopIfTrue="1">
      <formula>(T52+S52)&gt;C52</formula>
    </cfRule>
  </conditionalFormatting>
  <conditionalFormatting sqref="T64:T67">
    <cfRule type="expression" dxfId="51" priority="55" stopIfTrue="1">
      <formula>(T64+S64)&gt;C64</formula>
    </cfRule>
  </conditionalFormatting>
  <conditionalFormatting sqref="T68">
    <cfRule type="expression" dxfId="50" priority="54" stopIfTrue="1">
      <formula>(T68+S68)&gt;C68</formula>
    </cfRule>
  </conditionalFormatting>
  <conditionalFormatting sqref="S64:S67">
    <cfRule type="expression" dxfId="49" priority="53" stopIfTrue="1">
      <formula>(S64+T64)&gt;C64</formula>
    </cfRule>
  </conditionalFormatting>
  <conditionalFormatting sqref="S68">
    <cfRule type="expression" dxfId="48" priority="52" stopIfTrue="1">
      <formula>(S68+T68)&gt;C68</formula>
    </cfRule>
  </conditionalFormatting>
  <conditionalFormatting sqref="T78">
    <cfRule type="expression" dxfId="47" priority="51" stopIfTrue="1">
      <formula>(T78+S78)&gt;C78</formula>
    </cfRule>
  </conditionalFormatting>
  <conditionalFormatting sqref="T79">
    <cfRule type="expression" dxfId="46" priority="50" stopIfTrue="1">
      <formula>(T79+S79)&gt;C79</formula>
    </cfRule>
  </conditionalFormatting>
  <conditionalFormatting sqref="S78:S79">
    <cfRule type="expression" dxfId="45" priority="49" stopIfTrue="1">
      <formula>(S78+T78)&gt;C78</formula>
    </cfRule>
  </conditionalFormatting>
  <conditionalFormatting sqref="S83:S84">
    <cfRule type="expression" dxfId="44" priority="47" stopIfTrue="1">
      <formula>(S83+T83)&gt;C83</formula>
    </cfRule>
  </conditionalFormatting>
  <conditionalFormatting sqref="S85">
    <cfRule type="expression" dxfId="43" priority="45" stopIfTrue="1">
      <formula>(S85+T85)&gt;C85</formula>
    </cfRule>
  </conditionalFormatting>
  <conditionalFormatting sqref="S86">
    <cfRule type="expression" dxfId="42" priority="44" stopIfTrue="1">
      <formula>(S86+T86)&gt;C86</formula>
    </cfRule>
  </conditionalFormatting>
  <conditionalFormatting sqref="T83">
    <cfRule type="expression" dxfId="41" priority="43" stopIfTrue="1">
      <formula>(T83+S83)&gt;C83</formula>
    </cfRule>
  </conditionalFormatting>
  <conditionalFormatting sqref="T84">
    <cfRule type="expression" dxfId="40" priority="42" stopIfTrue="1">
      <formula>(T84+S84)&gt;C84</formula>
    </cfRule>
  </conditionalFormatting>
  <conditionalFormatting sqref="T85">
    <cfRule type="expression" dxfId="39" priority="41" stopIfTrue="1">
      <formula>(T85+S85)&gt;C85</formula>
    </cfRule>
  </conditionalFormatting>
  <conditionalFormatting sqref="T86">
    <cfRule type="expression" dxfId="38" priority="40" stopIfTrue="1">
      <formula>(T86+S86)&gt;C86</formula>
    </cfRule>
  </conditionalFormatting>
  <conditionalFormatting sqref="S89">
    <cfRule type="expression" dxfId="37" priority="38" stopIfTrue="1">
      <formula>(S89+T89)&gt;C89</formula>
    </cfRule>
  </conditionalFormatting>
  <conditionalFormatting sqref="S90">
    <cfRule type="expression" dxfId="36" priority="37" stopIfTrue="1">
      <formula>(S90+T90)&gt;C90</formula>
    </cfRule>
  </conditionalFormatting>
  <conditionalFormatting sqref="S92">
    <cfRule type="expression" dxfId="35" priority="35" stopIfTrue="1">
      <formula>(S92+T92)&gt;C92</formula>
    </cfRule>
  </conditionalFormatting>
  <conditionalFormatting sqref="T88">
    <cfRule type="expression" dxfId="34" priority="30" stopIfTrue="1">
      <formula>(T88+S88)&gt;C88</formula>
    </cfRule>
  </conditionalFormatting>
  <conditionalFormatting sqref="T89">
    <cfRule type="expression" dxfId="33" priority="29" stopIfTrue="1">
      <formula>(T89+S89)&gt;C89</formula>
    </cfRule>
  </conditionalFormatting>
  <conditionalFormatting sqref="T90">
    <cfRule type="expression" dxfId="32" priority="28" stopIfTrue="1">
      <formula>(T90+S90)&gt;C90</formula>
    </cfRule>
  </conditionalFormatting>
  <conditionalFormatting sqref="T91">
    <cfRule type="expression" dxfId="31" priority="27" stopIfTrue="1">
      <formula>(T91+S91)&gt;C91</formula>
    </cfRule>
  </conditionalFormatting>
  <conditionalFormatting sqref="T92">
    <cfRule type="expression" dxfId="30" priority="26" stopIfTrue="1">
      <formula>(T92+S92)&gt;C92</formula>
    </cfRule>
  </conditionalFormatting>
  <conditionalFormatting sqref="T93">
    <cfRule type="expression" dxfId="29" priority="25" stopIfTrue="1">
      <formula>(T93+S93)&gt;C93</formula>
    </cfRule>
  </conditionalFormatting>
  <conditionalFormatting sqref="T94">
    <cfRule type="expression" dxfId="28" priority="22" stopIfTrue="1">
      <formula>(T94+S94)&gt;C94</formula>
    </cfRule>
  </conditionalFormatting>
  <conditionalFormatting sqref="S98">
    <cfRule type="expression" dxfId="27" priority="17" stopIfTrue="1">
      <formula>(S98+T98)&gt;C98</formula>
    </cfRule>
  </conditionalFormatting>
  <conditionalFormatting sqref="S99">
    <cfRule type="expression" dxfId="26" priority="16" stopIfTrue="1">
      <formula>(S99+T99)&gt;C99</formula>
    </cfRule>
  </conditionalFormatting>
  <conditionalFormatting sqref="S100">
    <cfRule type="expression" dxfId="25" priority="14" stopIfTrue="1">
      <formula>(S100+T100)&gt;C100</formula>
    </cfRule>
  </conditionalFormatting>
  <conditionalFormatting sqref="S101">
    <cfRule type="expression" dxfId="24" priority="13" stopIfTrue="1">
      <formula>(S101+T101)&gt;C101</formula>
    </cfRule>
  </conditionalFormatting>
  <conditionalFormatting sqref="S102">
    <cfRule type="expression" dxfId="23" priority="12" stopIfTrue="1">
      <formula>(S102+T102)&gt;C102</formula>
    </cfRule>
  </conditionalFormatting>
  <conditionalFormatting sqref="T98">
    <cfRule type="expression" dxfId="22" priority="11" stopIfTrue="1">
      <formula>(T98+S98)&gt;C98</formula>
    </cfRule>
  </conditionalFormatting>
  <conditionalFormatting sqref="T99">
    <cfRule type="expression" dxfId="21" priority="10" stopIfTrue="1">
      <formula>(T99+S99)&gt;C99</formula>
    </cfRule>
  </conditionalFormatting>
  <conditionalFormatting sqref="T100">
    <cfRule type="expression" dxfId="20" priority="8" stopIfTrue="1">
      <formula>(T100+S100)&gt;C100</formula>
    </cfRule>
  </conditionalFormatting>
  <conditionalFormatting sqref="T101">
    <cfRule type="expression" dxfId="19" priority="7" stopIfTrue="1">
      <formula>(T101+S101)&gt;C101</formula>
    </cfRule>
  </conditionalFormatting>
  <conditionalFormatting sqref="T102">
    <cfRule type="expression" dxfId="18" priority="6" stopIfTrue="1">
      <formula>(T102+S102)&gt;C102</formula>
    </cfRule>
  </conditionalFormatting>
  <conditionalFormatting sqref="S88">
    <cfRule type="expression" dxfId="17" priority="5" stopIfTrue="1">
      <formula>(S88+T88)&gt;C88</formula>
    </cfRule>
  </conditionalFormatting>
  <conditionalFormatting sqref="S91">
    <cfRule type="expression" dxfId="16" priority="4" stopIfTrue="1">
      <formula>(S91+T91)&gt;C91</formula>
    </cfRule>
  </conditionalFormatting>
  <conditionalFormatting sqref="S93">
    <cfRule type="expression" dxfId="15" priority="3" stopIfTrue="1">
      <formula>(S93+T93)&gt;C93</formula>
    </cfRule>
  </conditionalFormatting>
  <conditionalFormatting sqref="S94">
    <cfRule type="expression" dxfId="14" priority="2" stopIfTrue="1">
      <formula>(S94+T94)&gt;C94</formula>
    </cfRule>
  </conditionalFormatting>
  <conditionalFormatting sqref="S43">
    <cfRule type="expression" dxfId="13" priority="1" stopIfTrue="1">
      <formula>(S43+T43)&gt;C43</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6640625" defaultRowHeight="12" zeroHeight="1"/>
  <cols>
    <col min="1" max="1" width="32.44140625" style="765" customWidth="1"/>
    <col min="2" max="3" width="12.109375" style="763" customWidth="1"/>
    <col min="4" max="6" width="12.6640625" style="763" customWidth="1"/>
    <col min="7" max="7" width="13.44140625" style="763" customWidth="1"/>
    <col min="8" max="9" width="12.109375" style="763" customWidth="1"/>
    <col min="10" max="10" width="12.109375" style="906" customWidth="1"/>
    <col min="11" max="11" width="7" style="913" customWidth="1"/>
    <col min="12" max="16384" width="8.6640625" style="763"/>
  </cols>
  <sheetData>
    <row r="1" spans="1:11" s="565" customFormat="1" ht="13.2">
      <c r="A1" s="2257" t="s">
        <v>2059</v>
      </c>
      <c r="B1" s="2258"/>
      <c r="C1" s="2258"/>
      <c r="D1" s="2258"/>
      <c r="E1" s="2258"/>
      <c r="F1" s="2258"/>
      <c r="G1" s="2258"/>
      <c r="H1" s="2258"/>
      <c r="I1" s="2258"/>
      <c r="J1" s="2259"/>
      <c r="K1" s="910"/>
    </row>
    <row r="2" spans="1:11" s="929" customFormat="1" ht="72">
      <c r="A2" s="927"/>
      <c r="B2" s="362" t="s">
        <v>1507</v>
      </c>
      <c r="C2" s="362" t="s">
        <v>2060</v>
      </c>
      <c r="D2" s="432" t="s">
        <v>2061</v>
      </c>
      <c r="E2" s="362" t="s">
        <v>1511</v>
      </c>
      <c r="F2" s="362" t="s">
        <v>2062</v>
      </c>
      <c r="G2" s="362" t="s">
        <v>2063</v>
      </c>
      <c r="H2" s="362" t="s">
        <v>1510</v>
      </c>
      <c r="I2" s="362" t="s">
        <v>2064</v>
      </c>
      <c r="J2" s="1084" t="s">
        <v>2065</v>
      </c>
      <c r="K2" s="928"/>
    </row>
    <row r="3" spans="1:11" s="383" customFormat="1" ht="11.4">
      <c r="A3" s="365" t="s">
        <v>381</v>
      </c>
      <c r="B3" s="915"/>
      <c r="C3" s="915"/>
      <c r="D3" s="915"/>
      <c r="E3" s="915"/>
      <c r="F3" s="915"/>
      <c r="G3" s="915"/>
      <c r="H3" s="915"/>
      <c r="I3" s="915"/>
      <c r="J3" s="915"/>
      <c r="K3" s="911"/>
    </row>
    <row r="4" spans="1:11" s="383" customFormat="1" ht="13.2">
      <c r="A4" s="481" t="s">
        <v>74</v>
      </c>
      <c r="B4" s="916">
        <f>'Sources and Uses Budget'!C4</f>
        <v>5580000</v>
      </c>
      <c r="C4" s="917"/>
      <c r="D4" s="917"/>
      <c r="E4" s="918"/>
      <c r="F4" s="918"/>
      <c r="G4" s="918"/>
      <c r="H4" s="918"/>
      <c r="I4" s="918"/>
      <c r="J4" s="918"/>
      <c r="K4" s="911"/>
    </row>
    <row r="5" spans="1:11" s="383" customFormat="1" ht="13.2">
      <c r="A5" s="481" t="s">
        <v>75</v>
      </c>
      <c r="B5" s="916">
        <f>'Sources and Uses Budget'!C5</f>
        <v>401564</v>
      </c>
      <c r="C5" s="917"/>
      <c r="D5" s="917"/>
      <c r="E5" s="918"/>
      <c r="F5" s="918"/>
      <c r="G5" s="918"/>
      <c r="H5" s="918"/>
      <c r="I5" s="918"/>
      <c r="J5" s="918"/>
      <c r="K5" s="911"/>
    </row>
    <row r="6" spans="1:11" s="383" customFormat="1" ht="11.4">
      <c r="A6" s="369" t="s">
        <v>382</v>
      </c>
      <c r="B6" s="916">
        <f>'Sources and Uses Budget'!C6</f>
        <v>10000</v>
      </c>
      <c r="C6" s="917"/>
      <c r="D6" s="917"/>
      <c r="E6" s="918"/>
      <c r="F6" s="918"/>
      <c r="G6" s="918"/>
      <c r="H6" s="918"/>
      <c r="I6" s="918"/>
      <c r="J6" s="918"/>
      <c r="K6" s="911"/>
    </row>
    <row r="7" spans="1:11" s="383" customFormat="1" ht="11.4">
      <c r="A7" s="369" t="s">
        <v>310</v>
      </c>
      <c r="B7" s="916">
        <f>'Sources and Uses Budget'!C7</f>
        <v>0</v>
      </c>
      <c r="C7" s="917"/>
      <c r="D7" s="917"/>
      <c r="E7" s="918"/>
      <c r="F7" s="918"/>
      <c r="G7" s="918"/>
      <c r="H7" s="918"/>
      <c r="I7" s="918"/>
      <c r="J7" s="918"/>
      <c r="K7" s="911"/>
    </row>
    <row r="8" spans="1:11" s="383" customFormat="1" ht="13.8">
      <c r="A8" s="482" t="s">
        <v>770</v>
      </c>
      <c r="B8" s="916">
        <f>'Sources and Uses Budget'!C8</f>
        <v>5991564</v>
      </c>
      <c r="C8" s="916">
        <f>SUM(C4:C7)</f>
        <v>0</v>
      </c>
      <c r="D8" s="916">
        <f>SUM(D4:D7)</f>
        <v>0</v>
      </c>
      <c r="E8" s="918"/>
      <c r="F8" s="918"/>
      <c r="G8" s="918"/>
      <c r="H8" s="918"/>
      <c r="I8" s="918"/>
      <c r="J8" s="918"/>
      <c r="K8" s="911"/>
    </row>
    <row r="9" spans="1:11" s="383" customFormat="1" ht="11.4">
      <c r="A9" s="369" t="s">
        <v>1938</v>
      </c>
      <c r="B9" s="916">
        <f>'Sources and Uses Budget'!C9</f>
        <v>0</v>
      </c>
      <c r="C9" s="917"/>
      <c r="D9" s="917"/>
      <c r="E9" s="918"/>
      <c r="F9" s="918"/>
      <c r="G9" s="918"/>
      <c r="H9" s="916">
        <f>'Sources and Uses Budget'!T9</f>
        <v>0</v>
      </c>
      <c r="I9" s="917"/>
      <c r="J9" s="917"/>
      <c r="K9" s="911"/>
    </row>
    <row r="10" spans="1:11" s="383" customFormat="1" ht="13.2">
      <c r="A10" s="481" t="s">
        <v>76</v>
      </c>
      <c r="B10" s="916">
        <f>'Sources and Uses Budget'!C10</f>
        <v>285000</v>
      </c>
      <c r="C10" s="917"/>
      <c r="D10" s="917"/>
      <c r="E10" s="916">
        <f>'Sources and Uses Budget'!S10</f>
        <v>285000</v>
      </c>
      <c r="F10" s="917"/>
      <c r="G10" s="917"/>
      <c r="H10" s="916">
        <f>'Sources and Uses Budget'!T10</f>
        <v>0</v>
      </c>
      <c r="I10" s="917"/>
      <c r="J10" s="917"/>
      <c r="K10" s="911"/>
    </row>
    <row r="11" spans="1:11" s="383" customFormat="1">
      <c r="A11" s="373" t="s">
        <v>646</v>
      </c>
      <c r="B11" s="916">
        <f>'Sources and Uses Budget'!C11</f>
        <v>285000</v>
      </c>
      <c r="C11" s="916">
        <f>SUM(C9:C10)</f>
        <v>0</v>
      </c>
      <c r="D11" s="916">
        <f>SUM(D9:D10)</f>
        <v>0</v>
      </c>
      <c r="E11" s="918"/>
      <c r="F11" s="918"/>
      <c r="G11" s="918"/>
      <c r="H11" s="916">
        <f>'Sources and Uses Budget'!T11</f>
        <v>0</v>
      </c>
      <c r="I11" s="916">
        <f>SUM(I9:I10)</f>
        <v>0</v>
      </c>
      <c r="J11" s="916">
        <f>SUM(J9:J10)</f>
        <v>0</v>
      </c>
      <c r="K11" s="911"/>
    </row>
    <row r="12" spans="1:11" s="383" customFormat="1">
      <c r="A12" s="373" t="s">
        <v>778</v>
      </c>
      <c r="B12" s="916">
        <f>'Sources and Uses Budget'!C12</f>
        <v>6276564</v>
      </c>
      <c r="C12" s="916">
        <f>SUM(C8+C11)</f>
        <v>0</v>
      </c>
      <c r="D12" s="916">
        <f>SUM(D8+D11)</f>
        <v>0</v>
      </c>
      <c r="E12" s="918"/>
      <c r="F12" s="918"/>
      <c r="G12" s="918"/>
      <c r="H12" s="918"/>
      <c r="I12" s="918"/>
      <c r="J12" s="918"/>
      <c r="K12" s="911"/>
    </row>
    <row r="13" spans="1:11" s="383" customFormat="1" ht="11.4">
      <c r="A13" s="719" t="s">
        <v>1229</v>
      </c>
      <c r="B13" s="916">
        <f>'Sources and Uses Budget'!C13</f>
        <v>140000</v>
      </c>
      <c r="C13" s="917"/>
      <c r="D13" s="917"/>
      <c r="E13" s="916">
        <f>'Sources and Uses Budget'!S13</f>
        <v>140000</v>
      </c>
      <c r="F13" s="917"/>
      <c r="G13" s="917"/>
      <c r="H13" s="916">
        <f>'Sources and Uses Budget'!T13</f>
        <v>0</v>
      </c>
      <c r="I13" s="917"/>
      <c r="J13" s="917"/>
      <c r="K13" s="911"/>
    </row>
    <row r="14" spans="1:11" s="383" customFormat="1" ht="22.8">
      <c r="A14" s="720" t="s">
        <v>1264</v>
      </c>
      <c r="B14" s="916">
        <f>'Sources and Uses Budget'!C14</f>
        <v>0</v>
      </c>
      <c r="C14" s="917"/>
      <c r="D14" s="917"/>
      <c r="E14" s="916">
        <f>'Sources and Uses Budget'!S14</f>
        <v>0</v>
      </c>
      <c r="F14" s="917"/>
      <c r="G14" s="917"/>
      <c r="H14" s="916">
        <f>'Sources and Uses Budget'!T14</f>
        <v>0</v>
      </c>
      <c r="I14" s="917"/>
      <c r="J14" s="917"/>
      <c r="K14" s="911"/>
    </row>
    <row r="15" spans="1:11" s="383" customFormat="1" ht="11.4">
      <c r="A15" s="720" t="s">
        <v>1894</v>
      </c>
      <c r="B15" s="916">
        <f>'Sources and Uses Budget'!C15</f>
        <v>0</v>
      </c>
      <c r="C15" s="917"/>
      <c r="D15" s="917"/>
      <c r="E15" s="918">
        <f>'Sources and Uses Budget'!S15</f>
        <v>0</v>
      </c>
      <c r="F15" s="918"/>
      <c r="G15" s="918"/>
      <c r="H15" s="918">
        <f>'Sources and Uses Budget'!T15</f>
        <v>0</v>
      </c>
      <c r="I15" s="918"/>
      <c r="J15" s="918"/>
      <c r="K15" s="911"/>
    </row>
    <row r="16" spans="1:11" s="383" customFormat="1" ht="11.4">
      <c r="A16" s="365" t="s">
        <v>1013</v>
      </c>
      <c r="B16" s="915"/>
      <c r="C16" s="915"/>
      <c r="D16" s="915"/>
      <c r="E16" s="915"/>
      <c r="F16" s="915"/>
      <c r="G16" s="915"/>
      <c r="H16" s="915"/>
      <c r="I16" s="915"/>
      <c r="J16" s="915"/>
      <c r="K16" s="911"/>
    </row>
    <row r="17" spans="1:11" s="383" customFormat="1" ht="11.4">
      <c r="A17" s="369" t="s">
        <v>1014</v>
      </c>
      <c r="B17" s="916">
        <f>'Sources and Uses Budget'!C17</f>
        <v>0</v>
      </c>
      <c r="C17" s="917"/>
      <c r="D17" s="917"/>
      <c r="E17" s="916">
        <f>'Sources and Uses Budget'!S17</f>
        <v>0</v>
      </c>
      <c r="F17" s="917"/>
      <c r="G17" s="917"/>
      <c r="H17" s="916">
        <f>'Sources and Uses Budget'!T17</f>
        <v>0</v>
      </c>
      <c r="I17" s="917"/>
      <c r="J17" s="917"/>
      <c r="K17" s="911"/>
    </row>
    <row r="18" spans="1:11" s="383" customFormat="1" ht="11.4">
      <c r="A18" s="369" t="s">
        <v>1015</v>
      </c>
      <c r="B18" s="916">
        <f>'Sources and Uses Budget'!C18</f>
        <v>0</v>
      </c>
      <c r="C18" s="917"/>
      <c r="D18" s="917"/>
      <c r="E18" s="916">
        <f>'Sources and Uses Budget'!S18</f>
        <v>0</v>
      </c>
      <c r="F18" s="917"/>
      <c r="G18" s="917"/>
      <c r="H18" s="916">
        <f>'Sources and Uses Budget'!T18</f>
        <v>0</v>
      </c>
      <c r="I18" s="917"/>
      <c r="J18" s="917"/>
      <c r="K18" s="911"/>
    </row>
    <row r="19" spans="1:11" s="383" customFormat="1" ht="11.4">
      <c r="A19" s="369" t="s">
        <v>1016</v>
      </c>
      <c r="B19" s="916">
        <f>'Sources and Uses Budget'!C19</f>
        <v>0</v>
      </c>
      <c r="C19" s="917"/>
      <c r="D19" s="917"/>
      <c r="E19" s="916">
        <f>'Sources and Uses Budget'!S19</f>
        <v>0</v>
      </c>
      <c r="F19" s="917"/>
      <c r="G19" s="917"/>
      <c r="H19" s="916">
        <f>'Sources and Uses Budget'!T19</f>
        <v>0</v>
      </c>
      <c r="I19" s="917"/>
      <c r="J19" s="917"/>
      <c r="K19" s="911"/>
    </row>
    <row r="20" spans="1:11" s="383" customFormat="1" ht="11.4">
      <c r="A20" s="369" t="s">
        <v>1017</v>
      </c>
      <c r="B20" s="916">
        <f>'Sources and Uses Budget'!C20</f>
        <v>0</v>
      </c>
      <c r="C20" s="917"/>
      <c r="D20" s="917"/>
      <c r="E20" s="916">
        <f>'Sources and Uses Budget'!S20</f>
        <v>0</v>
      </c>
      <c r="F20" s="917"/>
      <c r="G20" s="917"/>
      <c r="H20" s="916">
        <f>'Sources and Uses Budget'!T20</f>
        <v>0</v>
      </c>
      <c r="I20" s="917"/>
      <c r="J20" s="917"/>
      <c r="K20" s="911"/>
    </row>
    <row r="21" spans="1:11" s="383" customFormat="1" ht="11.4">
      <c r="A21" s="369" t="s">
        <v>1018</v>
      </c>
      <c r="B21" s="916">
        <f>'Sources and Uses Budget'!C21</f>
        <v>0</v>
      </c>
      <c r="C21" s="917"/>
      <c r="D21" s="917"/>
      <c r="E21" s="916">
        <f>'Sources and Uses Budget'!S21</f>
        <v>0</v>
      </c>
      <c r="F21" s="917"/>
      <c r="G21" s="917"/>
      <c r="H21" s="916">
        <f>'Sources and Uses Budget'!T21</f>
        <v>0</v>
      </c>
      <c r="I21" s="917"/>
      <c r="J21" s="917"/>
      <c r="K21" s="911"/>
    </row>
    <row r="22" spans="1:11" s="383" customFormat="1" ht="11.4">
      <c r="A22" s="369" t="s">
        <v>1019</v>
      </c>
      <c r="B22" s="916">
        <f>'Sources and Uses Budget'!C22</f>
        <v>0</v>
      </c>
      <c r="C22" s="917"/>
      <c r="D22" s="917"/>
      <c r="E22" s="916">
        <f>'Sources and Uses Budget'!S22</f>
        <v>0</v>
      </c>
      <c r="F22" s="917"/>
      <c r="G22" s="917"/>
      <c r="H22" s="916">
        <f>'Sources and Uses Budget'!T22</f>
        <v>0</v>
      </c>
      <c r="I22" s="917"/>
      <c r="J22" s="917"/>
      <c r="K22" s="911"/>
    </row>
    <row r="23" spans="1:11" s="383" customFormat="1" ht="11.4">
      <c r="A23" s="369" t="s">
        <v>1020</v>
      </c>
      <c r="B23" s="916">
        <f>'Sources and Uses Budget'!C23</f>
        <v>0</v>
      </c>
      <c r="C23" s="917"/>
      <c r="D23" s="917"/>
      <c r="E23" s="916">
        <f>'Sources and Uses Budget'!S23</f>
        <v>0</v>
      </c>
      <c r="F23" s="917"/>
      <c r="G23" s="917"/>
      <c r="H23" s="916">
        <f>'Sources and Uses Budget'!T23</f>
        <v>0</v>
      </c>
      <c r="I23" s="917"/>
      <c r="J23" s="917"/>
      <c r="K23" s="911"/>
    </row>
    <row r="24" spans="1:11" s="383" customFormat="1" ht="11.4">
      <c r="A24" s="720" t="str">
        <f>'Sources and Uses Budget'!$A25</f>
        <v>Other: (Specify)</v>
      </c>
      <c r="B24" s="916">
        <f>'Sources and Uses Budget'!C25</f>
        <v>0</v>
      </c>
      <c r="C24" s="917"/>
      <c r="D24" s="917"/>
      <c r="E24" s="916">
        <f>'Sources and Uses Budget'!S25</f>
        <v>0</v>
      </c>
      <c r="F24" s="917"/>
      <c r="G24" s="917"/>
      <c r="H24" s="916">
        <f>'Sources and Uses Budget'!T25</f>
        <v>0</v>
      </c>
      <c r="I24" s="917"/>
      <c r="J24" s="917"/>
      <c r="K24" s="911"/>
    </row>
    <row r="25" spans="1:11" s="383" customFormat="1">
      <c r="A25" s="373" t="s">
        <v>248</v>
      </c>
      <c r="B25" s="916">
        <f>'Sources and Uses Budget'!C26</f>
        <v>0</v>
      </c>
      <c r="C25" s="916">
        <f>SUM(C17:C24)</f>
        <v>0</v>
      </c>
      <c r="D25" s="916">
        <f>SUM(D17:D24)</f>
        <v>0</v>
      </c>
      <c r="E25" s="916">
        <f>'Sources and Uses Budget'!S26</f>
        <v>0</v>
      </c>
      <c r="F25" s="919">
        <f>SUM(F17:F24)</f>
        <v>0</v>
      </c>
      <c r="G25" s="919">
        <f>SUM(G17:G24)</f>
        <v>0</v>
      </c>
      <c r="H25" s="916">
        <f>'Sources and Uses Budget'!T26</f>
        <v>0</v>
      </c>
      <c r="I25" s="919">
        <f>SUM(I17:I24)</f>
        <v>0</v>
      </c>
      <c r="J25" s="919">
        <f>SUM(J17:J24)</f>
        <v>0</v>
      </c>
      <c r="K25" s="911"/>
    </row>
    <row r="26" spans="1:11" s="383" customFormat="1">
      <c r="A26" s="373" t="s">
        <v>1021</v>
      </c>
      <c r="B26" s="916">
        <f>'Sources and Uses Budget'!C27</f>
        <v>0</v>
      </c>
      <c r="C26" s="917"/>
      <c r="D26" s="917"/>
      <c r="E26" s="916">
        <f>'Sources and Uses Budget'!S27</f>
        <v>0</v>
      </c>
      <c r="F26" s="917"/>
      <c r="G26" s="917"/>
      <c r="H26" s="916">
        <f>'Sources and Uses Budget'!T27</f>
        <v>0</v>
      </c>
      <c r="I26" s="917"/>
      <c r="J26" s="917"/>
      <c r="K26" s="911"/>
    </row>
    <row r="27" spans="1:11" s="383" customFormat="1" ht="11.4">
      <c r="A27" s="365" t="s">
        <v>1022</v>
      </c>
      <c r="B27" s="915"/>
      <c r="C27" s="915"/>
      <c r="D27" s="915"/>
      <c r="E27" s="915"/>
      <c r="F27" s="915"/>
      <c r="G27" s="915"/>
      <c r="H27" s="915"/>
      <c r="I27" s="915"/>
      <c r="J27" s="915"/>
      <c r="K27" s="911"/>
    </row>
    <row r="28" spans="1:11" s="383" customFormat="1" ht="11.4">
      <c r="A28" s="369" t="s">
        <v>1014</v>
      </c>
      <c r="B28" s="916">
        <f>'Sources and Uses Budget'!C29</f>
        <v>2658753</v>
      </c>
      <c r="C28" s="917"/>
      <c r="D28" s="917"/>
      <c r="E28" s="916">
        <f>'Sources and Uses Budget'!S29</f>
        <v>2658753</v>
      </c>
      <c r="F28" s="917"/>
      <c r="G28" s="917"/>
      <c r="H28" s="916">
        <f>'Sources and Uses Budget'!T29</f>
        <v>0</v>
      </c>
      <c r="I28" s="917"/>
      <c r="J28" s="917"/>
      <c r="K28" s="911"/>
    </row>
    <row r="29" spans="1:11" s="383" customFormat="1" ht="11.4">
      <c r="A29" s="369" t="s">
        <v>1015</v>
      </c>
      <c r="B29" s="916">
        <f>'Sources and Uses Budget'!C30</f>
        <v>20318318</v>
      </c>
      <c r="C29" s="917"/>
      <c r="D29" s="917"/>
      <c r="E29" s="916">
        <f>'Sources and Uses Budget'!S30</f>
        <v>20318318</v>
      </c>
      <c r="F29" s="917"/>
      <c r="G29" s="917"/>
      <c r="H29" s="916">
        <f>'Sources and Uses Budget'!T30</f>
        <v>0</v>
      </c>
      <c r="I29" s="917"/>
      <c r="J29" s="917"/>
      <c r="K29" s="911"/>
    </row>
    <row r="30" spans="1:11" s="383" customFormat="1" ht="11.4">
      <c r="A30" s="369" t="s">
        <v>1016</v>
      </c>
      <c r="B30" s="916">
        <f>'Sources and Uses Budget'!C31</f>
        <v>1268276</v>
      </c>
      <c r="C30" s="917"/>
      <c r="D30" s="917"/>
      <c r="E30" s="916">
        <f>'Sources and Uses Budget'!S31</f>
        <v>1268276</v>
      </c>
      <c r="F30" s="917"/>
      <c r="G30" s="917"/>
      <c r="H30" s="916">
        <f>'Sources and Uses Budget'!T31</f>
        <v>0</v>
      </c>
      <c r="I30" s="917"/>
      <c r="J30" s="917"/>
      <c r="K30" s="911"/>
    </row>
    <row r="31" spans="1:11" s="383" customFormat="1" ht="11.4">
      <c r="A31" s="369" t="s">
        <v>1017</v>
      </c>
      <c r="B31" s="916">
        <f>'Sources and Uses Budget'!C32</f>
        <v>900179</v>
      </c>
      <c r="C31" s="917"/>
      <c r="D31" s="917"/>
      <c r="E31" s="916">
        <f>'Sources and Uses Budget'!S32</f>
        <v>900179</v>
      </c>
      <c r="F31" s="917"/>
      <c r="G31" s="917"/>
      <c r="H31" s="916">
        <f>'Sources and Uses Budget'!T32</f>
        <v>0</v>
      </c>
      <c r="I31" s="917"/>
      <c r="J31" s="917"/>
      <c r="K31" s="911"/>
    </row>
    <row r="32" spans="1:11" s="383" customFormat="1" ht="11.4">
      <c r="A32" s="369" t="s">
        <v>1018</v>
      </c>
      <c r="B32" s="916">
        <f>'Sources and Uses Budget'!C33</f>
        <v>900179</v>
      </c>
      <c r="C32" s="917"/>
      <c r="D32" s="917"/>
      <c r="E32" s="916">
        <f>'Sources and Uses Budget'!S33</f>
        <v>900179</v>
      </c>
      <c r="F32" s="917"/>
      <c r="G32" s="917"/>
      <c r="H32" s="916">
        <f>'Sources and Uses Budget'!T33</f>
        <v>0</v>
      </c>
      <c r="I32" s="917"/>
      <c r="J32" s="917"/>
      <c r="K32" s="911"/>
    </row>
    <row r="33" spans="1:11" s="383" customFormat="1" ht="11.4">
      <c r="A33" s="369" t="s">
        <v>1019</v>
      </c>
      <c r="B33" s="916">
        <f>'Sources and Uses Budget'!C34</f>
        <v>0</v>
      </c>
      <c r="C33" s="917"/>
      <c r="D33" s="917"/>
      <c r="E33" s="916">
        <f>'Sources and Uses Budget'!S34</f>
        <v>0</v>
      </c>
      <c r="F33" s="917"/>
      <c r="G33" s="917"/>
      <c r="H33" s="916">
        <f>'Sources and Uses Budget'!T34</f>
        <v>0</v>
      </c>
      <c r="I33" s="917"/>
      <c r="J33" s="917"/>
      <c r="K33" s="911"/>
    </row>
    <row r="34" spans="1:11" s="383" customFormat="1" ht="11.4">
      <c r="A34" s="369" t="s">
        <v>1020</v>
      </c>
      <c r="B34" s="916">
        <f>'Sources and Uses Budget'!C35</f>
        <v>186990</v>
      </c>
      <c r="C34" s="917"/>
      <c r="D34" s="917"/>
      <c r="E34" s="916">
        <f>'Sources and Uses Budget'!S35</f>
        <v>186990</v>
      </c>
      <c r="F34" s="917"/>
      <c r="G34" s="917"/>
      <c r="H34" s="916">
        <f>'Sources and Uses Budget'!T35</f>
        <v>0</v>
      </c>
      <c r="I34" s="917"/>
      <c r="J34" s="917"/>
      <c r="K34" s="911"/>
    </row>
    <row r="35" spans="1:11" s="1504" customFormat="1" ht="11.4">
      <c r="A35" s="720" t="str">
        <f>'Sources and Uses Budget'!$A36</f>
        <v>Third-party Construction Management</v>
      </c>
      <c r="B35" s="916">
        <f>'Sources and Uses Budget'!C36</f>
        <v>0</v>
      </c>
      <c r="C35" s="917"/>
      <c r="D35" s="917"/>
      <c r="E35" s="916">
        <f>'Sources and Uses Budget'!S36</f>
        <v>0</v>
      </c>
      <c r="F35" s="917"/>
      <c r="G35" s="917"/>
      <c r="H35" s="916">
        <f>'Sources and Uses Budget'!T36</f>
        <v>0</v>
      </c>
      <c r="I35" s="917"/>
      <c r="J35" s="917"/>
      <c r="K35" s="911"/>
    </row>
    <row r="36" spans="1:11" s="383" customFormat="1" ht="11.4">
      <c r="A36" s="720" t="str">
        <f>'Sources and Uses Budget'!$A37</f>
        <v>OtherPayment &amp; Performance Bond</v>
      </c>
      <c r="B36" s="916">
        <f>'Sources and Uses Budget'!C37</f>
        <v>137852</v>
      </c>
      <c r="C36" s="917"/>
      <c r="D36" s="917"/>
      <c r="E36" s="916">
        <f>'Sources and Uses Budget'!S37</f>
        <v>137852</v>
      </c>
      <c r="F36" s="917"/>
      <c r="G36" s="917"/>
      <c r="H36" s="916">
        <f>'Sources and Uses Budget'!T37</f>
        <v>0</v>
      </c>
      <c r="I36" s="917"/>
      <c r="J36" s="917"/>
      <c r="K36" s="911"/>
    </row>
    <row r="37" spans="1:11" s="383" customFormat="1">
      <c r="A37" s="909" t="s">
        <v>1023</v>
      </c>
      <c r="B37" s="916">
        <f>'Sources and Uses Budget'!C38</f>
        <v>26370547</v>
      </c>
      <c r="C37" s="916">
        <f>SUM(C28:C36)</f>
        <v>0</v>
      </c>
      <c r="D37" s="916">
        <f>SUM(D28:D36)</f>
        <v>0</v>
      </c>
      <c r="E37" s="916">
        <f>'Sources and Uses Budget'!S38</f>
        <v>26370547</v>
      </c>
      <c r="F37" s="919">
        <f>SUM(F28:F36)</f>
        <v>0</v>
      </c>
      <c r="G37" s="919">
        <f>SUM(G28:G36)</f>
        <v>0</v>
      </c>
      <c r="H37" s="916">
        <f>'Sources and Uses Budget'!T38</f>
        <v>0</v>
      </c>
      <c r="I37" s="919">
        <f>SUM(I28:I36)</f>
        <v>0</v>
      </c>
      <c r="J37" s="919">
        <f>SUM(J28:J36)</f>
        <v>0</v>
      </c>
      <c r="K37" s="911"/>
    </row>
    <row r="38" spans="1:11" s="383" customFormat="1" ht="11.4">
      <c r="A38" s="365" t="s">
        <v>1024</v>
      </c>
      <c r="B38" s="915"/>
      <c r="C38" s="915"/>
      <c r="D38" s="915"/>
      <c r="E38" s="915"/>
      <c r="F38" s="915"/>
      <c r="G38" s="915"/>
      <c r="H38" s="915"/>
      <c r="I38" s="915"/>
      <c r="J38" s="915"/>
      <c r="K38" s="911"/>
    </row>
    <row r="39" spans="1:11" s="383" customFormat="1" ht="11.4">
      <c r="A39" s="369" t="s">
        <v>1025</v>
      </c>
      <c r="B39" s="916">
        <f>'Sources and Uses Budget'!C40</f>
        <v>1688927</v>
      </c>
      <c r="C39" s="917"/>
      <c r="D39" s="917"/>
      <c r="E39" s="916">
        <f>'Sources and Uses Budget'!S40</f>
        <v>1688927</v>
      </c>
      <c r="F39" s="917"/>
      <c r="G39" s="917"/>
      <c r="H39" s="916">
        <f>'Sources and Uses Budget'!T40</f>
        <v>0</v>
      </c>
      <c r="I39" s="917"/>
      <c r="J39" s="917"/>
      <c r="K39" s="911"/>
    </row>
    <row r="40" spans="1:11" s="383" customFormat="1" ht="11.4">
      <c r="A40" s="369" t="s">
        <v>1026</v>
      </c>
      <c r="B40" s="916">
        <f>'Sources and Uses Budget'!C41</f>
        <v>0</v>
      </c>
      <c r="C40" s="917"/>
      <c r="D40" s="917"/>
      <c r="E40" s="916">
        <f>'Sources and Uses Budget'!S41</f>
        <v>0</v>
      </c>
      <c r="F40" s="917"/>
      <c r="G40" s="917"/>
      <c r="H40" s="916">
        <f>'Sources and Uses Budget'!T41</f>
        <v>0</v>
      </c>
      <c r="I40" s="917"/>
      <c r="J40" s="917"/>
      <c r="K40" s="911"/>
    </row>
    <row r="41" spans="1:11" s="383" customFormat="1">
      <c r="A41" s="373" t="s">
        <v>1027</v>
      </c>
      <c r="B41" s="916">
        <f>'Sources and Uses Budget'!C42</f>
        <v>1688927</v>
      </c>
      <c r="C41" s="916">
        <f>SUM(C38:C40)</f>
        <v>0</v>
      </c>
      <c r="D41" s="916">
        <f>SUM(D38:D40)</f>
        <v>0</v>
      </c>
      <c r="E41" s="916">
        <f>'Sources and Uses Budget'!S42</f>
        <v>1688927</v>
      </c>
      <c r="F41" s="919">
        <f>SUM(F39:F40)</f>
        <v>0</v>
      </c>
      <c r="G41" s="919">
        <f>SUM(G39:G40)</f>
        <v>0</v>
      </c>
      <c r="H41" s="916">
        <f>'Sources and Uses Budget'!T42</f>
        <v>0</v>
      </c>
      <c r="I41" s="919">
        <f>SUM(I39:I40)</f>
        <v>0</v>
      </c>
      <c r="J41" s="919">
        <f>SUM(J39:J40)</f>
        <v>0</v>
      </c>
      <c r="K41" s="911"/>
    </row>
    <row r="42" spans="1:11" s="383" customFormat="1">
      <c r="A42" s="373" t="s">
        <v>1028</v>
      </c>
      <c r="B42" s="916">
        <f>'Sources and Uses Budget'!C43</f>
        <v>600000</v>
      </c>
      <c r="C42" s="917"/>
      <c r="D42" s="917"/>
      <c r="E42" s="916">
        <f>'Sources and Uses Budget'!S43</f>
        <v>600000</v>
      </c>
      <c r="F42" s="917"/>
      <c r="G42" s="917"/>
      <c r="H42" s="916">
        <f>'Sources and Uses Budget'!T43</f>
        <v>0</v>
      </c>
      <c r="I42" s="917"/>
      <c r="J42" s="917"/>
      <c r="K42" s="911"/>
    </row>
    <row r="43" spans="1:11" s="383" customFormat="1" ht="11.4">
      <c r="A43" s="365" t="s">
        <v>1029</v>
      </c>
      <c r="B43" s="915"/>
      <c r="C43" s="915"/>
      <c r="D43" s="915"/>
      <c r="E43" s="915"/>
      <c r="F43" s="915"/>
      <c r="G43" s="915"/>
      <c r="H43" s="915"/>
      <c r="I43" s="915"/>
      <c r="J43" s="915"/>
      <c r="K43" s="911"/>
    </row>
    <row r="44" spans="1:11" s="383" customFormat="1" ht="11.4">
      <c r="A44" s="369" t="s">
        <v>1030</v>
      </c>
      <c r="B44" s="916">
        <f>'Sources and Uses Budget'!C45</f>
        <v>1237422</v>
      </c>
      <c r="C44" s="917"/>
      <c r="D44" s="917"/>
      <c r="E44" s="916">
        <f>'Sources and Uses Budget'!S45</f>
        <v>786083</v>
      </c>
      <c r="F44" s="917"/>
      <c r="G44" s="917"/>
      <c r="H44" s="916">
        <f>'Sources and Uses Budget'!T45</f>
        <v>0</v>
      </c>
      <c r="I44" s="917"/>
      <c r="J44" s="917"/>
      <c r="K44" s="911"/>
    </row>
    <row r="45" spans="1:11" s="383" customFormat="1" ht="11.4">
      <c r="A45" s="369" t="s">
        <v>1031</v>
      </c>
      <c r="B45" s="916">
        <f>'Sources and Uses Budget'!C46</f>
        <v>277747</v>
      </c>
      <c r="C45" s="917"/>
      <c r="D45" s="917"/>
      <c r="E45" s="916">
        <f>'Sources and Uses Budget'!S46</f>
        <v>176441</v>
      </c>
      <c r="F45" s="917"/>
      <c r="G45" s="917"/>
      <c r="H45" s="916">
        <f>'Sources and Uses Budget'!T46</f>
        <v>0</v>
      </c>
      <c r="I45" s="917"/>
      <c r="J45" s="917"/>
      <c r="K45" s="911"/>
    </row>
    <row r="46" spans="1:11" s="383" customFormat="1" ht="12" customHeight="1">
      <c r="A46" s="369" t="s">
        <v>1032</v>
      </c>
      <c r="B46" s="916">
        <f>'Sources and Uses Budget'!C47</f>
        <v>0</v>
      </c>
      <c r="C46" s="917"/>
      <c r="D46" s="917"/>
      <c r="E46" s="916">
        <f>'Sources and Uses Budget'!S47</f>
        <v>0</v>
      </c>
      <c r="F46" s="917"/>
      <c r="G46" s="917"/>
      <c r="H46" s="916">
        <f>'Sources and Uses Budget'!T47</f>
        <v>0</v>
      </c>
      <c r="I46" s="917"/>
      <c r="J46" s="917"/>
      <c r="K46" s="911"/>
    </row>
    <row r="47" spans="1:11" s="383" customFormat="1" ht="11.4">
      <c r="A47" s="369" t="s">
        <v>1033</v>
      </c>
      <c r="B47" s="916">
        <f>'Sources and Uses Budget'!C48</f>
        <v>0</v>
      </c>
      <c r="C47" s="917"/>
      <c r="D47" s="917"/>
      <c r="E47" s="916">
        <f>'Sources and Uses Budget'!S48</f>
        <v>0</v>
      </c>
      <c r="F47" s="917"/>
      <c r="G47" s="917"/>
      <c r="H47" s="916">
        <f>'Sources and Uses Budget'!T48</f>
        <v>0</v>
      </c>
      <c r="I47" s="917"/>
      <c r="J47" s="917"/>
      <c r="K47" s="911"/>
    </row>
    <row r="48" spans="1:11" s="383" customFormat="1" ht="11.4">
      <c r="A48" s="369" t="s">
        <v>1036</v>
      </c>
      <c r="B48" s="916">
        <f>'Sources and Uses Budget'!C49</f>
        <v>50000</v>
      </c>
      <c r="C48" s="917"/>
      <c r="D48" s="917"/>
      <c r="E48" s="916">
        <f>'Sources and Uses Budget'!S49</f>
        <v>50000</v>
      </c>
      <c r="F48" s="917"/>
      <c r="G48" s="917"/>
      <c r="H48" s="916">
        <f>'Sources and Uses Budget'!T49</f>
        <v>0</v>
      </c>
      <c r="I48" s="917"/>
      <c r="J48" s="917"/>
      <c r="K48" s="911"/>
    </row>
    <row r="49" spans="1:11" s="383" customFormat="1" ht="11.4">
      <c r="A49" s="369" t="s">
        <v>1034</v>
      </c>
      <c r="B49" s="916">
        <f>'Sources and Uses Budget'!C50</f>
        <v>0</v>
      </c>
      <c r="C49" s="917"/>
      <c r="D49" s="917"/>
      <c r="E49" s="916">
        <f>'Sources and Uses Budget'!S50</f>
        <v>0</v>
      </c>
      <c r="F49" s="917"/>
      <c r="G49" s="917"/>
      <c r="H49" s="916">
        <f>'Sources and Uses Budget'!T50</f>
        <v>0</v>
      </c>
      <c r="I49" s="917"/>
      <c r="J49" s="917"/>
      <c r="K49" s="911"/>
    </row>
    <row r="50" spans="1:11" s="383" customFormat="1" ht="11.4">
      <c r="A50" s="369" t="s">
        <v>1035</v>
      </c>
      <c r="B50" s="916">
        <f>'Sources and Uses Budget'!C51</f>
        <v>300000</v>
      </c>
      <c r="C50" s="917"/>
      <c r="D50" s="917"/>
      <c r="E50" s="916">
        <f>'Sources and Uses Budget'!S51</f>
        <v>300000</v>
      </c>
      <c r="F50" s="917"/>
      <c r="G50" s="917"/>
      <c r="H50" s="916">
        <f>'Sources and Uses Budget'!T51</f>
        <v>0</v>
      </c>
      <c r="I50" s="917"/>
      <c r="J50" s="917"/>
      <c r="K50" s="911"/>
    </row>
    <row r="51" spans="1:11" s="383" customFormat="1" ht="11.4">
      <c r="A51" s="720" t="str">
        <f>'Sources and Uses Budget'!$A52</f>
        <v>Other: Construction Lender Expenses</v>
      </c>
      <c r="B51" s="916">
        <f>'Sources and Uses Budget'!C52</f>
        <v>15000</v>
      </c>
      <c r="C51" s="917"/>
      <c r="D51" s="917"/>
      <c r="E51" s="916">
        <f>'Sources and Uses Budget'!S52</f>
        <v>9529</v>
      </c>
      <c r="F51" s="917"/>
      <c r="G51" s="917"/>
      <c r="H51" s="916">
        <f>'Sources and Uses Budget'!T52</f>
        <v>0</v>
      </c>
      <c r="I51" s="917"/>
      <c r="J51" s="917"/>
      <c r="K51" s="911"/>
    </row>
    <row r="52" spans="1:11" s="908" customFormat="1">
      <c r="A52" s="373" t="s">
        <v>1037</v>
      </c>
      <c r="B52" s="916">
        <f>'Sources and Uses Budget'!C53</f>
        <v>1880169</v>
      </c>
      <c r="C52" s="919">
        <f>SUM(C44:C51)</f>
        <v>0</v>
      </c>
      <c r="D52" s="919">
        <f>SUM(D44:D51)</f>
        <v>0</v>
      </c>
      <c r="E52" s="916">
        <f>'Sources and Uses Budget'!S53</f>
        <v>1322053</v>
      </c>
      <c r="F52" s="919">
        <f>SUM(F44:F51)</f>
        <v>0</v>
      </c>
      <c r="G52" s="919">
        <f>SUM(G44:G51)</f>
        <v>0</v>
      </c>
      <c r="H52" s="916">
        <f>'Sources and Uses Budget'!T53</f>
        <v>0</v>
      </c>
      <c r="I52" s="919">
        <f>SUM(I44:I51)</f>
        <v>0</v>
      </c>
      <c r="J52" s="919">
        <f>SUM(J44:J51)</f>
        <v>0</v>
      </c>
      <c r="K52" s="912"/>
    </row>
    <row r="53" spans="1:11" s="383" customFormat="1" ht="11.4">
      <c r="A53" s="365" t="s">
        <v>749</v>
      </c>
      <c r="B53" s="915"/>
      <c r="C53" s="915"/>
      <c r="D53" s="915"/>
      <c r="E53" s="915"/>
      <c r="F53" s="915"/>
      <c r="G53" s="915"/>
      <c r="H53" s="915"/>
      <c r="I53" s="915"/>
      <c r="J53" s="915"/>
      <c r="K53" s="911"/>
    </row>
    <row r="54" spans="1:11" s="383" customFormat="1" ht="11.4">
      <c r="A54" s="369" t="s">
        <v>1038</v>
      </c>
      <c r="B54" s="916">
        <f>'Sources and Uses Budget'!C55</f>
        <v>0</v>
      </c>
      <c r="C54" s="917"/>
      <c r="D54" s="917"/>
      <c r="E54" s="918"/>
      <c r="F54" s="918"/>
      <c r="G54" s="918"/>
      <c r="H54" s="918"/>
      <c r="I54" s="918"/>
      <c r="J54" s="918"/>
      <c r="K54" s="911"/>
    </row>
    <row r="55" spans="1:11" s="383" customFormat="1" ht="12" customHeight="1">
      <c r="A55" s="369" t="s">
        <v>1032</v>
      </c>
      <c r="B55" s="916">
        <f>'Sources and Uses Budget'!C56</f>
        <v>0</v>
      </c>
      <c r="C55" s="917"/>
      <c r="D55" s="917"/>
      <c r="E55" s="918"/>
      <c r="F55" s="918"/>
      <c r="G55" s="918"/>
      <c r="H55" s="918"/>
      <c r="I55" s="918"/>
      <c r="J55" s="918"/>
      <c r="K55" s="911"/>
    </row>
    <row r="56" spans="1:11" s="383" customFormat="1" ht="11.4">
      <c r="A56" s="369" t="s">
        <v>1036</v>
      </c>
      <c r="B56" s="916">
        <f>'Sources and Uses Budget'!C57</f>
        <v>25000</v>
      </c>
      <c r="C56" s="917"/>
      <c r="D56" s="917"/>
      <c r="E56" s="918"/>
      <c r="F56" s="918"/>
      <c r="G56" s="918"/>
      <c r="H56" s="918"/>
      <c r="I56" s="918"/>
      <c r="J56" s="918"/>
      <c r="K56" s="911"/>
    </row>
    <row r="57" spans="1:11" s="383" customFormat="1" ht="11.4">
      <c r="A57" s="369" t="s">
        <v>1034</v>
      </c>
      <c r="B57" s="916">
        <f>'Sources and Uses Budget'!C58</f>
        <v>0</v>
      </c>
      <c r="C57" s="917"/>
      <c r="D57" s="917"/>
      <c r="E57" s="918"/>
      <c r="F57" s="918"/>
      <c r="G57" s="918"/>
      <c r="H57" s="918"/>
      <c r="I57" s="918"/>
      <c r="J57" s="918"/>
      <c r="K57" s="911"/>
    </row>
    <row r="58" spans="1:11" s="383" customFormat="1" ht="11.4">
      <c r="A58" s="369" t="s">
        <v>1035</v>
      </c>
      <c r="B58" s="916">
        <f>'Sources and Uses Budget'!C59</f>
        <v>0</v>
      </c>
      <c r="C58" s="917"/>
      <c r="D58" s="917"/>
      <c r="E58" s="918"/>
      <c r="F58" s="918"/>
      <c r="G58" s="918"/>
      <c r="H58" s="918"/>
      <c r="I58" s="918"/>
      <c r="J58" s="918"/>
      <c r="K58" s="911"/>
    </row>
    <row r="59" spans="1:11" s="383" customFormat="1" ht="11.4">
      <c r="A59" s="720" t="str">
        <f>'Sources and Uses Budget'!$A60</f>
        <v>Other: (Specify)</v>
      </c>
      <c r="B59" s="916">
        <f>'Sources and Uses Budget'!C60</f>
        <v>0</v>
      </c>
      <c r="C59" s="917"/>
      <c r="D59" s="917"/>
      <c r="E59" s="918"/>
      <c r="F59" s="918"/>
      <c r="G59" s="918"/>
      <c r="H59" s="918"/>
      <c r="I59" s="918"/>
      <c r="J59" s="918"/>
      <c r="K59" s="911"/>
    </row>
    <row r="60" spans="1:11" s="383" customFormat="1" ht="13.95" customHeight="1">
      <c r="A60" s="373" t="s">
        <v>549</v>
      </c>
      <c r="B60" s="916">
        <f>'Sources and Uses Budget'!C61</f>
        <v>25000</v>
      </c>
      <c r="C60" s="916">
        <f>SUM(C54:C59)</f>
        <v>0</v>
      </c>
      <c r="D60" s="916">
        <f>SUM(D54:D59)</f>
        <v>0</v>
      </c>
      <c r="E60" s="918"/>
      <c r="F60" s="918"/>
      <c r="G60" s="918"/>
      <c r="H60" s="918"/>
      <c r="I60" s="918"/>
      <c r="J60" s="918"/>
      <c r="K60" s="911"/>
    </row>
    <row r="61" spans="1:11" s="383" customFormat="1" ht="11.4">
      <c r="A61" s="379" t="s">
        <v>550</v>
      </c>
      <c r="B61" s="916">
        <f>'Sources and Uses Budget'!C62</f>
        <v>36981207</v>
      </c>
      <c r="C61" s="916">
        <f>SUM(C8+C11+C13+C14+C15+C25+C26+C37+C41+C42+C52+C60)</f>
        <v>0</v>
      </c>
      <c r="D61" s="916">
        <f>SUM(D8+D11+D13+D14+D15+D25+D26+D37+D41+D42+D52+D60)</f>
        <v>0</v>
      </c>
      <c r="E61" s="916">
        <f>'Sources and Uses Budget'!S62</f>
        <v>30406527</v>
      </c>
      <c r="F61" s="916">
        <f>SUM(F10+F13+F14+F15+F25+F26+F37+F41+F42+F52)</f>
        <v>0</v>
      </c>
      <c r="G61" s="916">
        <f>SUM(G10+G13+G14+G15+G25+G26+G37+G41+G42+G52)</f>
        <v>0</v>
      </c>
      <c r="H61" s="916">
        <f>'Sources and Uses Budget'!T62</f>
        <v>0</v>
      </c>
      <c r="I61" s="916">
        <f>SUM(I11+I13+I14+I15+I25+I26+I37+I41+I42+I52)</f>
        <v>0</v>
      </c>
      <c r="J61" s="916">
        <f>SUM(J11+J13+J14+J15+J25+J26+J37+J41+J42+J52)</f>
        <v>0</v>
      </c>
      <c r="K61" s="911"/>
    </row>
    <row r="62" spans="1:11" s="383" customFormat="1" ht="22.8">
      <c r="A62" s="365" t="s">
        <v>2240</v>
      </c>
      <c r="B62" s="915"/>
      <c r="C62" s="915"/>
      <c r="D62" s="915"/>
      <c r="E62" s="915"/>
      <c r="F62" s="915"/>
      <c r="G62" s="915"/>
      <c r="H62" s="915"/>
      <c r="I62" s="915"/>
      <c r="J62" s="915"/>
      <c r="K62" s="911"/>
    </row>
    <row r="63" spans="1:11" s="383" customFormat="1" ht="11.4">
      <c r="A63" s="369" t="s">
        <v>312</v>
      </c>
      <c r="B63" s="916">
        <f>'Sources and Uses Budget'!C64</f>
        <v>30000</v>
      </c>
      <c r="C63" s="917"/>
      <c r="D63" s="917"/>
      <c r="E63" s="916">
        <f>'Sources and Uses Budget'!S64</f>
        <v>19058</v>
      </c>
      <c r="F63" s="917"/>
      <c r="G63" s="917"/>
      <c r="H63" s="916">
        <f>'Sources and Uses Budget'!T64</f>
        <v>0</v>
      </c>
      <c r="I63" s="917"/>
      <c r="J63" s="917"/>
      <c r="K63" s="911"/>
    </row>
    <row r="64" spans="1:11" s="1383" customFormat="1" ht="22.8">
      <c r="A64" s="369" t="s">
        <v>2241</v>
      </c>
      <c r="B64" s="916">
        <f>'Sources and Uses Budget'!C65</f>
        <v>0</v>
      </c>
      <c r="C64" s="917"/>
      <c r="D64" s="917"/>
      <c r="E64" s="916">
        <f>'Sources and Uses Budget'!S65</f>
        <v>0</v>
      </c>
      <c r="F64" s="917"/>
      <c r="G64" s="917"/>
      <c r="H64" s="916">
        <f>'Sources and Uses Budget'!T65</f>
        <v>0</v>
      </c>
      <c r="I64" s="917"/>
      <c r="J64" s="917"/>
      <c r="K64" s="911"/>
    </row>
    <row r="65" spans="1:11" s="1383" customFormat="1" ht="22.8">
      <c r="A65" s="369" t="s">
        <v>2242</v>
      </c>
      <c r="B65" s="916">
        <f>'Sources and Uses Budget'!C66</f>
        <v>0</v>
      </c>
      <c r="C65" s="917"/>
      <c r="D65" s="917"/>
      <c r="E65" s="916">
        <f>'Sources and Uses Budget'!S66</f>
        <v>0</v>
      </c>
      <c r="F65" s="917"/>
      <c r="G65" s="917"/>
      <c r="H65" s="916">
        <f>'Sources and Uses Budget'!T66</f>
        <v>0</v>
      </c>
      <c r="I65" s="917"/>
      <c r="J65" s="917"/>
      <c r="K65" s="911"/>
    </row>
    <row r="66" spans="1:11" s="1383" customFormat="1" ht="11.4">
      <c r="A66" s="369" t="s">
        <v>2243</v>
      </c>
      <c r="B66" s="916">
        <f>'Sources and Uses Budget'!C67</f>
        <v>0</v>
      </c>
      <c r="C66" s="917"/>
      <c r="D66" s="917"/>
      <c r="E66" s="916">
        <f>'Sources and Uses Budget'!S67</f>
        <v>0</v>
      </c>
      <c r="F66" s="917"/>
      <c r="G66" s="917"/>
      <c r="H66" s="916">
        <f>'Sources and Uses Budget'!T67</f>
        <v>0</v>
      </c>
      <c r="I66" s="917"/>
      <c r="J66" s="917"/>
      <c r="K66" s="911"/>
    </row>
    <row r="67" spans="1:11" s="383" customFormat="1" ht="11.4">
      <c r="A67" s="720" t="str">
        <f>'Sources and Uses Budget'!$A68</f>
        <v>Other: Owner Legal</v>
      </c>
      <c r="B67" s="916">
        <f>'Sources and Uses Budget'!C68</f>
        <v>85000</v>
      </c>
      <c r="C67" s="917"/>
      <c r="D67" s="917"/>
      <c r="E67" s="916">
        <f>'Sources and Uses Budget'!S68</f>
        <v>85000</v>
      </c>
      <c r="F67" s="917"/>
      <c r="G67" s="917"/>
      <c r="H67" s="916">
        <f>'Sources and Uses Budget'!T68</f>
        <v>0</v>
      </c>
      <c r="I67" s="917"/>
      <c r="J67" s="917"/>
      <c r="K67" s="911"/>
    </row>
    <row r="68" spans="1:11" s="383" customFormat="1">
      <c r="A68" s="373" t="s">
        <v>2244</v>
      </c>
      <c r="B68" s="916">
        <f>'Sources and Uses Budget'!C69</f>
        <v>115000</v>
      </c>
      <c r="C68" s="916">
        <f>SUM(C62:C67)</f>
        <v>0</v>
      </c>
      <c r="D68" s="916">
        <f>SUM(D62:D67)</f>
        <v>0</v>
      </c>
      <c r="E68" s="916">
        <f>'Sources and Uses Budget'!S69</f>
        <v>104058</v>
      </c>
      <c r="F68" s="919">
        <f>SUM(F63:F67)</f>
        <v>0</v>
      </c>
      <c r="G68" s="919">
        <f>SUM(G63:G67)</f>
        <v>0</v>
      </c>
      <c r="H68" s="916">
        <f>'Sources and Uses Budget'!T69</f>
        <v>0</v>
      </c>
      <c r="I68" s="919">
        <f>SUM(I63:I67)</f>
        <v>0</v>
      </c>
      <c r="J68" s="919">
        <f>SUM(J63:J67)</f>
        <v>0</v>
      </c>
      <c r="K68" s="911"/>
    </row>
    <row r="69" spans="1:11" s="383" customFormat="1" ht="11.4">
      <c r="A69" s="365" t="s">
        <v>313</v>
      </c>
      <c r="B69" s="915"/>
      <c r="C69" s="915"/>
      <c r="D69" s="915"/>
      <c r="E69" s="915"/>
      <c r="F69" s="915"/>
      <c r="G69" s="915"/>
      <c r="H69" s="915"/>
      <c r="I69" s="915"/>
      <c r="J69" s="915"/>
      <c r="K69" s="911"/>
    </row>
    <row r="70" spans="1:11" s="383" customFormat="1" ht="11.4">
      <c r="A70" s="369" t="s">
        <v>314</v>
      </c>
      <c r="B70" s="916">
        <f>'Sources and Uses Budget'!C71</f>
        <v>0</v>
      </c>
      <c r="C70" s="917"/>
      <c r="D70" s="917"/>
      <c r="E70" s="918"/>
      <c r="F70" s="918"/>
      <c r="G70" s="918"/>
      <c r="H70" s="918"/>
      <c r="I70" s="918"/>
      <c r="J70" s="918"/>
      <c r="K70" s="911"/>
    </row>
    <row r="71" spans="1:11" s="383" customFormat="1" ht="11.4">
      <c r="A71" s="369" t="s">
        <v>315</v>
      </c>
      <c r="B71" s="916">
        <f>'Sources and Uses Budget'!C72</f>
        <v>0</v>
      </c>
      <c r="C71" s="917"/>
      <c r="D71" s="917"/>
      <c r="E71" s="918"/>
      <c r="F71" s="918"/>
      <c r="G71" s="918"/>
      <c r="H71" s="918"/>
      <c r="I71" s="918"/>
      <c r="J71" s="918"/>
      <c r="K71" s="911"/>
    </row>
    <row r="72" spans="1:11" s="383" customFormat="1" ht="11.4">
      <c r="A72" s="996" t="s">
        <v>1372</v>
      </c>
      <c r="B72" s="916">
        <f>'Sources and Uses Budget'!C73</f>
        <v>0</v>
      </c>
      <c r="C72" s="917"/>
      <c r="D72" s="917"/>
      <c r="E72" s="918"/>
      <c r="F72" s="918"/>
      <c r="G72" s="918"/>
      <c r="H72" s="918"/>
      <c r="I72" s="918"/>
      <c r="J72" s="918"/>
      <c r="K72" s="911"/>
    </row>
    <row r="73" spans="1:11" s="383" customFormat="1" ht="11.4">
      <c r="A73" s="369" t="s">
        <v>316</v>
      </c>
      <c r="B73" s="916">
        <f>'Sources and Uses Budget'!C74</f>
        <v>338433</v>
      </c>
      <c r="C73" s="917"/>
      <c r="D73" s="917"/>
      <c r="E73" s="918"/>
      <c r="F73" s="918"/>
      <c r="G73" s="918"/>
      <c r="H73" s="918"/>
      <c r="I73" s="918"/>
      <c r="J73" s="918"/>
      <c r="K73" s="911"/>
    </row>
    <row r="74" spans="1:11" s="383" customFormat="1" ht="34.200000000000003">
      <c r="A74" s="720" t="str">
        <f>'Sources and Uses Budget'!$A75</f>
        <v>Other: NPLH Capitalized Operating Subsidy Reserve HCD Required Transition Reserve</v>
      </c>
      <c r="B74" s="916">
        <f>'Sources and Uses Budget'!C75</f>
        <v>2340301</v>
      </c>
      <c r="C74" s="917"/>
      <c r="D74" s="917"/>
      <c r="E74" s="918"/>
      <c r="F74" s="918"/>
      <c r="G74" s="918"/>
      <c r="H74" s="918"/>
      <c r="I74" s="918"/>
      <c r="J74" s="918"/>
      <c r="K74" s="911"/>
    </row>
    <row r="75" spans="1:11" s="383" customFormat="1">
      <c r="A75" s="373" t="s">
        <v>317</v>
      </c>
      <c r="B75" s="916">
        <f>'Sources and Uses Budget'!C76</f>
        <v>2678734</v>
      </c>
      <c r="C75" s="916">
        <f>SUM(C70:C74)</f>
        <v>0</v>
      </c>
      <c r="D75" s="916">
        <f>SUM(D70:D74)</f>
        <v>0</v>
      </c>
      <c r="E75" s="918"/>
      <c r="F75" s="918"/>
      <c r="G75" s="918"/>
      <c r="H75" s="918"/>
      <c r="I75" s="918"/>
      <c r="J75" s="918"/>
      <c r="K75" s="911"/>
    </row>
    <row r="76" spans="1:11" s="383" customFormat="1" ht="11.4">
      <c r="A76" s="365" t="s">
        <v>1969</v>
      </c>
      <c r="B76" s="915"/>
      <c r="C76" s="915"/>
      <c r="D76" s="915"/>
      <c r="E76" s="915"/>
      <c r="F76" s="915"/>
      <c r="G76" s="915"/>
      <c r="H76" s="915"/>
      <c r="I76" s="915"/>
      <c r="J76" s="915"/>
      <c r="K76" s="911"/>
    </row>
    <row r="77" spans="1:11" s="383" customFormat="1" ht="11.4">
      <c r="A77" s="369" t="s">
        <v>1970</v>
      </c>
      <c r="B77" s="916">
        <f>'Sources and Uses Budget'!C78</f>
        <v>2102150</v>
      </c>
      <c r="C77" s="917"/>
      <c r="D77" s="917"/>
      <c r="E77" s="916">
        <f>'Sources and Uses Budget'!S78</f>
        <v>2102150</v>
      </c>
      <c r="F77" s="917"/>
      <c r="G77" s="917"/>
      <c r="H77" s="916">
        <f>'Sources and Uses Budget'!T78</f>
        <v>0</v>
      </c>
      <c r="I77" s="917"/>
      <c r="J77" s="917"/>
      <c r="K77" s="911"/>
    </row>
    <row r="78" spans="1:11" s="1090" customFormat="1" ht="11.4">
      <c r="A78" s="369" t="s">
        <v>597</v>
      </c>
      <c r="B78" s="916">
        <f>'Sources and Uses Budget'!C79</f>
        <v>250000</v>
      </c>
      <c r="C78" s="917"/>
      <c r="D78" s="917"/>
      <c r="E78" s="916">
        <f>'Sources and Uses Budget'!S79</f>
        <v>250000</v>
      </c>
      <c r="F78" s="917"/>
      <c r="G78" s="917"/>
      <c r="H78" s="916">
        <f>'Sources and Uses Budget'!T79</f>
        <v>0</v>
      </c>
      <c r="I78" s="917"/>
      <c r="J78" s="917"/>
      <c r="K78" s="911"/>
    </row>
    <row r="79" spans="1:11" s="383" customFormat="1">
      <c r="A79" s="373" t="s">
        <v>1968</v>
      </c>
      <c r="B79" s="916">
        <f>'Sources and Uses Budget'!C80</f>
        <v>2352150</v>
      </c>
      <c r="C79" s="1123">
        <f>SUM(C77:C78)</f>
        <v>0</v>
      </c>
      <c r="D79" s="1123">
        <f>SUM(D77:D78)</f>
        <v>0</v>
      </c>
      <c r="E79" s="916">
        <f>'Sources and Uses Budget'!S80</f>
        <v>2352150</v>
      </c>
      <c r="F79" s="1123">
        <f>SUM(F77:F78)</f>
        <v>0</v>
      </c>
      <c r="G79" s="1123">
        <f>SUM(G77:G78)</f>
        <v>0</v>
      </c>
      <c r="H79" s="916">
        <f>'Sources and Uses Budget'!T80</f>
        <v>0</v>
      </c>
      <c r="I79" s="1123">
        <f>SUM(I77:I78)</f>
        <v>0</v>
      </c>
      <c r="J79" s="1123">
        <f>SUM(J77:J78)</f>
        <v>0</v>
      </c>
      <c r="K79" s="911"/>
    </row>
    <row r="80" spans="1:11" s="383" customFormat="1" ht="11.4">
      <c r="A80" s="365" t="s">
        <v>573</v>
      </c>
      <c r="B80" s="915"/>
      <c r="C80" s="915"/>
      <c r="D80" s="915"/>
      <c r="E80" s="915"/>
      <c r="F80" s="915"/>
      <c r="G80" s="915"/>
      <c r="H80" s="915"/>
      <c r="I80" s="915"/>
      <c r="J80" s="915"/>
      <c r="K80" s="911"/>
    </row>
    <row r="81" spans="1:11" s="383" customFormat="1" ht="13.95" customHeight="1">
      <c r="A81" s="369" t="s">
        <v>574</v>
      </c>
      <c r="B81" s="916">
        <f>'Sources and Uses Budget'!C82</f>
        <v>154257</v>
      </c>
      <c r="C81" s="917"/>
      <c r="D81" s="917"/>
      <c r="E81" s="918"/>
      <c r="F81" s="918"/>
      <c r="G81" s="918"/>
      <c r="H81" s="918"/>
      <c r="I81" s="918"/>
      <c r="J81" s="918"/>
      <c r="K81" s="911"/>
    </row>
    <row r="82" spans="1:11" s="383" customFormat="1" ht="11.4">
      <c r="A82" s="369" t="s">
        <v>575</v>
      </c>
      <c r="B82" s="916">
        <f>'Sources and Uses Budget'!C83</f>
        <v>500000</v>
      </c>
      <c r="C82" s="917"/>
      <c r="D82" s="917"/>
      <c r="E82" s="916">
        <f>'Sources and Uses Budget'!S83</f>
        <v>500000</v>
      </c>
      <c r="F82" s="917"/>
      <c r="G82" s="917"/>
      <c r="H82" s="916">
        <f>'Sources and Uses Budget'!T83</f>
        <v>0</v>
      </c>
      <c r="I82" s="917"/>
      <c r="J82" s="917"/>
      <c r="K82" s="911"/>
    </row>
    <row r="83" spans="1:11" s="383" customFormat="1" ht="11.4">
      <c r="A83" s="369" t="s">
        <v>576</v>
      </c>
      <c r="B83" s="916">
        <f>'Sources and Uses Budget'!C84</f>
        <v>2511073</v>
      </c>
      <c r="C83" s="917"/>
      <c r="D83" s="917"/>
      <c r="E83" s="916">
        <f>'Sources and Uses Budget'!S84</f>
        <v>2511073</v>
      </c>
      <c r="F83" s="917"/>
      <c r="G83" s="917"/>
      <c r="H83" s="916">
        <f>'Sources and Uses Budget'!T84</f>
        <v>0</v>
      </c>
      <c r="I83" s="917"/>
      <c r="J83" s="917"/>
      <c r="K83" s="911"/>
    </row>
    <row r="84" spans="1:11" s="383" customFormat="1" ht="11.4">
      <c r="A84" s="369" t="s">
        <v>577</v>
      </c>
      <c r="B84" s="916">
        <f>'Sources and Uses Budget'!C85</f>
        <v>200000</v>
      </c>
      <c r="C84" s="917"/>
      <c r="D84" s="917"/>
      <c r="E84" s="916">
        <f>'Sources and Uses Budget'!S85</f>
        <v>200000</v>
      </c>
      <c r="F84" s="917"/>
      <c r="G84" s="917"/>
      <c r="H84" s="916">
        <f>'Sources and Uses Budget'!T85</f>
        <v>0</v>
      </c>
      <c r="I84" s="917"/>
      <c r="J84" s="917"/>
      <c r="K84" s="911"/>
    </row>
    <row r="85" spans="1:11" s="383" customFormat="1" ht="11.4">
      <c r="A85" s="369" t="s">
        <v>578</v>
      </c>
      <c r="B85" s="916">
        <f>'Sources and Uses Budget'!C86</f>
        <v>0</v>
      </c>
      <c r="C85" s="917"/>
      <c r="D85" s="917"/>
      <c r="E85" s="916">
        <f>'Sources and Uses Budget'!S86</f>
        <v>0</v>
      </c>
      <c r="F85" s="917"/>
      <c r="G85" s="917"/>
      <c r="H85" s="916">
        <f>'Sources and Uses Budget'!T86</f>
        <v>0</v>
      </c>
      <c r="I85" s="917"/>
      <c r="J85" s="917"/>
      <c r="K85" s="911"/>
    </row>
    <row r="86" spans="1:11" s="383" customFormat="1" ht="11.4">
      <c r="A86" s="369" t="s">
        <v>579</v>
      </c>
      <c r="B86" s="916">
        <f>'Sources and Uses Budget'!C87</f>
        <v>150000</v>
      </c>
      <c r="C86" s="917"/>
      <c r="D86" s="917"/>
      <c r="E86" s="918"/>
      <c r="F86" s="918"/>
      <c r="G86" s="918"/>
      <c r="H86" s="918"/>
      <c r="I86" s="918"/>
      <c r="J86" s="918"/>
      <c r="K86" s="911"/>
    </row>
    <row r="87" spans="1:11" s="383" customFormat="1" ht="11.4">
      <c r="A87" s="369" t="s">
        <v>580</v>
      </c>
      <c r="B87" s="916">
        <f>'Sources and Uses Budget'!C88</f>
        <v>100000</v>
      </c>
      <c r="C87" s="917"/>
      <c r="D87" s="917"/>
      <c r="E87" s="916">
        <f>'Sources and Uses Budget'!S88</f>
        <v>100000</v>
      </c>
      <c r="F87" s="917"/>
      <c r="G87" s="917"/>
      <c r="H87" s="916">
        <f>'Sources and Uses Budget'!T88</f>
        <v>0</v>
      </c>
      <c r="I87" s="917"/>
      <c r="J87" s="917"/>
      <c r="K87" s="911"/>
    </row>
    <row r="88" spans="1:11" s="383" customFormat="1" ht="11.4">
      <c r="A88" s="369" t="s">
        <v>581</v>
      </c>
      <c r="B88" s="916">
        <f>'Sources and Uses Budget'!C89</f>
        <v>22000</v>
      </c>
      <c r="C88" s="917"/>
      <c r="D88" s="917"/>
      <c r="E88" s="916">
        <f>'Sources and Uses Budget'!S89</f>
        <v>0</v>
      </c>
      <c r="F88" s="917"/>
      <c r="G88" s="917"/>
      <c r="H88" s="916">
        <f>'Sources and Uses Budget'!T89</f>
        <v>0</v>
      </c>
      <c r="I88" s="917"/>
      <c r="J88" s="917"/>
      <c r="K88" s="911"/>
    </row>
    <row r="89" spans="1:11" s="383" customFormat="1" ht="11.4">
      <c r="A89" s="720" t="s">
        <v>1454</v>
      </c>
      <c r="B89" s="916">
        <f>'Sources and Uses Budget'!C90</f>
        <v>0</v>
      </c>
      <c r="C89" s="917"/>
      <c r="D89" s="917"/>
      <c r="E89" s="916">
        <f>'Sources and Uses Budget'!S90</f>
        <v>0</v>
      </c>
      <c r="F89" s="917"/>
      <c r="G89" s="917"/>
      <c r="H89" s="916">
        <f>'Sources and Uses Budget'!T90</f>
        <v>0</v>
      </c>
      <c r="I89" s="917"/>
      <c r="J89" s="917"/>
      <c r="K89" s="911"/>
    </row>
    <row r="90" spans="1:11" s="383" customFormat="1" ht="11.4">
      <c r="A90" s="720" t="s">
        <v>1966</v>
      </c>
      <c r="B90" s="916">
        <f>'Sources and Uses Budget'!C91</f>
        <v>25000</v>
      </c>
      <c r="C90" s="917"/>
      <c r="D90" s="917"/>
      <c r="E90" s="916">
        <f>'Sources and Uses Budget'!S91</f>
        <v>25000</v>
      </c>
      <c r="F90" s="917"/>
      <c r="G90" s="917"/>
      <c r="H90" s="916">
        <f>'Sources and Uses Budget'!T91</f>
        <v>0</v>
      </c>
      <c r="I90" s="917"/>
      <c r="J90" s="917"/>
      <c r="K90" s="911"/>
    </row>
    <row r="91" spans="1:11" s="383" customFormat="1" ht="11.4">
      <c r="A91" s="720" t="str">
        <f>'Sources and Uses Budget'!$A92</f>
        <v>Other: Acquisition Title/Recording</v>
      </c>
      <c r="B91" s="916">
        <f>'Sources and Uses Budget'!C92</f>
        <v>25000</v>
      </c>
      <c r="C91" s="917"/>
      <c r="D91" s="917"/>
      <c r="E91" s="916">
        <f>'Sources and Uses Budget'!S92</f>
        <v>0</v>
      </c>
      <c r="F91" s="917"/>
      <c r="G91" s="917"/>
      <c r="H91" s="916">
        <f>'Sources and Uses Budget'!T92</f>
        <v>0</v>
      </c>
      <c r="I91" s="917"/>
      <c r="J91" s="917"/>
      <c r="K91" s="911"/>
    </row>
    <row r="92" spans="1:11" s="383" customFormat="1" ht="11.4">
      <c r="A92" s="720" t="str">
        <f>'Sources and Uses Budget'!$A93</f>
        <v>Other: Security during Construction</v>
      </c>
      <c r="B92" s="916">
        <f>'Sources and Uses Budget'!C93</f>
        <v>100000</v>
      </c>
      <c r="C92" s="917"/>
      <c r="D92" s="917"/>
      <c r="E92" s="916">
        <f>'Sources and Uses Budget'!S93</f>
        <v>100000</v>
      </c>
      <c r="F92" s="917"/>
      <c r="G92" s="917"/>
      <c r="H92" s="916">
        <f>'Sources and Uses Budget'!T93</f>
        <v>0</v>
      </c>
      <c r="I92" s="917"/>
      <c r="J92" s="917"/>
      <c r="K92" s="911"/>
    </row>
    <row r="93" spans="1:11" s="383" customFormat="1" ht="11.4">
      <c r="A93" s="720" t="str">
        <f>'Sources and Uses Budget'!$A94</f>
        <v>Other: (Specify)</v>
      </c>
      <c r="B93" s="916">
        <f>'Sources and Uses Budget'!C94</f>
        <v>0</v>
      </c>
      <c r="C93" s="917"/>
      <c r="D93" s="917"/>
      <c r="E93" s="916">
        <f>'Sources and Uses Budget'!S94</f>
        <v>0</v>
      </c>
      <c r="F93" s="917"/>
      <c r="G93" s="917"/>
      <c r="H93" s="916">
        <f>'Sources and Uses Budget'!T94</f>
        <v>0</v>
      </c>
      <c r="I93" s="917"/>
      <c r="J93" s="917"/>
      <c r="K93" s="911"/>
    </row>
    <row r="94" spans="1:11" s="383" customFormat="1">
      <c r="A94" s="373" t="s">
        <v>582</v>
      </c>
      <c r="B94" s="916">
        <f>'Sources and Uses Budget'!C95</f>
        <v>3787330</v>
      </c>
      <c r="C94" s="916">
        <f>SUM(C81:C93)</f>
        <v>0</v>
      </c>
      <c r="D94" s="916">
        <f>SUM(D81:D93)</f>
        <v>0</v>
      </c>
      <c r="E94" s="916">
        <f>'Sources and Uses Budget'!S95</f>
        <v>3436073</v>
      </c>
      <c r="F94" s="919">
        <f>SUM(F82:F85,F87:F93)</f>
        <v>0</v>
      </c>
      <c r="G94" s="919">
        <f>SUM(G82:G85,G87:G93)</f>
        <v>0</v>
      </c>
      <c r="H94" s="916">
        <f>'Sources and Uses Budget'!T95</f>
        <v>0</v>
      </c>
      <c r="I94" s="916">
        <f>SUM(I82:I85,I87:I93)</f>
        <v>0</v>
      </c>
      <c r="J94" s="916">
        <f>SUM(J82:J85,J87:J93)</f>
        <v>0</v>
      </c>
      <c r="K94" s="911"/>
    </row>
    <row r="95" spans="1:11" s="383" customFormat="1">
      <c r="A95" s="373" t="s">
        <v>1508</v>
      </c>
      <c r="B95" s="916">
        <f>'Sources and Uses Budget'!C96</f>
        <v>45914421</v>
      </c>
      <c r="C95" s="916">
        <f>SUM(C61+C68+C75+C79+C94)</f>
        <v>0</v>
      </c>
      <c r="D95" s="916">
        <f>SUM(D61+D68+D75+D79+D94)</f>
        <v>0</v>
      </c>
      <c r="E95" s="916">
        <f>'Sources and Uses Budget'!S96</f>
        <v>36298808</v>
      </c>
      <c r="F95" s="919">
        <f>SUM(+F61+F68+F79+F94)</f>
        <v>0</v>
      </c>
      <c r="G95" s="919">
        <f>SUM(+G61+G68+G79+G94)</f>
        <v>0</v>
      </c>
      <c r="H95" s="916">
        <f>'Sources and Uses Budget'!T96</f>
        <v>0</v>
      </c>
      <c r="I95" s="919">
        <f>SUM(I61+I68+I79+I94)</f>
        <v>0</v>
      </c>
      <c r="J95" s="919">
        <f>SUM(J61+J68+J79+J94)</f>
        <v>0</v>
      </c>
      <c r="K95" s="911"/>
    </row>
    <row r="96" spans="1:11" s="383" customFormat="1" ht="11.4">
      <c r="A96" s="365" t="s">
        <v>584</v>
      </c>
      <c r="B96" s="915"/>
      <c r="C96" s="915"/>
      <c r="D96" s="915"/>
      <c r="E96" s="915"/>
      <c r="F96" s="915"/>
      <c r="G96" s="915"/>
      <c r="H96" s="915"/>
      <c r="I96" s="915"/>
      <c r="J96" s="915"/>
      <c r="K96" s="911"/>
    </row>
    <row r="97" spans="1:11" s="383" customFormat="1" ht="11.4">
      <c r="A97" s="369" t="s">
        <v>585</v>
      </c>
      <c r="B97" s="916">
        <f>'Sources and Uses Budget'!C98</f>
        <v>2200000</v>
      </c>
      <c r="C97" s="917"/>
      <c r="D97" s="917"/>
      <c r="E97" s="916">
        <f>'Sources and Uses Budget'!S98</f>
        <v>2200000</v>
      </c>
      <c r="F97" s="917"/>
      <c r="G97" s="917"/>
      <c r="H97" s="916">
        <f>'Sources and Uses Budget'!T98</f>
        <v>0</v>
      </c>
      <c r="I97" s="917"/>
      <c r="J97" s="917"/>
      <c r="K97" s="911"/>
    </row>
    <row r="98" spans="1:11" s="383" customFormat="1" ht="11.4">
      <c r="A98" s="369" t="s">
        <v>2245</v>
      </c>
      <c r="B98" s="916">
        <f>'Sources and Uses Budget'!C99</f>
        <v>0</v>
      </c>
      <c r="C98" s="917"/>
      <c r="D98" s="917"/>
      <c r="E98" s="916">
        <f>'Sources and Uses Budget'!S99</f>
        <v>0</v>
      </c>
      <c r="F98" s="917"/>
      <c r="G98" s="917"/>
      <c r="H98" s="916">
        <f>'Sources and Uses Budget'!T99</f>
        <v>0</v>
      </c>
      <c r="I98" s="917"/>
      <c r="J98" s="917"/>
      <c r="K98" s="911"/>
    </row>
    <row r="99" spans="1:11" s="383" customFormat="1" ht="12" customHeight="1">
      <c r="A99" s="369" t="s">
        <v>586</v>
      </c>
      <c r="B99" s="916">
        <f>'Sources and Uses Budget'!C100</f>
        <v>0</v>
      </c>
      <c r="C99" s="917"/>
      <c r="D99" s="917"/>
      <c r="E99" s="916">
        <f>'Sources and Uses Budget'!S100</f>
        <v>0</v>
      </c>
      <c r="F99" s="917"/>
      <c r="G99" s="917"/>
      <c r="H99" s="916">
        <f>'Sources and Uses Budget'!T100</f>
        <v>0</v>
      </c>
      <c r="I99" s="917"/>
      <c r="J99" s="917"/>
      <c r="K99" s="911"/>
    </row>
    <row r="100" spans="1:11" s="383" customFormat="1" ht="11.4">
      <c r="A100" s="369" t="s">
        <v>1373</v>
      </c>
      <c r="B100" s="916">
        <f>'Sources and Uses Budget'!C101</f>
        <v>0</v>
      </c>
      <c r="C100" s="917"/>
      <c r="D100" s="917"/>
      <c r="E100" s="916">
        <f>'Sources and Uses Budget'!S101</f>
        <v>0</v>
      </c>
      <c r="F100" s="917"/>
      <c r="G100" s="917"/>
      <c r="H100" s="916">
        <f>'Sources and Uses Budget'!T101</f>
        <v>0</v>
      </c>
      <c r="I100" s="917"/>
      <c r="J100" s="917"/>
      <c r="K100" s="911"/>
    </row>
    <row r="101" spans="1:11" s="383" customFormat="1" ht="11.4">
      <c r="A101" s="720" t="str">
        <f>'Sources and Uses Budget'!$A102</f>
        <v>Other: (Specify)</v>
      </c>
      <c r="B101" s="916">
        <f>'Sources and Uses Budget'!C102</f>
        <v>0</v>
      </c>
      <c r="C101" s="917"/>
      <c r="D101" s="917"/>
      <c r="E101" s="916">
        <f>'Sources and Uses Budget'!S102</f>
        <v>0</v>
      </c>
      <c r="F101" s="917"/>
      <c r="G101" s="917"/>
      <c r="H101" s="916">
        <f>'Sources and Uses Budget'!T102</f>
        <v>0</v>
      </c>
      <c r="I101" s="917"/>
      <c r="J101" s="917"/>
      <c r="K101" s="911"/>
    </row>
    <row r="102" spans="1:11" s="383" customFormat="1">
      <c r="A102" s="373" t="s">
        <v>587</v>
      </c>
      <c r="B102" s="916">
        <f>'Sources and Uses Budget'!C103</f>
        <v>2200000</v>
      </c>
      <c r="C102" s="916">
        <f>SUM(C97:C101)</f>
        <v>0</v>
      </c>
      <c r="D102" s="916">
        <f>SUM(D97:D101)</f>
        <v>0</v>
      </c>
      <c r="E102" s="916">
        <f>'Sources and Uses Budget'!S103</f>
        <v>2200000</v>
      </c>
      <c r="F102" s="919">
        <f>SUM(F97:F101)</f>
        <v>0</v>
      </c>
      <c r="G102" s="919">
        <f>SUM(G97:G101)</f>
        <v>0</v>
      </c>
      <c r="H102" s="916">
        <f>'Sources and Uses Budget'!T103</f>
        <v>0</v>
      </c>
      <c r="I102" s="919">
        <f>SUM(I97:I101)</f>
        <v>0</v>
      </c>
      <c r="J102" s="919">
        <f>SUM(J97:J101)</f>
        <v>0</v>
      </c>
      <c r="K102" s="911"/>
    </row>
    <row r="103" spans="1:11" s="383" customFormat="1">
      <c r="A103" s="373" t="s">
        <v>1509</v>
      </c>
      <c r="B103" s="916">
        <f>'Sources and Uses Budget'!C104</f>
        <v>48114421</v>
      </c>
      <c r="C103" s="919">
        <f>SUM(C95+C102)</f>
        <v>0</v>
      </c>
      <c r="D103" s="919">
        <f>SUM(D95+D102)</f>
        <v>0</v>
      </c>
      <c r="E103" s="916">
        <f>'Sources and Uses Budget'!S104</f>
        <v>38498808</v>
      </c>
      <c r="F103" s="919">
        <f>F95+F102</f>
        <v>0</v>
      </c>
      <c r="G103" s="919">
        <f>G95+G102</f>
        <v>0</v>
      </c>
      <c r="H103" s="916">
        <f>'Sources and Uses Budget'!T104</f>
        <v>0</v>
      </c>
      <c r="I103" s="919">
        <f>I95+I102</f>
        <v>0</v>
      </c>
      <c r="J103" s="919">
        <f>J95+J102</f>
        <v>0</v>
      </c>
      <c r="K103" s="911"/>
    </row>
    <row r="104" spans="1:11" s="383" customFormat="1">
      <c r="A104" s="381"/>
      <c r="B104" s="920"/>
      <c r="C104" s="920"/>
      <c r="D104" s="920"/>
      <c r="E104" s="916">
        <f>'Sources and Uses Budget'!S105</f>
        <v>0</v>
      </c>
      <c r="F104" s="917"/>
      <c r="G104" s="917"/>
      <c r="H104" s="916">
        <f>'Sources and Uses Budget'!T105</f>
        <v>0</v>
      </c>
      <c r="I104" s="917"/>
      <c r="J104" s="917"/>
      <c r="K104" s="911"/>
    </row>
    <row r="105" spans="1:11" s="383" customFormat="1">
      <c r="A105" s="889"/>
      <c r="B105" s="921"/>
      <c r="C105" s="920"/>
      <c r="D105" s="920"/>
      <c r="E105" s="916">
        <f>'Sources and Uses Budget'!S106</f>
        <v>38498808</v>
      </c>
      <c r="F105" s="922">
        <f>F103+F104</f>
        <v>0</v>
      </c>
      <c r="G105" s="922">
        <f>G103+G104</f>
        <v>0</v>
      </c>
      <c r="H105" s="916">
        <f>'Sources and Uses Budget'!T106</f>
        <v>0</v>
      </c>
      <c r="I105" s="922">
        <f>I103+I104</f>
        <v>0</v>
      </c>
      <c r="J105" s="922">
        <f>J103+J104</f>
        <v>0</v>
      </c>
      <c r="K105" s="911"/>
    </row>
    <row r="106" spans="1:11" s="383" customFormat="1" hidden="1">
      <c r="A106" s="889"/>
      <c r="B106" s="382"/>
      <c r="C106" s="382"/>
      <c r="D106" s="382"/>
      <c r="J106" s="914"/>
      <c r="K106" s="911"/>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7" zoomScale="140" zoomScaleNormal="140" zoomScaleSheetLayoutView="100" workbookViewId="0">
      <selection activeCell="K46" sqref="K46"/>
    </sheetView>
  </sheetViews>
  <sheetFormatPr defaultColWidth="0" defaultRowHeight="0" customHeight="1" zero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99" t="s">
        <v>1972</v>
      </c>
      <c r="B1" s="2300"/>
      <c r="C1" s="2300"/>
      <c r="D1" s="2300"/>
      <c r="E1" s="2300"/>
      <c r="F1" s="2300"/>
      <c r="G1" s="2300"/>
      <c r="H1" s="2300"/>
      <c r="I1" s="2300"/>
      <c r="J1" s="2300"/>
      <c r="K1" s="2300"/>
      <c r="L1" s="2300"/>
      <c r="M1" s="2300"/>
      <c r="N1" s="2300"/>
      <c r="O1" s="2300"/>
      <c r="P1" s="2300"/>
      <c r="Q1" s="2300"/>
      <c r="R1" s="2300"/>
      <c r="S1" s="2300"/>
      <c r="T1" s="2300"/>
      <c r="U1" s="2300"/>
      <c r="V1" s="2300"/>
      <c r="W1" s="2300"/>
      <c r="X1" s="2300"/>
      <c r="Y1" s="2300"/>
      <c r="Z1" s="2300"/>
      <c r="AA1" s="2300"/>
      <c r="AB1" s="2300"/>
      <c r="AC1" s="2300"/>
      <c r="AD1" s="2300"/>
      <c r="AE1" s="2300"/>
      <c r="AF1" s="2300"/>
      <c r="AG1" s="2300"/>
      <c r="AH1" s="2300"/>
      <c r="AI1" s="2300"/>
      <c r="AJ1" s="2300"/>
      <c r="AK1" s="2300"/>
      <c r="AL1" s="2300"/>
      <c r="AM1" s="2300"/>
      <c r="AN1" s="2300"/>
    </row>
    <row r="2" spans="1:40" ht="13.8" thickBot="1">
      <c r="A2" s="2301"/>
      <c r="B2" s="2301"/>
      <c r="C2" s="2301"/>
      <c r="D2" s="2301"/>
      <c r="E2" s="2301"/>
      <c r="F2" s="2301"/>
      <c r="G2" s="2301"/>
      <c r="H2" s="2301"/>
      <c r="I2" s="2301"/>
      <c r="J2" s="2301"/>
      <c r="K2" s="2301"/>
      <c r="L2" s="2301"/>
      <c r="M2" s="2301"/>
      <c r="N2" s="2301"/>
      <c r="O2" s="2301"/>
      <c r="P2" s="2301"/>
      <c r="Q2" s="2301"/>
      <c r="R2" s="2301"/>
      <c r="S2" s="2301"/>
      <c r="T2" s="2301"/>
      <c r="U2" s="2301"/>
      <c r="V2" s="2301"/>
      <c r="W2" s="2301"/>
      <c r="X2" s="2301"/>
      <c r="Y2" s="2301"/>
      <c r="Z2" s="2301"/>
      <c r="AA2" s="2301"/>
      <c r="AB2" s="2301"/>
      <c r="AC2" s="2301"/>
      <c r="AD2" s="2301"/>
      <c r="AE2" s="2301"/>
      <c r="AF2" s="2301"/>
      <c r="AG2" s="2301"/>
      <c r="AH2" s="2301"/>
      <c r="AI2" s="2301"/>
      <c r="AJ2" s="2301"/>
      <c r="AK2" s="2301"/>
      <c r="AL2" s="2301"/>
      <c r="AM2" s="2301"/>
      <c r="AN2" s="2301"/>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4" t="s">
        <v>2070</v>
      </c>
      <c r="AA6" s="2"/>
    </row>
    <row r="7" spans="1:40" ht="13.95" customHeight="1">
      <c r="B7" s="9"/>
      <c r="C7" s="10"/>
      <c r="D7" s="10"/>
      <c r="E7" s="10"/>
      <c r="F7" s="10"/>
      <c r="G7" s="10"/>
      <c r="H7" s="10"/>
      <c r="I7" s="10"/>
      <c r="J7" s="10"/>
      <c r="K7" s="10"/>
      <c r="L7" s="10"/>
      <c r="M7" s="10"/>
      <c r="N7" s="10"/>
      <c r="O7" s="10"/>
      <c r="P7" s="10"/>
      <c r="Q7" s="10"/>
      <c r="R7" s="10"/>
      <c r="S7" s="10"/>
      <c r="T7" s="2279" t="str">
        <f>IF(T25=100%,'Sources and Basis Breakdown'!G2,'Sources and Basis Breakdown'!F2)</f>
        <v>70% PVC for New Const/
Rehabilitation
DDA/QCT
Building(s)</v>
      </c>
      <c r="U7" s="2279"/>
      <c r="V7" s="2279"/>
      <c r="W7" s="2279"/>
      <c r="X7" s="2279"/>
      <c r="Y7" s="2279" t="str">
        <f>IF(T25=100%," ",'Sources and Basis Breakdown'!G2)</f>
        <v>70% PVC for New Const/
Rehabilitation
NON-DDA/
NON-QCT Building(s)</v>
      </c>
      <c r="Z7" s="2279"/>
      <c r="AA7" s="2279"/>
      <c r="AB7" s="2279"/>
      <c r="AC7" s="2279"/>
      <c r="AD7" s="2279" t="str">
        <f>IF(T25=100%,'Sources and Basis Breakdown'!J2,'Sources and Basis Breakdown'!I2)</f>
        <v>30% PVC for Acquisition
DDA/QCT Building(s)</v>
      </c>
      <c r="AE7" s="2279"/>
      <c r="AF7" s="2279"/>
      <c r="AG7" s="2279"/>
      <c r="AH7" s="2279"/>
      <c r="AI7" s="2279" t="str">
        <f>IF(T25=100%," ",'Sources and Basis Breakdown'!J2)</f>
        <v>30% PVC for Acquisition
NON-DDA/
NON-QCT Building(s)</v>
      </c>
      <c r="AJ7" s="2279"/>
      <c r="AK7" s="2279"/>
      <c r="AL7" s="2279"/>
      <c r="AM7" s="2279"/>
    </row>
    <row r="8" spans="1:40" ht="12.75" customHeight="1">
      <c r="B8" s="337"/>
      <c r="C8" s="1"/>
      <c r="D8" s="1"/>
      <c r="E8" s="1"/>
      <c r="F8" s="1"/>
      <c r="G8" s="1"/>
      <c r="H8" s="1"/>
      <c r="I8" s="1"/>
      <c r="J8" s="1"/>
      <c r="K8" s="1"/>
      <c r="L8" s="1"/>
      <c r="M8" s="1"/>
      <c r="N8" s="1"/>
      <c r="O8" s="1"/>
      <c r="P8" s="1"/>
      <c r="Q8" s="1"/>
      <c r="R8" s="1"/>
      <c r="S8" s="1"/>
      <c r="T8" s="2279"/>
      <c r="U8" s="2279"/>
      <c r="V8" s="2279"/>
      <c r="W8" s="2279"/>
      <c r="X8" s="2279"/>
      <c r="Y8" s="2279"/>
      <c r="Z8" s="2279"/>
      <c r="AA8" s="2279"/>
      <c r="AB8" s="2279"/>
      <c r="AC8" s="2279"/>
      <c r="AD8" s="2279"/>
      <c r="AE8" s="2279"/>
      <c r="AF8" s="2279"/>
      <c r="AG8" s="2279"/>
      <c r="AH8" s="2279"/>
      <c r="AI8" s="2279"/>
      <c r="AJ8" s="2279"/>
      <c r="AK8" s="2279"/>
      <c r="AL8" s="2279"/>
      <c r="AM8" s="2279"/>
    </row>
    <row r="9" spans="1:40" ht="13.2">
      <c r="B9" s="337"/>
      <c r="C9" s="1"/>
      <c r="D9" s="1"/>
      <c r="E9" s="1"/>
      <c r="F9" s="1"/>
      <c r="G9" s="1"/>
      <c r="H9" s="1"/>
      <c r="I9" s="1"/>
      <c r="J9" s="1"/>
      <c r="K9" s="1"/>
      <c r="L9" s="1"/>
      <c r="M9" s="1"/>
      <c r="N9" s="1"/>
      <c r="O9" s="1"/>
      <c r="P9" s="1"/>
      <c r="Q9" s="1"/>
      <c r="R9" s="1"/>
      <c r="S9" s="1"/>
      <c r="T9" s="2279"/>
      <c r="U9" s="2279"/>
      <c r="V9" s="2279"/>
      <c r="W9" s="2279"/>
      <c r="X9" s="2279"/>
      <c r="Y9" s="2279"/>
      <c r="Z9" s="2279"/>
      <c r="AA9" s="2279"/>
      <c r="AB9" s="2279"/>
      <c r="AC9" s="2279"/>
      <c r="AD9" s="2279"/>
      <c r="AE9" s="2279"/>
      <c r="AF9" s="2279"/>
      <c r="AG9" s="2279"/>
      <c r="AH9" s="2279"/>
      <c r="AI9" s="2279"/>
      <c r="AJ9" s="2279"/>
      <c r="AK9" s="2279"/>
      <c r="AL9" s="2279"/>
      <c r="AM9" s="2279"/>
    </row>
    <row r="10" spans="1:40" ht="41.7" customHeight="1">
      <c r="B10" s="277"/>
      <c r="C10" s="278"/>
      <c r="D10" s="278"/>
      <c r="E10" s="278"/>
      <c r="F10" s="278"/>
      <c r="G10" s="278"/>
      <c r="H10" s="278"/>
      <c r="I10" s="278"/>
      <c r="J10" s="278"/>
      <c r="K10" s="278"/>
      <c r="L10" s="278"/>
      <c r="M10" s="278"/>
      <c r="N10" s="278"/>
      <c r="O10" s="278"/>
      <c r="P10" s="278"/>
      <c r="Q10" s="278"/>
      <c r="R10" s="278"/>
      <c r="S10" s="278"/>
      <c r="T10" s="2279"/>
      <c r="U10" s="2279"/>
      <c r="V10" s="2279"/>
      <c r="W10" s="2279"/>
      <c r="X10" s="2279"/>
      <c r="Y10" s="2279"/>
      <c r="Z10" s="2279"/>
      <c r="AA10" s="2279"/>
      <c r="AB10" s="2279"/>
      <c r="AC10" s="2279"/>
      <c r="AD10" s="2279"/>
      <c r="AE10" s="2279"/>
      <c r="AF10" s="2279"/>
      <c r="AG10" s="2279"/>
      <c r="AH10" s="2279"/>
      <c r="AI10" s="2279"/>
      <c r="AJ10" s="2279"/>
      <c r="AK10" s="2279"/>
      <c r="AL10" s="2279"/>
      <c r="AM10" s="2279"/>
    </row>
    <row r="11" spans="1:40" ht="13.2">
      <c r="B11" s="2276" t="s">
        <v>566</v>
      </c>
      <c r="C11" s="2277"/>
      <c r="D11" s="2277"/>
      <c r="E11" s="2277"/>
      <c r="F11" s="2277"/>
      <c r="G11" s="2277"/>
      <c r="H11" s="2277"/>
      <c r="I11" s="2277"/>
      <c r="J11" s="2277"/>
      <c r="K11" s="2277"/>
      <c r="L11" s="2277"/>
      <c r="M11" s="2277"/>
      <c r="N11" s="2277"/>
      <c r="O11" s="2277"/>
      <c r="P11" s="2277"/>
      <c r="Q11" s="2277"/>
      <c r="R11" s="2277"/>
      <c r="S11" s="2278"/>
      <c r="T11" s="2316">
        <f>IF('Sources and Basis Breakdown'!F105=0,'Sources and Basis Breakdown'!E105,'Sources and Basis Breakdown'!F105)</f>
        <v>38498808</v>
      </c>
      <c r="U11" s="2304"/>
      <c r="V11" s="2304"/>
      <c r="W11" s="2304"/>
      <c r="X11" s="2304"/>
      <c r="Y11" s="2303">
        <f>IF(Y7=" ",0,IF('Sources and Basis Breakdown'!G105+'Sources and Basis Breakdown'!F105='Sources and Basis Breakdown'!E105,'Sources and Basis Breakdown'!G105,0))</f>
        <v>0</v>
      </c>
      <c r="Z11" s="2304"/>
      <c r="AA11" s="2304"/>
      <c r="AB11" s="2304"/>
      <c r="AC11" s="2304"/>
      <c r="AD11" s="2304">
        <f>IF('Sources and Basis Breakdown'!I105=0,'Sources and Basis Breakdown'!H105,'Sources and Basis Breakdown'!I105)</f>
        <v>0</v>
      </c>
      <c r="AE11" s="2304"/>
      <c r="AF11" s="2304"/>
      <c r="AG11" s="2304"/>
      <c r="AH11" s="2304"/>
      <c r="AI11" s="2304">
        <f>IF(AI7=" ",0,IF('Sources and Basis Breakdown'!I105+'Sources and Basis Breakdown'!J105='Sources and Basis Breakdown'!H105,'Sources and Basis Breakdown'!J105,0))</f>
        <v>0</v>
      </c>
      <c r="AJ11" s="2304"/>
      <c r="AK11" s="2304"/>
      <c r="AL11" s="2304"/>
      <c r="AM11" s="2304"/>
    </row>
    <row r="12" spans="1:40" ht="13.2">
      <c r="B12" s="2309" t="s">
        <v>496</v>
      </c>
      <c r="C12" s="2310"/>
      <c r="D12" s="2310"/>
      <c r="E12" s="2310"/>
      <c r="F12" s="2310"/>
      <c r="G12" s="2310"/>
      <c r="H12" s="2310"/>
      <c r="I12" s="2310"/>
      <c r="J12" s="2310"/>
      <c r="K12" s="2310"/>
      <c r="L12" s="2310"/>
      <c r="M12" s="2310"/>
      <c r="N12" s="2310"/>
      <c r="O12" s="2310"/>
      <c r="P12" s="2310"/>
      <c r="Q12" s="2310"/>
      <c r="R12" s="2310"/>
      <c r="S12" s="2311"/>
      <c r="T12" s="2306"/>
      <c r="U12" s="2307"/>
      <c r="V12" s="2307"/>
      <c r="W12" s="2307"/>
      <c r="X12" s="2308"/>
      <c r="Y12" s="2306"/>
      <c r="Z12" s="2307"/>
      <c r="AA12" s="2307"/>
      <c r="AB12" s="2307"/>
      <c r="AC12" s="2308"/>
      <c r="AD12" s="2306"/>
      <c r="AE12" s="2307"/>
      <c r="AF12" s="2307"/>
      <c r="AG12" s="2307"/>
      <c r="AH12" s="2308"/>
      <c r="AI12" s="2306"/>
      <c r="AJ12" s="2307"/>
      <c r="AK12" s="2307"/>
      <c r="AL12" s="2307"/>
      <c r="AM12" s="2308"/>
    </row>
    <row r="13" spans="1:40" ht="13.2">
      <c r="B13" s="11"/>
      <c r="C13" s="2312" t="s">
        <v>1929</v>
      </c>
      <c r="D13" s="2313"/>
      <c r="E13" s="2313"/>
      <c r="F13" s="2313"/>
      <c r="G13" s="2313"/>
      <c r="H13" s="2313"/>
      <c r="I13" s="2313"/>
      <c r="J13" s="2313"/>
      <c r="K13" s="2313"/>
      <c r="L13" s="2313"/>
      <c r="M13" s="2313"/>
      <c r="N13" s="2313"/>
      <c r="O13" s="2313"/>
      <c r="P13" s="2313"/>
      <c r="Q13" s="2313"/>
      <c r="R13" s="2313"/>
      <c r="S13" s="2314"/>
      <c r="T13" s="2305"/>
      <c r="U13" s="2302"/>
      <c r="V13" s="2302"/>
      <c r="W13" s="2302"/>
      <c r="X13" s="2302"/>
      <c r="Y13" s="2305"/>
      <c r="Z13" s="2302"/>
      <c r="AA13" s="2302"/>
      <c r="AB13" s="2302"/>
      <c r="AC13" s="2302"/>
      <c r="AD13" s="2302"/>
      <c r="AE13" s="2302"/>
      <c r="AF13" s="2302"/>
      <c r="AG13" s="2302"/>
      <c r="AH13" s="2302"/>
      <c r="AI13" s="2302"/>
      <c r="AJ13" s="2302"/>
      <c r="AK13" s="2302"/>
      <c r="AL13" s="2302"/>
      <c r="AM13" s="2302"/>
    </row>
    <row r="14" spans="1:40" ht="13.2">
      <c r="B14" s="11"/>
      <c r="C14" s="2313" t="s">
        <v>841</v>
      </c>
      <c r="D14" s="2313"/>
      <c r="E14" s="2313"/>
      <c r="F14" s="2313"/>
      <c r="G14" s="2313"/>
      <c r="H14" s="2313"/>
      <c r="I14" s="2313"/>
      <c r="J14" s="2313"/>
      <c r="K14" s="2313"/>
      <c r="L14" s="2313"/>
      <c r="M14" s="2313"/>
      <c r="N14" s="2313"/>
      <c r="O14" s="2313"/>
      <c r="P14" s="2313"/>
      <c r="Q14" s="2313"/>
      <c r="R14" s="2313"/>
      <c r="S14" s="2314"/>
      <c r="T14" s="1777"/>
      <c r="U14" s="1811"/>
      <c r="V14" s="1811"/>
      <c r="W14" s="1811"/>
      <c r="X14" s="1811"/>
      <c r="Y14" s="1777"/>
      <c r="Z14" s="1811"/>
      <c r="AA14" s="1811"/>
      <c r="AB14" s="1811"/>
      <c r="AC14" s="1811"/>
      <c r="AD14" s="1811"/>
      <c r="AE14" s="1811"/>
      <c r="AF14" s="1811"/>
      <c r="AG14" s="1811"/>
      <c r="AH14" s="1811"/>
      <c r="AI14" s="1811"/>
      <c r="AJ14" s="1811"/>
      <c r="AK14" s="1811"/>
      <c r="AL14" s="1811"/>
      <c r="AM14" s="1811"/>
    </row>
    <row r="15" spans="1:40" ht="13.2">
      <c r="B15" s="11"/>
      <c r="C15" s="2313" t="s">
        <v>842</v>
      </c>
      <c r="D15" s="2313"/>
      <c r="E15" s="2313"/>
      <c r="F15" s="2313"/>
      <c r="G15" s="2313"/>
      <c r="H15" s="2313"/>
      <c r="I15" s="2313"/>
      <c r="J15" s="2313"/>
      <c r="K15" s="2313"/>
      <c r="L15" s="2313"/>
      <c r="M15" s="2313"/>
      <c r="N15" s="2313"/>
      <c r="O15" s="2313"/>
      <c r="P15" s="2313"/>
      <c r="Q15" s="2313"/>
      <c r="R15" s="2313"/>
      <c r="S15" s="2314"/>
      <c r="T15" s="1777"/>
      <c r="U15" s="1811"/>
      <c r="V15" s="1811"/>
      <c r="W15" s="1811"/>
      <c r="X15" s="1811"/>
      <c r="Y15" s="1777"/>
      <c r="Z15" s="1811"/>
      <c r="AA15" s="1811"/>
      <c r="AB15" s="1811"/>
      <c r="AC15" s="1811"/>
      <c r="AD15" s="1811"/>
      <c r="AE15" s="1811"/>
      <c r="AF15" s="1811"/>
      <c r="AG15" s="1811"/>
      <c r="AH15" s="1811"/>
      <c r="AI15" s="1811"/>
      <c r="AJ15" s="1811"/>
      <c r="AK15" s="1811"/>
      <c r="AL15" s="1811"/>
      <c r="AM15" s="1811"/>
    </row>
    <row r="16" spans="1:40" ht="13.2">
      <c r="B16" s="11"/>
      <c r="C16" s="2312" t="s">
        <v>1117</v>
      </c>
      <c r="D16" s="2312"/>
      <c r="E16" s="2312"/>
      <c r="F16" s="2312"/>
      <c r="G16" s="2312"/>
      <c r="H16" s="2312"/>
      <c r="I16" s="2312"/>
      <c r="J16" s="2312"/>
      <c r="K16" s="2312"/>
      <c r="L16" s="2312"/>
      <c r="M16" s="2312"/>
      <c r="N16" s="2312"/>
      <c r="O16" s="2312"/>
      <c r="P16" s="2312"/>
      <c r="Q16" s="2312"/>
      <c r="R16" s="2312"/>
      <c r="S16" s="2315"/>
      <c r="T16" s="1777"/>
      <c r="U16" s="1811"/>
      <c r="V16" s="1811"/>
      <c r="W16" s="1811"/>
      <c r="X16" s="1811"/>
      <c r="Y16" s="1777"/>
      <c r="Z16" s="1811"/>
      <c r="AA16" s="1811"/>
      <c r="AB16" s="1811"/>
      <c r="AC16" s="1811"/>
      <c r="AD16" s="1811"/>
      <c r="AE16" s="1811"/>
      <c r="AF16" s="1811"/>
      <c r="AG16" s="1811"/>
      <c r="AH16" s="1811"/>
      <c r="AI16" s="1811"/>
      <c r="AJ16" s="1811"/>
      <c r="AK16" s="1811"/>
      <c r="AL16" s="1811"/>
      <c r="AM16" s="1811"/>
    </row>
    <row r="17" spans="1:39" ht="13.2">
      <c r="B17" s="11"/>
      <c r="C17" s="2313" t="s">
        <v>843</v>
      </c>
      <c r="D17" s="2313"/>
      <c r="E17" s="2313"/>
      <c r="F17" s="2313"/>
      <c r="G17" s="2313"/>
      <c r="H17" s="2313"/>
      <c r="I17" s="2313"/>
      <c r="J17" s="2313"/>
      <c r="K17" s="2313"/>
      <c r="L17" s="2313"/>
      <c r="M17" s="2313"/>
      <c r="N17" s="2313"/>
      <c r="O17" s="2313"/>
      <c r="P17" s="2313"/>
      <c r="Q17" s="2313"/>
      <c r="R17" s="2313"/>
      <c r="S17" s="2314"/>
      <c r="T17" s="1777"/>
      <c r="U17" s="1811"/>
      <c r="V17" s="1811"/>
      <c r="W17" s="1811"/>
      <c r="X17" s="1811"/>
      <c r="Y17" s="1777"/>
      <c r="Z17" s="1811"/>
      <c r="AA17" s="1811"/>
      <c r="AB17" s="1811"/>
      <c r="AC17" s="1811"/>
      <c r="AD17" s="1811"/>
      <c r="AE17" s="1811"/>
      <c r="AF17" s="1811"/>
      <c r="AG17" s="1811"/>
      <c r="AH17" s="1811"/>
      <c r="AI17" s="1811"/>
      <c r="AJ17" s="1811"/>
      <c r="AK17" s="1811"/>
      <c r="AL17" s="1811"/>
      <c r="AM17" s="1811"/>
    </row>
    <row r="18" spans="1:39" ht="13.2">
      <c r="B18" s="926"/>
      <c r="C18" s="1875" t="s">
        <v>1348</v>
      </c>
      <c r="D18" s="1875"/>
      <c r="E18" s="1875"/>
      <c r="F18" s="1875"/>
      <c r="G18" s="1875"/>
      <c r="H18" s="1875"/>
      <c r="I18" s="1875"/>
      <c r="J18" s="1875"/>
      <c r="K18" s="1875"/>
      <c r="L18" s="1875"/>
      <c r="M18" s="1875"/>
      <c r="N18" s="1875"/>
      <c r="O18" s="1875"/>
      <c r="P18" s="1875"/>
      <c r="Q18" s="1875"/>
      <c r="R18" s="1875"/>
      <c r="S18" s="1876"/>
      <c r="T18" s="1775"/>
      <c r="U18" s="1776"/>
      <c r="V18" s="1776"/>
      <c r="W18" s="1776"/>
      <c r="X18" s="1777"/>
      <c r="Y18" s="1777"/>
      <c r="Z18" s="1811"/>
      <c r="AA18" s="1811"/>
      <c r="AB18" s="1811"/>
      <c r="AC18" s="1811"/>
      <c r="AD18" s="1811"/>
      <c r="AE18" s="1811"/>
      <c r="AF18" s="1811"/>
      <c r="AG18" s="1811"/>
      <c r="AH18" s="1811"/>
      <c r="AI18" s="1811"/>
      <c r="AJ18" s="1811"/>
      <c r="AK18" s="1811"/>
      <c r="AL18" s="1811"/>
      <c r="AM18" s="1811"/>
    </row>
    <row r="19" spans="1:39" ht="13.2">
      <c r="B19" s="766"/>
      <c r="C19" s="1875" t="s">
        <v>1348</v>
      </c>
      <c r="D19" s="1875"/>
      <c r="E19" s="1875"/>
      <c r="F19" s="1875"/>
      <c r="G19" s="1875"/>
      <c r="H19" s="1875"/>
      <c r="I19" s="1875"/>
      <c r="J19" s="1875"/>
      <c r="K19" s="1875"/>
      <c r="L19" s="1875"/>
      <c r="M19" s="1875"/>
      <c r="N19" s="1875"/>
      <c r="O19" s="1875"/>
      <c r="P19" s="1875"/>
      <c r="Q19" s="1875"/>
      <c r="R19" s="1875"/>
      <c r="S19" s="1876"/>
      <c r="T19" s="1777"/>
      <c r="U19" s="1811"/>
      <c r="V19" s="1811"/>
      <c r="W19" s="1811"/>
      <c r="X19" s="1811"/>
      <c r="Y19" s="1777"/>
      <c r="Z19" s="1811"/>
      <c r="AA19" s="1811"/>
      <c r="AB19" s="1811"/>
      <c r="AC19" s="1811"/>
      <c r="AD19" s="1811"/>
      <c r="AE19" s="1811"/>
      <c r="AF19" s="1811"/>
      <c r="AG19" s="1811"/>
      <c r="AH19" s="1811"/>
      <c r="AI19" s="1811"/>
      <c r="AJ19" s="1811"/>
      <c r="AK19" s="1811"/>
      <c r="AL19" s="1811"/>
      <c r="AM19" s="1811"/>
    </row>
    <row r="20" spans="1:39" ht="13.2">
      <c r="B20" s="2276" t="s">
        <v>844</v>
      </c>
      <c r="C20" s="2277"/>
      <c r="D20" s="2277"/>
      <c r="E20" s="2277"/>
      <c r="F20" s="2277"/>
      <c r="G20" s="2277"/>
      <c r="H20" s="2277"/>
      <c r="I20" s="2277"/>
      <c r="J20" s="2277"/>
      <c r="K20" s="2277"/>
      <c r="L20" s="2277"/>
      <c r="M20" s="2277"/>
      <c r="N20" s="2277"/>
      <c r="O20" s="2277"/>
      <c r="P20" s="2277"/>
      <c r="Q20" s="2277"/>
      <c r="R20" s="2277"/>
      <c r="S20" s="2278"/>
      <c r="T20" s="2271">
        <f>SUM(T13:X19)</f>
        <v>0</v>
      </c>
      <c r="U20" s="2272"/>
      <c r="V20" s="2272"/>
      <c r="W20" s="2272"/>
      <c r="X20" s="2272"/>
      <c r="Y20" s="2271">
        <f>SUM(Y13:AC19)</f>
        <v>0</v>
      </c>
      <c r="Z20" s="2272"/>
      <c r="AA20" s="2272"/>
      <c r="AB20" s="2272"/>
      <c r="AC20" s="2272"/>
      <c r="AD20" s="2272">
        <f>SUM(AD13:AH19)</f>
        <v>0</v>
      </c>
      <c r="AE20" s="2272"/>
      <c r="AF20" s="2272"/>
      <c r="AG20" s="2272"/>
      <c r="AH20" s="2272"/>
      <c r="AI20" s="2272">
        <f>SUM(AI13:AM19)</f>
        <v>0</v>
      </c>
      <c r="AJ20" s="2272"/>
      <c r="AK20" s="2272"/>
      <c r="AL20" s="2272"/>
      <c r="AM20" s="2272"/>
    </row>
    <row r="21" spans="1:39" ht="13.2">
      <c r="B21" s="2276" t="s">
        <v>1928</v>
      </c>
      <c r="C21" s="2277"/>
      <c r="D21" s="2277"/>
      <c r="E21" s="2277"/>
      <c r="F21" s="2277"/>
      <c r="G21" s="2277"/>
      <c r="H21" s="2277"/>
      <c r="I21" s="2277"/>
      <c r="J21" s="2277"/>
      <c r="K21" s="2277"/>
      <c r="L21" s="2277"/>
      <c r="M21" s="2277"/>
      <c r="N21" s="2277"/>
      <c r="O21" s="2277"/>
      <c r="P21" s="2277"/>
      <c r="Q21" s="2277"/>
      <c r="R21" s="2277"/>
      <c r="S21" s="2278"/>
      <c r="T21" s="1777">
        <v>13849855</v>
      </c>
      <c r="U21" s="1811"/>
      <c r="V21" s="1811"/>
      <c r="W21" s="1811"/>
      <c r="X21" s="1811"/>
      <c r="Y21" s="1777"/>
      <c r="Z21" s="1811"/>
      <c r="AA21" s="1811"/>
      <c r="AB21" s="1811"/>
      <c r="AC21" s="1811"/>
      <c r="AD21" s="1811"/>
      <c r="AE21" s="1811"/>
      <c r="AF21" s="1811"/>
      <c r="AG21" s="1811"/>
      <c r="AH21" s="1811"/>
      <c r="AI21" s="1775"/>
      <c r="AJ21" s="1776"/>
      <c r="AK21" s="1776"/>
      <c r="AL21" s="1776"/>
      <c r="AM21" s="1777"/>
    </row>
    <row r="22" spans="1:39" ht="13.2">
      <c r="B22" s="2276" t="s">
        <v>845</v>
      </c>
      <c r="C22" s="2277"/>
      <c r="D22" s="2277"/>
      <c r="E22" s="2277"/>
      <c r="F22" s="2277"/>
      <c r="G22" s="2277"/>
      <c r="H22" s="2277"/>
      <c r="I22" s="2277"/>
      <c r="J22" s="2277"/>
      <c r="K22" s="2277"/>
      <c r="L22" s="2277"/>
      <c r="M22" s="2277"/>
      <c r="N22" s="2277"/>
      <c r="O22" s="2277"/>
      <c r="P22" s="2277"/>
      <c r="Q22" s="2277"/>
      <c r="R22" s="2277"/>
      <c r="S22" s="2278"/>
      <c r="T22" s="2317">
        <f>(T20+T21)*-1</f>
        <v>-13849855</v>
      </c>
      <c r="U22" s="2318"/>
      <c r="V22" s="2318"/>
      <c r="W22" s="2318"/>
      <c r="X22" s="2318"/>
      <c r="Y22" s="2317">
        <f>(Y20+Y21)*-1</f>
        <v>0</v>
      </c>
      <c r="Z22" s="2318"/>
      <c r="AA22" s="2318"/>
      <c r="AB22" s="2318"/>
      <c r="AC22" s="2318"/>
      <c r="AD22" s="2317">
        <f>(AD20+AD21)*-1</f>
        <v>0</v>
      </c>
      <c r="AE22" s="2318"/>
      <c r="AF22" s="2318"/>
      <c r="AG22" s="2318"/>
      <c r="AH22" s="2318"/>
      <c r="AI22" s="2326">
        <f>(AI20+AI21)*-1</f>
        <v>0</v>
      </c>
      <c r="AJ22" s="2327"/>
      <c r="AK22" s="2327"/>
      <c r="AL22" s="2327"/>
      <c r="AM22" s="2317"/>
    </row>
    <row r="23" spans="1:39" ht="13.2">
      <c r="A23" s="2"/>
      <c r="B23" s="2334" t="s">
        <v>2173</v>
      </c>
      <c r="C23" s="2335"/>
      <c r="D23" s="2335"/>
      <c r="E23" s="2335"/>
      <c r="F23" s="2335"/>
      <c r="G23" s="2335"/>
      <c r="H23" s="2335"/>
      <c r="I23" s="2335"/>
      <c r="J23" s="2335"/>
      <c r="K23" s="2335"/>
      <c r="L23" s="2335"/>
      <c r="M23" s="2335"/>
      <c r="N23" s="2335"/>
      <c r="O23" s="2335"/>
      <c r="P23" s="2335"/>
      <c r="Q23" s="2335"/>
      <c r="R23" s="2335"/>
      <c r="S23" s="2336"/>
      <c r="T23" s="2271">
        <f>T11+T22</f>
        <v>24648953</v>
      </c>
      <c r="U23" s="2272"/>
      <c r="V23" s="2272"/>
      <c r="W23" s="2272"/>
      <c r="X23" s="2272"/>
      <c r="Y23" s="2271">
        <f>Y11+Y22</f>
        <v>0</v>
      </c>
      <c r="Z23" s="2272"/>
      <c r="AA23" s="2272"/>
      <c r="AB23" s="2272"/>
      <c r="AC23" s="2272"/>
      <c r="AD23" s="2271">
        <f>IF(AD11=AD21,0,AD11)</f>
        <v>0</v>
      </c>
      <c r="AE23" s="2272"/>
      <c r="AF23" s="2272"/>
      <c r="AG23" s="2272"/>
      <c r="AH23" s="2272"/>
      <c r="AI23" s="2271">
        <f>IF(AI11=AI21,0,AI11)</f>
        <v>0</v>
      </c>
      <c r="AJ23" s="2272"/>
      <c r="AK23" s="2272"/>
      <c r="AL23" s="2272"/>
      <c r="AM23" s="2272"/>
    </row>
    <row r="24" spans="1:39" ht="13.2">
      <c r="B24" s="2276" t="s">
        <v>1349</v>
      </c>
      <c r="C24" s="2277"/>
      <c r="D24" s="2277"/>
      <c r="E24" s="2277"/>
      <c r="F24" s="2277"/>
      <c r="G24" s="2277"/>
      <c r="H24" s="2277"/>
      <c r="I24" s="2277"/>
      <c r="J24" s="2277"/>
      <c r="K24" s="2277"/>
      <c r="L24" s="2277"/>
      <c r="M24" s="2277"/>
      <c r="N24" s="2277"/>
      <c r="O24" s="2277"/>
      <c r="P24" s="2277"/>
      <c r="Q24" s="2277"/>
      <c r="R24" s="2277"/>
      <c r="S24" s="2278"/>
      <c r="T24" s="2337">
        <f>Application!AJ1002</f>
        <v>41428122</v>
      </c>
      <c r="U24" s="2338"/>
      <c r="V24" s="2338"/>
      <c r="W24" s="2338"/>
      <c r="X24" s="2338"/>
      <c r="Y24" s="2338"/>
      <c r="Z24" s="2338"/>
      <c r="AA24" s="2338"/>
      <c r="AB24" s="2338"/>
      <c r="AC24" s="2338"/>
      <c r="AD24" s="2338"/>
      <c r="AE24" s="2338"/>
      <c r="AF24" s="2338"/>
      <c r="AG24" s="2338"/>
      <c r="AH24" s="2338"/>
      <c r="AI24" s="2338"/>
      <c r="AJ24" s="2338"/>
      <c r="AK24" s="2338"/>
      <c r="AL24" s="2338"/>
      <c r="AM24" s="2271"/>
    </row>
    <row r="25" spans="1:39" ht="13.2">
      <c r="B25" s="2328" t="s">
        <v>2175</v>
      </c>
      <c r="C25" s="2329"/>
      <c r="D25" s="2329"/>
      <c r="E25" s="2329"/>
      <c r="F25" s="2329"/>
      <c r="G25" s="2329"/>
      <c r="H25" s="2329"/>
      <c r="I25" s="2329"/>
      <c r="J25" s="2329"/>
      <c r="K25" s="2329"/>
      <c r="L25" s="2329"/>
      <c r="M25" s="2329"/>
      <c r="N25" s="2329"/>
      <c r="O25" s="2329"/>
      <c r="P25" s="2329"/>
      <c r="Q25" s="2329"/>
      <c r="R25" s="2329"/>
      <c r="S25" s="2330"/>
      <c r="T25" s="2319">
        <f>IF(OR(AND(Application!T193="no",Application!T194="no",Application!T196="no",Application!Y211="no"),Application!T195="yes"),1,1.3)</f>
        <v>1.3</v>
      </c>
      <c r="U25" s="2320"/>
      <c r="V25" s="2320"/>
      <c r="W25" s="2320"/>
      <c r="X25" s="2320"/>
      <c r="Y25" s="2319">
        <v>1</v>
      </c>
      <c r="Z25" s="2320"/>
      <c r="AA25" s="2320"/>
      <c r="AB25" s="2320"/>
      <c r="AC25" s="2323"/>
      <c r="AD25" s="2319">
        <v>1</v>
      </c>
      <c r="AE25" s="2320"/>
      <c r="AF25" s="2320"/>
      <c r="AG25" s="2320"/>
      <c r="AH25" s="2323"/>
      <c r="AI25" s="2319">
        <v>1</v>
      </c>
      <c r="AJ25" s="2320"/>
      <c r="AK25" s="2320"/>
      <c r="AL25" s="2320"/>
      <c r="AM25" s="2323"/>
    </row>
    <row r="26" spans="1:39" ht="13.2">
      <c r="B26" s="2276" t="s">
        <v>847</v>
      </c>
      <c r="C26" s="2277"/>
      <c r="D26" s="2277"/>
      <c r="E26" s="2277"/>
      <c r="F26" s="2277"/>
      <c r="G26" s="2277"/>
      <c r="H26" s="2277"/>
      <c r="I26" s="2277"/>
      <c r="J26" s="2277"/>
      <c r="K26" s="2277"/>
      <c r="L26" s="2277"/>
      <c r="M26" s="2277"/>
      <c r="N26" s="2277"/>
      <c r="O26" s="2277"/>
      <c r="P26" s="2277"/>
      <c r="Q26" s="2277"/>
      <c r="R26" s="2277"/>
      <c r="S26" s="2278"/>
      <c r="T26" s="2324">
        <f>T23*T25</f>
        <v>32043638.900000002</v>
      </c>
      <c r="U26" s="2325"/>
      <c r="V26" s="2325"/>
      <c r="W26" s="2325"/>
      <c r="X26" s="2325"/>
      <c r="Y26" s="2324">
        <f>Y23*Y25</f>
        <v>0</v>
      </c>
      <c r="Z26" s="2325"/>
      <c r="AA26" s="2325"/>
      <c r="AB26" s="2325"/>
      <c r="AC26" s="2325"/>
      <c r="AD26" s="2324">
        <f>AD23*AD25</f>
        <v>0</v>
      </c>
      <c r="AE26" s="2325"/>
      <c r="AF26" s="2325"/>
      <c r="AG26" s="2325"/>
      <c r="AH26" s="2325"/>
      <c r="AI26" s="2324">
        <f>AI23*AI25</f>
        <v>0</v>
      </c>
      <c r="AJ26" s="2325"/>
      <c r="AK26" s="2325"/>
      <c r="AL26" s="2325"/>
      <c r="AM26" s="2325"/>
    </row>
    <row r="27" spans="1:39" ht="13.2">
      <c r="A27" s="7"/>
      <c r="B27" s="2331" t="s">
        <v>978</v>
      </c>
      <c r="C27" s="2332"/>
      <c r="D27" s="2332"/>
      <c r="E27" s="2332"/>
      <c r="F27" s="2332"/>
      <c r="G27" s="2332"/>
      <c r="H27" s="2332"/>
      <c r="I27" s="2332"/>
      <c r="J27" s="2332"/>
      <c r="K27" s="2332"/>
      <c r="L27" s="2332"/>
      <c r="M27" s="2332"/>
      <c r="N27" s="2332"/>
      <c r="O27" s="2332"/>
      <c r="P27" s="2332"/>
      <c r="Q27" s="2332"/>
      <c r="R27" s="2332"/>
      <c r="S27" s="2333"/>
      <c r="T27" s="2321">
        <f>Application!AG438</f>
        <v>1</v>
      </c>
      <c r="U27" s="2322"/>
      <c r="V27" s="2322"/>
      <c r="W27" s="2322"/>
      <c r="X27" s="2322"/>
      <c r="Y27" s="2321">
        <f>Application!AG438</f>
        <v>1</v>
      </c>
      <c r="Z27" s="2322"/>
      <c r="AA27" s="2322"/>
      <c r="AB27" s="2322"/>
      <c r="AC27" s="2322"/>
      <c r="AD27" s="2321">
        <f>Application!AG438</f>
        <v>1</v>
      </c>
      <c r="AE27" s="2322"/>
      <c r="AF27" s="2322"/>
      <c r="AG27" s="2322"/>
      <c r="AH27" s="2322"/>
      <c r="AI27" s="2321">
        <f>Application!AG438</f>
        <v>1</v>
      </c>
      <c r="AJ27" s="2322"/>
      <c r="AK27" s="2322"/>
      <c r="AL27" s="2322"/>
      <c r="AM27" s="2322"/>
    </row>
    <row r="28" spans="1:39" ht="12.75" customHeight="1">
      <c r="A28" s="6"/>
      <c r="B28" s="2276" t="s">
        <v>925</v>
      </c>
      <c r="C28" s="2277"/>
      <c r="D28" s="2277"/>
      <c r="E28" s="2277"/>
      <c r="F28" s="2277"/>
      <c r="G28" s="2277"/>
      <c r="H28" s="2277"/>
      <c r="I28" s="2277"/>
      <c r="J28" s="2277"/>
      <c r="K28" s="2277"/>
      <c r="L28" s="2277"/>
      <c r="M28" s="2277"/>
      <c r="N28" s="2277"/>
      <c r="O28" s="2277"/>
      <c r="P28" s="2277"/>
      <c r="Q28" s="2277"/>
      <c r="R28" s="2277"/>
      <c r="S28" s="2278"/>
      <c r="T28" s="1787">
        <f>IF(ISERROR((T26*T27)),0,(T26*T27))</f>
        <v>32043638.900000002</v>
      </c>
      <c r="U28" s="2293"/>
      <c r="V28" s="2293"/>
      <c r="W28" s="2293"/>
      <c r="X28" s="2293"/>
      <c r="Y28" s="1787">
        <f>IF(ISERROR((Y26*Y27)),0,(Y26*Y27))</f>
        <v>0</v>
      </c>
      <c r="Z28" s="2293"/>
      <c r="AA28" s="2293"/>
      <c r="AB28" s="2293"/>
      <c r="AC28" s="2293"/>
      <c r="AD28" s="1787">
        <f>IF(ISERROR((AD26*AD27)),0,(AD26*AD27))</f>
        <v>0</v>
      </c>
      <c r="AE28" s="2293"/>
      <c r="AF28" s="2293"/>
      <c r="AG28" s="2293"/>
      <c r="AH28" s="2293"/>
      <c r="AI28" s="1787">
        <f>IF(ISERROR((AI26*AI27)),0,(AI26*AI27))</f>
        <v>0</v>
      </c>
      <c r="AJ28" s="2293"/>
      <c r="AK28" s="2293"/>
      <c r="AL28" s="2293"/>
      <c r="AM28" s="2293"/>
    </row>
    <row r="29" spans="1:39" ht="13.2">
      <c r="B29" s="2276" t="s">
        <v>689</v>
      </c>
      <c r="C29" s="2277"/>
      <c r="D29" s="2277"/>
      <c r="E29" s="2277"/>
      <c r="F29" s="2277"/>
      <c r="G29" s="2277"/>
      <c r="H29" s="2277"/>
      <c r="I29" s="2277"/>
      <c r="J29" s="2277"/>
      <c r="K29" s="2277"/>
      <c r="L29" s="2277"/>
      <c r="M29" s="2277"/>
      <c r="N29" s="2277"/>
      <c r="O29" s="2277"/>
      <c r="P29" s="2277"/>
      <c r="Q29" s="2277"/>
      <c r="R29" s="2277"/>
      <c r="S29" s="2278"/>
      <c r="T29" s="2337">
        <f>T28+Y28+AD28+AI28</f>
        <v>32043638.900000002</v>
      </c>
      <c r="U29" s="2338"/>
      <c r="V29" s="2338"/>
      <c r="W29" s="2338"/>
      <c r="X29" s="2338"/>
      <c r="Y29" s="2338"/>
      <c r="Z29" s="2338"/>
      <c r="AA29" s="2338"/>
      <c r="AB29" s="2338"/>
      <c r="AC29" s="2338"/>
      <c r="AD29" s="2338"/>
      <c r="AE29" s="2338"/>
      <c r="AF29" s="2338"/>
      <c r="AG29" s="2338"/>
      <c r="AH29" s="2338"/>
      <c r="AI29" s="2338"/>
      <c r="AJ29" s="2338"/>
      <c r="AK29" s="2338"/>
      <c r="AL29" s="2338"/>
      <c r="AM29" s="2271"/>
    </row>
    <row r="30" spans="1:39" ht="12.75" customHeight="1">
      <c r="B30" s="2298" t="s">
        <v>2174</v>
      </c>
      <c r="C30" s="2298"/>
      <c r="D30" s="2298"/>
      <c r="E30" s="2298"/>
      <c r="F30" s="2298"/>
      <c r="G30" s="2298"/>
      <c r="H30" s="2298"/>
      <c r="I30" s="2298"/>
      <c r="J30" s="2298"/>
      <c r="K30" s="2298"/>
      <c r="L30" s="2298"/>
      <c r="M30" s="2298"/>
      <c r="N30" s="2298"/>
      <c r="O30" s="2298"/>
      <c r="P30" s="2298"/>
      <c r="Q30" s="2298"/>
      <c r="R30" s="2298"/>
      <c r="S30" s="2298"/>
      <c r="T30" s="2298"/>
      <c r="U30" s="2298"/>
      <c r="V30" s="2298"/>
      <c r="W30" s="2298"/>
      <c r="X30" s="2298"/>
      <c r="Y30" s="2298"/>
      <c r="Z30" s="2298"/>
      <c r="AA30" s="2298"/>
      <c r="AB30" s="2298"/>
      <c r="AC30" s="2298"/>
      <c r="AD30" s="2298"/>
      <c r="AE30" s="2298"/>
      <c r="AF30" s="2298"/>
      <c r="AG30" s="2298"/>
      <c r="AH30" s="2298"/>
      <c r="AI30" s="2298"/>
      <c r="AJ30" s="2298"/>
      <c r="AK30" s="2298"/>
      <c r="AL30" s="2298"/>
      <c r="AM30" s="2298"/>
    </row>
    <row r="31" spans="1:39" ht="13.2">
      <c r="B31" s="2260" t="s">
        <v>2178</v>
      </c>
      <c r="C31" s="2260"/>
      <c r="D31" s="2260"/>
      <c r="E31" s="2260"/>
      <c r="F31" s="2260"/>
      <c r="G31" s="2260"/>
      <c r="H31" s="2260"/>
      <c r="I31" s="2260"/>
      <c r="J31" s="2260"/>
      <c r="K31" s="2260"/>
      <c r="L31" s="2260"/>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79" t="s">
        <v>1810</v>
      </c>
      <c r="Z35" s="2279"/>
      <c r="AA35" s="2279"/>
      <c r="AB35" s="2279"/>
      <c r="AC35" s="2279"/>
      <c r="AD35" s="2261" t="s">
        <v>46</v>
      </c>
      <c r="AE35" s="2261"/>
      <c r="AF35" s="2261"/>
      <c r="AG35" s="2261"/>
      <c r="AH35" s="226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9"/>
      <c r="Z36" s="2279"/>
      <c r="AA36" s="2279"/>
      <c r="AB36" s="2279"/>
      <c r="AC36" s="2279"/>
      <c r="AD36" s="2261"/>
      <c r="AE36" s="2261"/>
      <c r="AF36" s="2261"/>
      <c r="AG36" s="2261"/>
      <c r="AH36" s="2261"/>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9"/>
      <c r="Z37" s="2279"/>
      <c r="AA37" s="2279"/>
      <c r="AB37" s="2279"/>
      <c r="AC37" s="2279"/>
      <c r="AD37" s="2261"/>
      <c r="AE37" s="2261"/>
      <c r="AF37" s="2261"/>
      <c r="AG37" s="2261"/>
      <c r="AH37" s="2261"/>
    </row>
    <row r="38" spans="1:44" ht="12.75" customHeight="1">
      <c r="A38" s="6"/>
      <c r="B38" s="2276" t="s">
        <v>925</v>
      </c>
      <c r="C38" s="2277"/>
      <c r="D38" s="2277"/>
      <c r="E38" s="2277"/>
      <c r="F38" s="2277"/>
      <c r="G38" s="2277"/>
      <c r="H38" s="2277"/>
      <c r="I38" s="2277"/>
      <c r="J38" s="2277"/>
      <c r="K38" s="2277"/>
      <c r="L38" s="2277"/>
      <c r="M38" s="2277"/>
      <c r="N38" s="2277"/>
      <c r="O38" s="2277"/>
      <c r="P38" s="2277"/>
      <c r="Q38" s="2277"/>
      <c r="R38" s="2277"/>
      <c r="S38" s="2277"/>
      <c r="T38" s="2277"/>
      <c r="U38" s="2277"/>
      <c r="V38" s="2277"/>
      <c r="W38" s="2277"/>
      <c r="X38" s="2278"/>
      <c r="Y38" s="2272">
        <f>IF(T24&gt;=(T23+Y23+AD23+AI23),T28+Y28,0)</f>
        <v>32043638.900000002</v>
      </c>
      <c r="Z38" s="2272"/>
      <c r="AA38" s="2272"/>
      <c r="AB38" s="2272"/>
      <c r="AC38" s="2272"/>
      <c r="AD38" s="2272">
        <f>IF(T24&gt;=(T23+Y23+AD23+AI23),AD28+AI28,0)</f>
        <v>0</v>
      </c>
      <c r="AE38" s="2272"/>
      <c r="AF38" s="2272"/>
      <c r="AG38" s="2272"/>
      <c r="AH38" s="2272"/>
    </row>
    <row r="39" spans="1:44" ht="13.2">
      <c r="B39" s="2276" t="s">
        <v>2051</v>
      </c>
      <c r="C39" s="2277"/>
      <c r="D39" s="2277"/>
      <c r="E39" s="2277"/>
      <c r="F39" s="2277"/>
      <c r="G39" s="2277"/>
      <c r="H39" s="2277"/>
      <c r="I39" s="2277"/>
      <c r="J39" s="2277"/>
      <c r="K39" s="2277"/>
      <c r="L39" s="2277"/>
      <c r="M39" s="2277"/>
      <c r="N39" s="2277"/>
      <c r="O39" s="2277"/>
      <c r="P39" s="2277"/>
      <c r="Q39" s="2277"/>
      <c r="R39" s="2277"/>
      <c r="S39" s="2277"/>
      <c r="T39" s="2277"/>
      <c r="U39" s="2277"/>
      <c r="V39" s="2277"/>
      <c r="W39" s="2277"/>
      <c r="X39" s="2278"/>
      <c r="Y39" s="2270">
        <v>0.09</v>
      </c>
      <c r="Z39" s="2270"/>
      <c r="AA39" s="2270"/>
      <c r="AB39" s="2270"/>
      <c r="AC39" s="2270"/>
      <c r="AD39" s="2270">
        <v>0.04</v>
      </c>
      <c r="AE39" s="2270"/>
      <c r="AF39" s="2270"/>
      <c r="AG39" s="2270"/>
      <c r="AH39" s="2270"/>
    </row>
    <row r="40" spans="1:44" ht="12.75" customHeight="1">
      <c r="A40" s="6"/>
      <c r="B40" s="2276" t="s">
        <v>26</v>
      </c>
      <c r="C40" s="2277"/>
      <c r="D40" s="2277"/>
      <c r="E40" s="2277"/>
      <c r="F40" s="2277"/>
      <c r="G40" s="2277"/>
      <c r="H40" s="2277"/>
      <c r="I40" s="2277"/>
      <c r="J40" s="2277"/>
      <c r="K40" s="2277"/>
      <c r="L40" s="2277"/>
      <c r="M40" s="2277"/>
      <c r="N40" s="2277"/>
      <c r="O40" s="2277"/>
      <c r="P40" s="2277"/>
      <c r="Q40" s="2277"/>
      <c r="R40" s="2277"/>
      <c r="S40" s="2277"/>
      <c r="T40" s="2277"/>
      <c r="U40" s="2277"/>
      <c r="V40" s="2277"/>
      <c r="W40" s="2277"/>
      <c r="X40" s="2278"/>
      <c r="Y40" s="2272">
        <f>ROUND(Y38*Y39,0)</f>
        <v>2883928</v>
      </c>
      <c r="Z40" s="2272"/>
      <c r="AA40" s="2272"/>
      <c r="AB40" s="2272"/>
      <c r="AC40" s="2272"/>
      <c r="AD40" s="2271">
        <f>ROUND(AD38*AD39,0)</f>
        <v>0</v>
      </c>
      <c r="AE40" s="2272"/>
      <c r="AF40" s="2272"/>
      <c r="AG40" s="2272"/>
      <c r="AH40" s="2272"/>
    </row>
    <row r="41" spans="1:44" ht="13.2">
      <c r="B41" s="2276" t="s">
        <v>683</v>
      </c>
      <c r="C41" s="2277"/>
      <c r="D41" s="2277"/>
      <c r="E41" s="2277"/>
      <c r="F41" s="2277"/>
      <c r="G41" s="2277"/>
      <c r="H41" s="2277"/>
      <c r="I41" s="2277"/>
      <c r="J41" s="2277"/>
      <c r="K41" s="2277"/>
      <c r="L41" s="2277"/>
      <c r="M41" s="2277"/>
      <c r="N41" s="2277"/>
      <c r="O41" s="2277"/>
      <c r="P41" s="2277"/>
      <c r="Q41" s="2277"/>
      <c r="R41" s="2277"/>
      <c r="S41" s="2277"/>
      <c r="T41" s="2277"/>
      <c r="U41" s="2277"/>
      <c r="V41" s="2277"/>
      <c r="W41" s="2277"/>
      <c r="X41" s="2278"/>
      <c r="Y41" s="2273">
        <f>IF(Application!Y211="No",'Basis &amp; Credits'!AR42,AR43)</f>
        <v>2883928</v>
      </c>
      <c r="Z41" s="2274"/>
      <c r="AA41" s="2274"/>
      <c r="AB41" s="2274"/>
      <c r="AC41" s="2274"/>
      <c r="AD41" s="2274"/>
      <c r="AE41" s="2274"/>
      <c r="AF41" s="2274"/>
      <c r="AG41" s="2274"/>
      <c r="AH41" s="2275"/>
    </row>
    <row r="42" spans="1:44" ht="12.75" customHeight="1">
      <c r="A42" s="6"/>
      <c r="B42" s="2292" t="s">
        <v>2052</v>
      </c>
      <c r="C42" s="2292"/>
      <c r="D42" s="2292"/>
      <c r="E42" s="2292"/>
      <c r="F42" s="2292"/>
      <c r="G42" s="2292"/>
      <c r="H42" s="2292"/>
      <c r="I42" s="2292"/>
      <c r="J42" s="2292"/>
      <c r="K42" s="2292"/>
      <c r="L42" s="2292"/>
      <c r="M42" s="2292"/>
      <c r="N42" s="2292"/>
      <c r="O42" s="2292"/>
      <c r="P42" s="2292"/>
      <c r="Q42" s="2292"/>
      <c r="R42" s="2292"/>
      <c r="S42" s="2292"/>
      <c r="T42" s="2292"/>
      <c r="U42" s="2292"/>
      <c r="V42" s="2292"/>
      <c r="W42" s="2292"/>
      <c r="X42" s="2292"/>
      <c r="Y42" s="2292"/>
      <c r="Z42" s="2292"/>
      <c r="AA42" s="2292"/>
      <c r="AB42" s="2292"/>
      <c r="AC42" s="2292"/>
      <c r="AD42" s="2292"/>
      <c r="AE42" s="2292"/>
      <c r="AF42" s="2292"/>
      <c r="AG42" s="2292"/>
      <c r="AH42" s="2292"/>
      <c r="AI42" s="946"/>
      <c r="AJ42" s="946"/>
      <c r="AK42" s="946"/>
      <c r="AL42" s="946"/>
      <c r="AM42" s="946"/>
      <c r="AN42" s="946"/>
      <c r="AR42" s="2">
        <f>IF((Y40+AD40)&gt;2500000,2500000,Y40+AD40)</f>
        <v>2500000</v>
      </c>
    </row>
    <row r="43" spans="1:44" ht="13.2">
      <c r="B43" s="930"/>
      <c r="C43" s="930"/>
      <c r="D43" s="930"/>
      <c r="E43" s="930"/>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R43" s="2">
        <f>IF((Y40+AD40)&gt;4000000,4000000,Y40+AD40)</f>
        <v>2883928</v>
      </c>
    </row>
    <row r="44" spans="1:44" ht="13.2">
      <c r="A44" s="6"/>
      <c r="B44" s="930"/>
      <c r="C44" s="930"/>
      <c r="D44" s="930"/>
      <c r="E44" s="930"/>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row>
    <row r="45" spans="1:44" ht="13.2">
      <c r="A45" s="6" t="s">
        <v>131</v>
      </c>
      <c r="C45" s="6" t="s">
        <v>281</v>
      </c>
    </row>
    <row r="46" spans="1:44" ht="13.2">
      <c r="D46" s="6" t="s">
        <v>282</v>
      </c>
      <c r="AB46" s="2267">
        <f>'Sources and Uses Budget'!B104-'Sources and Uses Budget'!$B$15</f>
        <v>48114421</v>
      </c>
      <c r="AC46" s="2268"/>
      <c r="AD46" s="2268"/>
      <c r="AE46" s="2268"/>
      <c r="AF46" s="2269"/>
    </row>
    <row r="47" spans="1:44" ht="12.75" customHeight="1">
      <c r="D47" s="6" t="s">
        <v>919</v>
      </c>
      <c r="AB47" s="2267">
        <f>Application!AO644-MIN('Sources and Uses Budget'!B15,Application!AG388)</f>
        <v>21441578</v>
      </c>
      <c r="AC47" s="2268"/>
      <c r="AD47" s="2268"/>
      <c r="AE47" s="2268"/>
      <c r="AF47" s="2269"/>
    </row>
    <row r="48" spans="1:44" ht="13.2">
      <c r="D48" s="6" t="s">
        <v>422</v>
      </c>
      <c r="AB48" s="2267">
        <f>AB46-AB47</f>
        <v>26672843</v>
      </c>
      <c r="AC48" s="2268"/>
      <c r="AD48" s="2268"/>
      <c r="AE48" s="2268"/>
      <c r="AF48" s="2269"/>
    </row>
    <row r="49" spans="1:40" ht="13.2">
      <c r="D49" s="6" t="s">
        <v>958</v>
      </c>
      <c r="X49" s="2"/>
      <c r="Y49" s="2"/>
      <c r="Z49" s="2"/>
      <c r="AA49" s="409"/>
      <c r="AB49" s="2286">
        <f>AB48/(Y41*10)</f>
        <v>0.9248789498212161</v>
      </c>
      <c r="AC49" s="2287"/>
      <c r="AD49" s="2287"/>
      <c r="AE49" s="2287"/>
      <c r="AF49" s="2288"/>
    </row>
    <row r="50" spans="1:40" s="515" customFormat="1" ht="15" customHeight="1">
      <c r="A50" s="2"/>
      <c r="B50" s="2"/>
      <c r="C50" s="2"/>
      <c r="D50" s="272"/>
      <c r="E50" s="2297" t="s">
        <v>2238</v>
      </c>
      <c r="F50" s="2297"/>
      <c r="G50" s="2297"/>
      <c r="H50" s="2297"/>
      <c r="I50" s="2297"/>
      <c r="J50" s="2297"/>
      <c r="K50" s="2297"/>
      <c r="L50" s="2297"/>
      <c r="M50" s="2297"/>
      <c r="N50" s="2297"/>
      <c r="O50" s="2297"/>
      <c r="P50" s="2297"/>
      <c r="Q50" s="2297"/>
      <c r="R50" s="2297"/>
      <c r="S50" s="2297"/>
      <c r="T50" s="2297"/>
      <c r="U50" s="2297"/>
      <c r="V50" s="2297"/>
      <c r="W50" s="2297"/>
      <c r="X50" s="2297"/>
      <c r="Y50" s="2297"/>
      <c r="Z50" s="2297"/>
      <c r="AA50" s="775"/>
      <c r="AB50" s="775"/>
      <c r="AC50" s="775"/>
      <c r="AD50" s="775"/>
      <c r="AE50" s="775"/>
      <c r="AF50" s="775"/>
      <c r="AG50" s="2"/>
      <c r="AH50" s="2"/>
      <c r="AI50" s="2"/>
      <c r="AJ50" s="2"/>
      <c r="AK50" s="2"/>
      <c r="AL50" s="2"/>
      <c r="AM50" s="2"/>
      <c r="AN50" s="2"/>
    </row>
    <row r="51" spans="1:40" s="515" customFormat="1" ht="12" customHeight="1">
      <c r="A51" s="2"/>
      <c r="B51" s="2"/>
      <c r="C51" s="2"/>
      <c r="D51" s="272"/>
      <c r="E51" s="2297"/>
      <c r="F51" s="2297"/>
      <c r="G51" s="2297"/>
      <c r="H51" s="2297"/>
      <c r="I51" s="2297"/>
      <c r="J51" s="2297"/>
      <c r="K51" s="2297"/>
      <c r="L51" s="2297"/>
      <c r="M51" s="2297"/>
      <c r="N51" s="2297"/>
      <c r="O51" s="2297"/>
      <c r="P51" s="2297"/>
      <c r="Q51" s="2297"/>
      <c r="R51" s="2297"/>
      <c r="S51" s="2297"/>
      <c r="T51" s="2297"/>
      <c r="U51" s="2297"/>
      <c r="V51" s="2297"/>
      <c r="W51" s="2297"/>
      <c r="X51" s="2297"/>
      <c r="Y51" s="2297"/>
      <c r="Z51" s="2297"/>
      <c r="AA51" s="776"/>
      <c r="AB51" s="776"/>
      <c r="AC51" s="776"/>
      <c r="AD51" s="776"/>
      <c r="AE51" s="776"/>
      <c r="AF51" s="776"/>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7">
        <f>ROUND(IF(ISERROR((AB48/AB49)),0,(AB48/AB49)),0)</f>
        <v>28839280</v>
      </c>
      <c r="AC53" s="2268"/>
      <c r="AD53" s="2268"/>
      <c r="AE53" s="2268"/>
      <c r="AF53" s="2269"/>
    </row>
    <row r="54" spans="1:40" ht="12.75" customHeight="1">
      <c r="D54" s="6" t="s">
        <v>621</v>
      </c>
      <c r="AB54" s="2267">
        <f>(AB53/10)</f>
        <v>2883928</v>
      </c>
      <c r="AC54" s="2268"/>
      <c r="AD54" s="2268"/>
      <c r="AE54" s="2268"/>
      <c r="AF54" s="2269"/>
    </row>
    <row r="55" spans="1:40" ht="13.2">
      <c r="D55" s="6" t="s">
        <v>379</v>
      </c>
      <c r="AB55" s="2294">
        <f>(IF((Y41&lt;AB54),Y41,AB54))</f>
        <v>2883928</v>
      </c>
      <c r="AC55" s="2295"/>
      <c r="AD55" s="2295"/>
      <c r="AE55" s="2295"/>
      <c r="AF55" s="2296"/>
    </row>
    <row r="56" spans="1:40" ht="13.2">
      <c r="D56" s="6" t="s">
        <v>118</v>
      </c>
      <c r="AB56" s="2267">
        <f>ROUND((10*AB55*AB49),0)</f>
        <v>26672843</v>
      </c>
      <c r="AC56" s="2268"/>
      <c r="AD56" s="2268"/>
      <c r="AE56" s="2268"/>
      <c r="AF56" s="22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5">
        <f>AB48-AB56</f>
        <v>0</v>
      </c>
      <c r="AC58" s="2265"/>
      <c r="AD58" s="2265"/>
      <c r="AE58" s="2265"/>
      <c r="AF58" s="2265"/>
    </row>
    <row r="59" spans="1:40" ht="12.75" customHeight="1">
      <c r="D59" s="6"/>
      <c r="F59" s="23" t="str">
        <f>IF(AB58&gt;0,"FUNDING GAP MUST NOT EXCEED ZERO UNLESS REQUESTING STATE CREDITS","")</f>
        <v/>
      </c>
      <c r="G59" s="23"/>
      <c r="I59" s="1104"/>
      <c r="N59" s="23"/>
      <c r="AB59" s="425"/>
      <c r="AC59" s="425"/>
      <c r="AD59" s="425"/>
      <c r="AE59" s="425"/>
      <c r="AF59" s="425"/>
    </row>
    <row r="60" spans="1:40" ht="12.75" customHeight="1" thickBot="1">
      <c r="A60" s="2262" t="s">
        <v>1976</v>
      </c>
      <c r="B60" s="2262"/>
      <c r="C60" s="2262"/>
      <c r="D60" s="2262"/>
      <c r="E60" s="2262"/>
      <c r="F60" s="2262"/>
      <c r="G60" s="2262"/>
      <c r="H60" s="2262"/>
      <c r="I60" s="2262"/>
      <c r="J60" s="2262"/>
      <c r="K60" s="2262"/>
      <c r="L60" s="226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row>
    <row r="61" spans="1:40" ht="13.95" customHeight="1" thickTop="1">
      <c r="A61" s="2264"/>
      <c r="B61" s="2264"/>
      <c r="C61" s="2264"/>
      <c r="D61" s="2264"/>
      <c r="E61" s="2264"/>
      <c r="F61" s="2264"/>
      <c r="G61" s="2264"/>
      <c r="H61" s="2264"/>
      <c r="I61" s="2264"/>
      <c r="J61" s="2264"/>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66" t="s">
        <v>331</v>
      </c>
      <c r="Z62" s="2266"/>
      <c r="AA62" s="2266"/>
      <c r="AB62" s="2266"/>
      <c r="AC62" s="2266"/>
      <c r="AD62" s="2266" t="s">
        <v>46</v>
      </c>
      <c r="AE62" s="2266"/>
      <c r="AF62" s="2266"/>
      <c r="AG62" s="2266"/>
      <c r="AH62" s="2266"/>
      <c r="AI62" s="1"/>
      <c r="AJ62" s="1"/>
      <c r="AK62" s="1"/>
      <c r="AL62" s="1"/>
      <c r="AM62" s="1"/>
      <c r="AN62" s="1"/>
    </row>
    <row r="63" spans="1:40" ht="13.2">
      <c r="C63" s="330"/>
      <c r="D63" s="798" t="s">
        <v>1374</v>
      </c>
      <c r="E63" s="799"/>
      <c r="F63" s="799"/>
      <c r="G63" s="799"/>
      <c r="H63" s="799"/>
      <c r="I63" s="799"/>
      <c r="J63" s="799"/>
      <c r="K63" s="799"/>
      <c r="L63" s="22"/>
      <c r="M63" s="22"/>
      <c r="N63" s="22"/>
      <c r="O63" s="22"/>
      <c r="P63" s="22"/>
      <c r="Q63" s="22"/>
      <c r="R63" s="22"/>
      <c r="S63" s="22"/>
      <c r="T63" s="22"/>
      <c r="U63" s="22"/>
      <c r="V63" s="22"/>
      <c r="W63" s="22"/>
      <c r="X63" s="22"/>
      <c r="Y63" s="2293">
        <f>IF(AND(Application!T193="No",Application!T194="No"),T28,IF(OR(AND(T25=1.3,Application!T196="Yes",Application!D214="Special Needs"),T25=1),(T23*T27)+Y28,Y28))</f>
        <v>0</v>
      </c>
      <c r="Z63" s="2289"/>
      <c r="AA63" s="2289"/>
      <c r="AB63" s="2289"/>
      <c r="AC63" s="2289"/>
      <c r="AD63" s="1810">
        <f>IF(AND(T25=1.3,Application!D214="At-Risk"),AI28,IF(Application!D214&lt;&gt;"At-Risk",0,AD28))</f>
        <v>0</v>
      </c>
      <c r="AE63" s="2289"/>
      <c r="AF63" s="2289"/>
      <c r="AG63" s="2289"/>
      <c r="AH63" s="2289"/>
    </row>
    <row r="64" spans="1:40" ht="15" customHeight="1">
      <c r="C64" s="6"/>
      <c r="E64" s="2263" t="s">
        <v>1425</v>
      </c>
      <c r="F64" s="2263"/>
      <c r="G64" s="2263"/>
      <c r="H64" s="2263"/>
      <c r="I64" s="2263"/>
      <c r="J64" s="2263"/>
      <c r="K64" s="2263"/>
      <c r="L64" s="2263"/>
      <c r="M64" s="2263"/>
      <c r="N64" s="2263"/>
      <c r="O64" s="2263"/>
      <c r="P64" s="2263"/>
      <c r="Q64" s="2263"/>
      <c r="R64" s="2263"/>
      <c r="S64" s="2263"/>
      <c r="T64" s="2263"/>
      <c r="U64" s="2263"/>
      <c r="V64" s="2263"/>
      <c r="W64" s="2263"/>
      <c r="X64" s="2263"/>
      <c r="Y64" s="2263"/>
      <c r="Z64" s="2263"/>
      <c r="AA64" s="2263"/>
      <c r="AB64" s="2263"/>
      <c r="AC64" s="2263"/>
      <c r="AD64" s="2263"/>
      <c r="AE64" s="2263"/>
      <c r="AF64" s="2263"/>
      <c r="AG64" s="2263"/>
      <c r="AH64" s="2263"/>
    </row>
    <row r="65" spans="1:40" ht="24.45" customHeight="1">
      <c r="C65" s="6"/>
      <c r="E65" s="2263"/>
      <c r="F65" s="2263"/>
      <c r="G65" s="2263"/>
      <c r="H65" s="2263"/>
      <c r="I65" s="2263"/>
      <c r="J65" s="2263"/>
      <c r="K65" s="2263"/>
      <c r="L65" s="2263"/>
      <c r="M65" s="2263"/>
      <c r="N65" s="2263"/>
      <c r="O65" s="2263"/>
      <c r="P65" s="2263"/>
      <c r="Q65" s="2263"/>
      <c r="R65" s="2263"/>
      <c r="S65" s="2263"/>
      <c r="T65" s="2263"/>
      <c r="U65" s="2263"/>
      <c r="V65" s="2263"/>
      <c r="W65" s="2263"/>
      <c r="X65" s="2263"/>
      <c r="Y65" s="2263"/>
      <c r="Z65" s="2263"/>
      <c r="AA65" s="2263"/>
      <c r="AB65" s="2263"/>
      <c r="AC65" s="2263"/>
      <c r="AD65" s="2263"/>
      <c r="AE65" s="2263"/>
      <c r="AF65" s="2263"/>
      <c r="AG65" s="2263"/>
      <c r="AH65" s="2263"/>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85">
        <f>IF(Application!W198="Yes",95%, 30%)</f>
        <v>0.3</v>
      </c>
      <c r="Z66" s="2285"/>
      <c r="AA66" s="2285"/>
      <c r="AB66" s="2285"/>
      <c r="AC66" s="2285"/>
      <c r="AD66" s="2285">
        <f>IF(Application!W198="Yes",95%, 13%)</f>
        <v>0.13</v>
      </c>
      <c r="AE66" s="2285"/>
      <c r="AF66" s="2285"/>
      <c r="AG66" s="2285"/>
      <c r="AH66" s="2285"/>
    </row>
    <row r="67" spans="1:40" ht="13.2">
      <c r="C67" s="6"/>
      <c r="D67" s="6" t="s">
        <v>1045</v>
      </c>
      <c r="Y67" s="1810">
        <f>ROUND(Y63*Y66,0)</f>
        <v>0</v>
      </c>
      <c r="Z67" s="2289"/>
      <c r="AA67" s="2289"/>
      <c r="AB67" s="2289"/>
      <c r="AC67" s="2289"/>
      <c r="AD67" s="1810" t="str">
        <f>IF(OR(Application!D211="At-Risk",Application!D211="At-Risk/Located in Rural Census Tract",Application!D214="At-Risk"),ROUND(AD63*AD66,0),"$0")</f>
        <v>$0</v>
      </c>
      <c r="AE67" s="2290"/>
      <c r="AF67" s="2290"/>
      <c r="AG67" s="2290"/>
      <c r="AH67" s="2290"/>
    </row>
    <row r="68" spans="1:40" ht="12.75" customHeight="1">
      <c r="C68" s="6"/>
      <c r="E68" s="1356" t="s">
        <v>2179</v>
      </c>
      <c r="F68" s="1358"/>
      <c r="G68" s="1355"/>
      <c r="H68" s="1355"/>
      <c r="I68" s="1355"/>
      <c r="J68" s="1355"/>
      <c r="K68" s="1355"/>
      <c r="L68" s="1355"/>
      <c r="M68" s="1355"/>
      <c r="N68" s="1355"/>
      <c r="O68" s="1355"/>
      <c r="P68" s="1355"/>
      <c r="Q68" s="1355"/>
      <c r="R68" s="1355"/>
      <c r="S68" s="1355"/>
      <c r="T68" s="1355"/>
      <c r="U68" s="1355"/>
      <c r="V68" s="1355"/>
      <c r="W68" s="1355"/>
      <c r="X68" s="1355"/>
      <c r="Y68" s="1355"/>
      <c r="Z68" s="1355"/>
      <c r="AA68" s="1355"/>
      <c r="AB68" s="1355"/>
      <c r="AC68" s="1355"/>
      <c r="AD68" s="1355"/>
      <c r="AE68" s="1355"/>
      <c r="AF68" s="1355"/>
      <c r="AG68" s="1355"/>
      <c r="AH68" s="1355"/>
    </row>
    <row r="69" spans="1:40" ht="13.2">
      <c r="A69" s="6" t="s">
        <v>135</v>
      </c>
      <c r="C69" s="6" t="s">
        <v>283</v>
      </c>
      <c r="E69" s="1355"/>
      <c r="F69" s="1355"/>
      <c r="G69" s="1355"/>
      <c r="H69" s="1355"/>
      <c r="I69" s="1355"/>
      <c r="J69" s="1355"/>
      <c r="K69" s="1355"/>
      <c r="L69" s="1355"/>
      <c r="M69" s="1355"/>
      <c r="N69" s="1355"/>
      <c r="O69" s="1355"/>
      <c r="P69" s="1355"/>
      <c r="Q69" s="1355"/>
      <c r="R69" s="1355"/>
      <c r="S69" s="1355"/>
      <c r="T69" s="1355"/>
      <c r="U69" s="1355"/>
      <c r="V69" s="1355"/>
      <c r="W69" s="1355"/>
      <c r="X69" s="1355"/>
      <c r="Y69" s="1355"/>
      <c r="Z69" s="1355"/>
      <c r="AA69" s="1355"/>
      <c r="AB69" s="1355"/>
      <c r="AC69" s="1355"/>
      <c r="AD69" s="1355"/>
      <c r="AE69" s="1355"/>
      <c r="AF69" s="1355"/>
      <c r="AG69" s="1355"/>
      <c r="AH69" s="1355"/>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6"/>
      <c r="AC70" s="2287"/>
      <c r="AD70" s="2287"/>
      <c r="AE70" s="2287"/>
      <c r="AF70" s="2288"/>
      <c r="AG70" s="2"/>
      <c r="AH70" s="2"/>
      <c r="AI70" s="2"/>
      <c r="AJ70" s="2"/>
      <c r="AK70" s="2"/>
      <c r="AL70" s="2"/>
      <c r="AM70" s="2"/>
      <c r="AN70" s="2"/>
    </row>
    <row r="71" spans="1:40" ht="12.75" customHeight="1">
      <c r="A71" s="330"/>
      <c r="B71" s="2"/>
      <c r="C71" s="330"/>
      <c r="D71" s="330"/>
      <c r="E71" s="2291" t="s">
        <v>1971</v>
      </c>
      <c r="F71" s="2291"/>
      <c r="G71" s="2291"/>
      <c r="H71" s="2291"/>
      <c r="I71" s="2291"/>
      <c r="J71" s="2291"/>
      <c r="K71" s="2291"/>
      <c r="L71" s="2291"/>
      <c r="M71" s="2291"/>
      <c r="N71" s="2291"/>
      <c r="O71" s="2291"/>
      <c r="P71" s="2291"/>
      <c r="Q71" s="2291"/>
      <c r="R71" s="2291"/>
      <c r="S71" s="2291"/>
      <c r="T71" s="2291"/>
      <c r="U71" s="2291"/>
      <c r="V71" s="2291"/>
      <c r="W71" s="2291"/>
      <c r="X71" s="2291"/>
      <c r="Y71" s="2291"/>
      <c r="Z71" s="2291"/>
      <c r="AA71" s="800"/>
      <c r="AB71" s="800"/>
      <c r="AC71" s="800"/>
      <c r="AG71" s="2"/>
      <c r="AH71" s="2"/>
      <c r="AI71" s="2"/>
      <c r="AJ71" s="2"/>
      <c r="AK71" s="2"/>
      <c r="AL71" s="2"/>
      <c r="AM71" s="2"/>
      <c r="AN71" s="2"/>
    </row>
    <row r="72" spans="1:40" ht="12.75" customHeight="1">
      <c r="A72" s="330"/>
      <c r="B72" s="2"/>
      <c r="C72" s="330"/>
      <c r="D72" s="330"/>
      <c r="E72" s="2291"/>
      <c r="F72" s="2291"/>
      <c r="G72" s="2291"/>
      <c r="H72" s="2291"/>
      <c r="I72" s="2291"/>
      <c r="J72" s="2291"/>
      <c r="K72" s="2291"/>
      <c r="L72" s="2291"/>
      <c r="M72" s="2291"/>
      <c r="N72" s="2291"/>
      <c r="O72" s="2291"/>
      <c r="P72" s="2291"/>
      <c r="Q72" s="2291"/>
      <c r="R72" s="2291"/>
      <c r="S72" s="2291"/>
      <c r="T72" s="2291"/>
      <c r="U72" s="2291"/>
      <c r="V72" s="2291"/>
      <c r="W72" s="2291"/>
      <c r="X72" s="2291"/>
      <c r="Y72" s="2291"/>
      <c r="Z72" s="2291"/>
      <c r="AA72" s="800"/>
      <c r="AB72" s="800"/>
      <c r="AC72" s="800"/>
      <c r="AD72" s="1085"/>
      <c r="AE72" s="1085"/>
      <c r="AF72" s="1085"/>
      <c r="AG72" s="2"/>
      <c r="AH72" s="2"/>
      <c r="AI72" s="2"/>
      <c r="AJ72" s="2"/>
      <c r="AK72" s="2"/>
      <c r="AL72" s="2"/>
      <c r="AM72" s="2"/>
      <c r="AN72" s="2"/>
    </row>
    <row r="73" spans="1:40" ht="12" customHeight="1">
      <c r="A73" s="330"/>
      <c r="B73" s="2"/>
      <c r="C73" s="330"/>
      <c r="D73" s="330"/>
      <c r="E73" s="2291"/>
      <c r="F73" s="2291"/>
      <c r="G73" s="2291"/>
      <c r="H73" s="2291"/>
      <c r="I73" s="2291"/>
      <c r="J73" s="2291"/>
      <c r="K73" s="2291"/>
      <c r="L73" s="2291"/>
      <c r="M73" s="2291"/>
      <c r="N73" s="2291"/>
      <c r="O73" s="2291"/>
      <c r="P73" s="2291"/>
      <c r="Q73" s="2291"/>
      <c r="R73" s="2291"/>
      <c r="S73" s="2291"/>
      <c r="T73" s="2291"/>
      <c r="U73" s="2291"/>
      <c r="V73" s="2291"/>
      <c r="W73" s="2291"/>
      <c r="X73" s="2291"/>
      <c r="Y73" s="2291"/>
      <c r="Z73" s="2291"/>
      <c r="AA73" s="800"/>
      <c r="AB73" s="800"/>
      <c r="AC73" s="800"/>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84">
        <f>ROUND(IF(ISERROR((AB58/AB70)),0,(AB58/AB70)),0)</f>
        <v>0</v>
      </c>
      <c r="AC75" s="2284"/>
      <c r="AD75" s="2284"/>
      <c r="AE75" s="2284"/>
      <c r="AF75" s="2284"/>
    </row>
    <row r="76" spans="1:40" ht="12.75" customHeight="1">
      <c r="C76" s="6"/>
      <c r="D76" s="6" t="s">
        <v>116</v>
      </c>
      <c r="AB76" s="2281">
        <f>IF((Y67+AD67&lt;AB75),Y67+AD67,AB75)</f>
        <v>0</v>
      </c>
      <c r="AC76" s="2282"/>
      <c r="AD76" s="2282"/>
      <c r="AE76" s="2282"/>
      <c r="AF76" s="2283"/>
    </row>
    <row r="77" spans="1:40" ht="12.75" customHeight="1">
      <c r="C77" s="6"/>
      <c r="D77" s="6" t="s">
        <v>1046</v>
      </c>
      <c r="AB77" s="2280">
        <f>AB76*AB70</f>
        <v>0</v>
      </c>
      <c r="AC77" s="2280"/>
      <c r="AD77" s="2280"/>
      <c r="AE77" s="2280"/>
      <c r="AF77" s="2280"/>
    </row>
    <row r="78" spans="1:40" ht="12.75" customHeight="1">
      <c r="C78" s="6"/>
      <c r="D78" s="6"/>
      <c r="AB78" s="931"/>
      <c r="AC78" s="931"/>
      <c r="AD78" s="931"/>
      <c r="AE78" s="931"/>
      <c r="AF78" s="931"/>
    </row>
    <row r="79" spans="1:40" ht="12.75" customHeight="1">
      <c r="A79" s="1"/>
      <c r="B79" s="1"/>
      <c r="C79" s="1"/>
      <c r="D79" s="6" t="s">
        <v>117</v>
      </c>
      <c r="AB79" s="2265">
        <f>AB48-(AB56+AB77)</f>
        <v>0</v>
      </c>
      <c r="AC79" s="2265"/>
      <c r="AD79" s="2265"/>
      <c r="AE79" s="2265"/>
      <c r="AF79" s="226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672" zoomScaleNormal="100" zoomScaleSheetLayoutView="100" workbookViewId="0">
      <selection activeCell="AN287" sqref="AN287"/>
    </sheetView>
  </sheetViews>
  <sheetFormatPr defaultColWidth="0" defaultRowHeight="13.2" zeroHeight="1"/>
  <cols>
    <col min="1" max="3" width="2.44140625" style="65" customWidth="1"/>
    <col min="4" max="4" width="3.109375" style="65" customWidth="1"/>
    <col min="5" max="5" width="3.44140625" style="65" customWidth="1"/>
    <col min="6" max="6" width="2.664062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32" customWidth="1"/>
    <col min="41" max="41" width="5.44140625" style="132" hidden="1" customWidth="1"/>
    <col min="42" max="55" width="5.44140625" style="65" hidden="1" customWidth="1"/>
    <col min="56" max="60" width="5.44140625" style="68" hidden="1" customWidth="1"/>
    <col min="61" max="109" width="5.44140625" style="65" hidden="1" customWidth="1"/>
    <col min="110" max="16384" width="0" style="65" hidden="1"/>
  </cols>
  <sheetData>
    <row r="1" spans="1:42" ht="15.75" customHeight="1">
      <c r="A1" s="1689" t="s">
        <v>928</v>
      </c>
      <c r="B1" s="1689"/>
      <c r="C1" s="1689"/>
      <c r="D1" s="1689"/>
      <c r="E1" s="1689"/>
      <c r="F1" s="1689"/>
      <c r="G1" s="1689"/>
      <c r="H1" s="1689"/>
      <c r="I1" s="1689"/>
      <c r="J1" s="1689"/>
      <c r="K1" s="1689"/>
      <c r="L1" s="1689"/>
      <c r="M1" s="1689"/>
      <c r="N1" s="1689"/>
      <c r="O1" s="1689"/>
      <c r="P1" s="1689"/>
      <c r="Q1" s="1689"/>
      <c r="R1" s="1689"/>
      <c r="S1" s="1689"/>
      <c r="T1" s="1689"/>
      <c r="U1" s="1689"/>
      <c r="V1" s="1689"/>
      <c r="W1" s="1689"/>
      <c r="X1" s="1689"/>
      <c r="Y1" s="1689"/>
      <c r="Z1" s="1689"/>
      <c r="AA1" s="1689"/>
      <c r="AB1" s="1689"/>
      <c r="AC1" s="1689"/>
      <c r="AD1" s="1689"/>
      <c r="AE1" s="1689"/>
      <c r="AF1" s="1689"/>
      <c r="AG1" s="1689"/>
      <c r="AH1" s="1689"/>
      <c r="AI1" s="1689"/>
      <c r="AJ1" s="1689"/>
      <c r="AK1" s="1689"/>
      <c r="AL1" s="1689"/>
      <c r="AM1" s="1689"/>
    </row>
    <row r="2" spans="1:42" s="8" customFormat="1" ht="12.75" customHeight="1" thickBot="1">
      <c r="A2" s="1690"/>
      <c r="B2" s="1690"/>
      <c r="C2" s="1690"/>
      <c r="D2" s="1690"/>
      <c r="E2" s="1690"/>
      <c r="F2" s="1690"/>
      <c r="G2" s="1690"/>
      <c r="H2" s="1690"/>
      <c r="I2" s="1690"/>
      <c r="J2" s="1690"/>
      <c r="K2" s="1690"/>
      <c r="L2" s="1690"/>
      <c r="M2" s="1690"/>
      <c r="N2" s="1690"/>
      <c r="O2" s="1690"/>
      <c r="P2" s="1690"/>
      <c r="Q2" s="1690"/>
      <c r="R2" s="1690"/>
      <c r="S2" s="1690"/>
      <c r="T2" s="1690"/>
      <c r="U2" s="1690"/>
      <c r="V2" s="1690"/>
      <c r="W2" s="1690"/>
      <c r="X2" s="1690"/>
      <c r="Y2" s="1690"/>
      <c r="Z2" s="1690"/>
      <c r="AA2" s="1690"/>
      <c r="AB2" s="1690"/>
      <c r="AC2" s="1690"/>
      <c r="AD2" s="1690"/>
      <c r="AE2" s="1690"/>
      <c r="AF2" s="1690"/>
      <c r="AG2" s="1690"/>
      <c r="AH2" s="1690"/>
      <c r="AI2" s="1690"/>
      <c r="AJ2" s="1690"/>
      <c r="AK2" s="1690"/>
      <c r="AL2" s="1690"/>
      <c r="AM2" s="1690"/>
      <c r="AN2" s="113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4"/>
    </row>
    <row r="4" spans="1:42" s="63" customFormat="1" ht="12.75" customHeight="1">
      <c r="A4" s="142" t="s">
        <v>1631</v>
      </c>
      <c r="AE4" s="2517" t="s">
        <v>408</v>
      </c>
      <c r="AF4" s="2517"/>
      <c r="AG4" s="2517"/>
      <c r="AH4" s="2517"/>
      <c r="AI4" s="2517"/>
      <c r="AJ4" s="2517"/>
      <c r="AK4" s="2517"/>
      <c r="AL4" s="1302"/>
      <c r="AM4" s="48"/>
      <c r="AN4" s="1134"/>
    </row>
    <row r="5" spans="1:42" s="63" customFormat="1" ht="13.2" customHeight="1">
      <c r="A5" s="142"/>
      <c r="AE5" s="33"/>
      <c r="AF5" s="33"/>
      <c r="AG5" s="33"/>
      <c r="AH5" s="33"/>
      <c r="AI5" s="33"/>
      <c r="AJ5" s="33"/>
      <c r="AK5" s="33"/>
      <c r="AL5" s="1302"/>
      <c r="AM5" s="48"/>
      <c r="AN5" s="1134"/>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7" t="s">
        <v>937</v>
      </c>
      <c r="AG6" s="2367"/>
      <c r="AH6" s="2367"/>
      <c r="AI6" s="2367"/>
      <c r="AJ6" s="2367"/>
      <c r="AK6" s="2367"/>
      <c r="AL6" s="2367"/>
      <c r="AM6" s="48"/>
      <c r="AN6" s="1133"/>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1"/>
      <c r="AM7" s="48"/>
      <c r="AN7" s="1133"/>
    </row>
    <row r="8" spans="1:42" s="8" customFormat="1" ht="15" customHeight="1">
      <c r="A8" s="142"/>
      <c r="B8" s="2345" t="s">
        <v>2370</v>
      </c>
      <c r="C8" s="2345"/>
      <c r="D8" s="2345"/>
      <c r="E8" s="2345"/>
      <c r="F8" s="2345"/>
      <c r="G8" s="2345"/>
      <c r="H8" s="2345"/>
      <c r="I8" s="2345"/>
      <c r="J8" s="2345"/>
      <c r="K8" s="2345"/>
      <c r="L8" s="2345"/>
      <c r="M8" s="2345"/>
      <c r="N8" s="2345"/>
      <c r="O8" s="2345"/>
      <c r="P8" s="2345"/>
      <c r="Q8" s="2345"/>
      <c r="R8" s="2345"/>
      <c r="S8" s="2345"/>
      <c r="T8" s="2345"/>
      <c r="U8" s="2345"/>
      <c r="V8" s="2345"/>
      <c r="W8" s="2345"/>
      <c r="X8" s="2345"/>
      <c r="Y8" s="2345"/>
      <c r="Z8" s="2345"/>
      <c r="AA8" s="2345"/>
      <c r="AB8" s="2345"/>
      <c r="AC8" s="2345"/>
      <c r="AD8" s="63"/>
      <c r="AE8" s="179"/>
      <c r="AF8" s="179"/>
      <c r="AG8" s="179"/>
      <c r="AH8" s="179"/>
      <c r="AI8" s="179"/>
      <c r="AJ8" s="179"/>
      <c r="AK8" s="179"/>
      <c r="AL8" s="1301"/>
      <c r="AM8" s="48"/>
      <c r="AN8" s="1133"/>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1"/>
      <c r="AM9" s="48"/>
      <c r="AN9" s="1135"/>
      <c r="AO9" s="664" t="s">
        <v>86</v>
      </c>
      <c r="AP9" s="742"/>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3"/>
      <c r="AO10" s="741" t="s">
        <v>1375</v>
      </c>
      <c r="AP10" s="743">
        <v>5</v>
      </c>
    </row>
    <row r="11" spans="1:42" s="8" customFormat="1" ht="12.75" customHeight="1">
      <c r="A11" s="142"/>
      <c r="B11" s="2345" t="s">
        <v>1376</v>
      </c>
      <c r="C11" s="2345"/>
      <c r="D11" s="2345"/>
      <c r="E11" s="2345"/>
      <c r="F11" s="2345"/>
      <c r="G11" s="2345"/>
      <c r="H11" s="2345"/>
      <c r="I11" s="2345"/>
      <c r="J11" s="2345"/>
      <c r="K11" s="2345"/>
      <c r="L11" s="2345"/>
      <c r="M11" s="2345"/>
      <c r="N11" s="2345"/>
      <c r="O11" s="2345"/>
      <c r="P11" s="2345"/>
      <c r="Q11" s="2345"/>
      <c r="R11" s="2345"/>
      <c r="S11" s="2345"/>
      <c r="T11" s="2345"/>
      <c r="U11" s="2345"/>
      <c r="V11" s="2345"/>
      <c r="W11" s="2345"/>
      <c r="X11" s="2345"/>
      <c r="Y11" s="2345"/>
      <c r="Z11" s="2345"/>
      <c r="AA11" s="2345"/>
      <c r="AB11" s="2345"/>
      <c r="AC11" s="2345"/>
      <c r="AD11" s="2345"/>
      <c r="AE11" s="2345"/>
      <c r="AF11" s="2345"/>
      <c r="AG11" s="2345"/>
      <c r="AH11" s="2345"/>
      <c r="AI11" s="2345"/>
      <c r="AM11" s="48"/>
      <c r="AN11" s="1133"/>
      <c r="AO11" s="741" t="s">
        <v>1376</v>
      </c>
      <c r="AP11" s="743">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3"/>
      <c r="AO12" s="741"/>
      <c r="AP12" s="743"/>
    </row>
    <row r="13" spans="1:42" s="8" customFormat="1" ht="12.75" customHeight="1">
      <c r="A13" s="537"/>
      <c r="B13" s="205" t="s">
        <v>1377</v>
      </c>
      <c r="AB13" s="2520" t="s">
        <v>119</v>
      </c>
      <c r="AC13" s="2520"/>
      <c r="AD13" s="410"/>
      <c r="AE13" s="136"/>
      <c r="AF13" s="136"/>
      <c r="AG13" s="136"/>
      <c r="AH13" s="136"/>
      <c r="AI13" s="136"/>
      <c r="AJ13" s="136"/>
      <c r="AK13" s="136"/>
      <c r="AL13" s="136"/>
      <c r="AM13" s="48"/>
      <c r="AN13" s="1133"/>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3"/>
      <c r="AO14" s="664" t="s">
        <v>1240</v>
      </c>
      <c r="AP14" s="743"/>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3"/>
      <c r="AO15" s="741" t="s">
        <v>1378</v>
      </c>
      <c r="AP15" s="743">
        <v>5</v>
      </c>
    </row>
    <row r="16" spans="1:42" s="8" customFormat="1" ht="12.75" customHeight="1">
      <c r="A16" s="142"/>
      <c r="B16" s="2345" t="s">
        <v>1379</v>
      </c>
      <c r="C16" s="2345"/>
      <c r="D16" s="2345"/>
      <c r="E16" s="2345"/>
      <c r="F16" s="2345"/>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5"/>
      <c r="AK16" s="777"/>
      <c r="AL16" s="777"/>
      <c r="AM16" s="777"/>
      <c r="AN16" s="1133"/>
      <c r="AO16" s="741" t="s">
        <v>1379</v>
      </c>
      <c r="AP16" s="743">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3"/>
      <c r="AO17" s="741"/>
      <c r="AP17" s="743"/>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3"/>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3"/>
    </row>
    <row r="20" spans="1:42" s="8" customFormat="1" ht="12.75" customHeight="1">
      <c r="B20" s="2385" t="s">
        <v>1840</v>
      </c>
      <c r="C20" s="2385"/>
      <c r="D20" s="2385"/>
      <c r="E20" s="2385"/>
      <c r="F20" s="2385"/>
      <c r="G20" s="2385"/>
      <c r="H20" s="2385"/>
      <c r="I20" s="2385"/>
      <c r="J20" s="2385"/>
      <c r="K20" s="2385"/>
      <c r="L20" s="2385"/>
      <c r="M20" s="2385"/>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5"/>
      <c r="AK20" s="2385"/>
      <c r="AL20" s="1303"/>
      <c r="AM20" s="38"/>
      <c r="AN20" s="1133"/>
    </row>
    <row r="21" spans="1:42" s="8" customFormat="1" ht="12.75" customHeight="1">
      <c r="A21" s="38"/>
      <c r="B21" s="2385"/>
      <c r="C21" s="2385"/>
      <c r="D21" s="2385"/>
      <c r="E21" s="2385"/>
      <c r="F21" s="2385"/>
      <c r="G21" s="2385"/>
      <c r="H21" s="2385"/>
      <c r="I21" s="2385"/>
      <c r="J21" s="2385"/>
      <c r="K21" s="2385"/>
      <c r="L21" s="2385"/>
      <c r="M21" s="2385"/>
      <c r="N21" s="2385"/>
      <c r="O21" s="2385"/>
      <c r="P21" s="2385"/>
      <c r="Q21" s="2385"/>
      <c r="R21" s="2385"/>
      <c r="S21" s="2385"/>
      <c r="T21" s="2385"/>
      <c r="U21" s="2385"/>
      <c r="V21" s="2385"/>
      <c r="W21" s="2385"/>
      <c r="X21" s="2385"/>
      <c r="Y21" s="2385"/>
      <c r="Z21" s="2385"/>
      <c r="AA21" s="2385"/>
      <c r="AB21" s="2385"/>
      <c r="AC21" s="2385"/>
      <c r="AD21" s="2385"/>
      <c r="AE21" s="2385"/>
      <c r="AF21" s="2385"/>
      <c r="AG21" s="2385"/>
      <c r="AH21" s="2385"/>
      <c r="AI21" s="2385"/>
      <c r="AJ21" s="2385"/>
      <c r="AK21" s="2385"/>
      <c r="AL21" s="1303"/>
      <c r="AM21" s="38"/>
      <c r="AN21" s="1133"/>
      <c r="AP21" s="535"/>
    </row>
    <row r="22" spans="1:42" s="8" customFormat="1" ht="12.75" customHeight="1">
      <c r="A22" s="38"/>
      <c r="B22" s="2385"/>
      <c r="C22" s="2385"/>
      <c r="D22" s="2385"/>
      <c r="E22" s="2385"/>
      <c r="F22" s="2385"/>
      <c r="G22" s="2385"/>
      <c r="H22" s="2385"/>
      <c r="I22" s="2385"/>
      <c r="J22" s="2385"/>
      <c r="K22" s="2385"/>
      <c r="L22" s="2385"/>
      <c r="M22" s="2385"/>
      <c r="N22" s="2385"/>
      <c r="O22" s="2385"/>
      <c r="P22" s="2385"/>
      <c r="Q22" s="2385"/>
      <c r="R22" s="2385"/>
      <c r="S22" s="2385"/>
      <c r="T22" s="2385"/>
      <c r="U22" s="2385"/>
      <c r="V22" s="2385"/>
      <c r="W22" s="2385"/>
      <c r="X22" s="2385"/>
      <c r="Y22" s="2385"/>
      <c r="Z22" s="2385"/>
      <c r="AA22" s="2385"/>
      <c r="AB22" s="2385"/>
      <c r="AC22" s="2385"/>
      <c r="AD22" s="2385"/>
      <c r="AE22" s="2385"/>
      <c r="AF22" s="2385"/>
      <c r="AG22" s="2385"/>
      <c r="AH22" s="2385"/>
      <c r="AI22" s="2385"/>
      <c r="AJ22" s="2385"/>
      <c r="AK22" s="2385"/>
      <c r="AL22" s="1303"/>
      <c r="AM22" s="38"/>
      <c r="AN22" s="1133"/>
    </row>
    <row r="23" spans="1:42" s="46" customFormat="1" ht="12.75" customHeight="1">
      <c r="A23" s="38"/>
      <c r="B23" s="2385"/>
      <c r="C23" s="2385"/>
      <c r="D23" s="2385"/>
      <c r="E23" s="2385"/>
      <c r="F23" s="2385"/>
      <c r="G23" s="2385"/>
      <c r="H23" s="2385"/>
      <c r="I23" s="2385"/>
      <c r="J23" s="2385"/>
      <c r="K23" s="2385"/>
      <c r="L23" s="2385"/>
      <c r="M23" s="2385"/>
      <c r="N23" s="2385"/>
      <c r="O23" s="2385"/>
      <c r="P23" s="2385"/>
      <c r="Q23" s="2385"/>
      <c r="R23" s="2385"/>
      <c r="S23" s="2385"/>
      <c r="T23" s="2385"/>
      <c r="U23" s="2385"/>
      <c r="V23" s="2385"/>
      <c r="W23" s="2385"/>
      <c r="X23" s="2385"/>
      <c r="Y23" s="2385"/>
      <c r="Z23" s="2385"/>
      <c r="AA23" s="2385"/>
      <c r="AB23" s="2385"/>
      <c r="AC23" s="2385"/>
      <c r="AD23" s="2385"/>
      <c r="AE23" s="2385"/>
      <c r="AF23" s="2385"/>
      <c r="AG23" s="2385"/>
      <c r="AH23" s="2385"/>
      <c r="AI23" s="2385"/>
      <c r="AJ23" s="2385"/>
      <c r="AK23" s="2385"/>
      <c r="AL23" s="1303"/>
      <c r="AM23" s="38"/>
      <c r="AN23" s="439"/>
    </row>
    <row r="24" spans="1:42" s="46" customFormat="1" ht="12.75" customHeight="1">
      <c r="A24" s="38"/>
      <c r="B24" s="2385"/>
      <c r="C24" s="2385"/>
      <c r="D24" s="2385"/>
      <c r="E24" s="2385"/>
      <c r="F24" s="2385"/>
      <c r="G24" s="2385"/>
      <c r="H24" s="2385"/>
      <c r="I24" s="2385"/>
      <c r="J24" s="2385"/>
      <c r="K24" s="2385"/>
      <c r="L24" s="2385"/>
      <c r="M24" s="2385"/>
      <c r="N24" s="2385"/>
      <c r="O24" s="2385"/>
      <c r="P24" s="2385"/>
      <c r="Q24" s="2385"/>
      <c r="R24" s="2385"/>
      <c r="S24" s="2385"/>
      <c r="T24" s="2385"/>
      <c r="U24" s="2385"/>
      <c r="V24" s="2385"/>
      <c r="W24" s="2385"/>
      <c r="X24" s="2385"/>
      <c r="Y24" s="2385"/>
      <c r="Z24" s="2385"/>
      <c r="AA24" s="2385"/>
      <c r="AB24" s="2385"/>
      <c r="AC24" s="2385"/>
      <c r="AD24" s="2385"/>
      <c r="AE24" s="2385"/>
      <c r="AF24" s="2385"/>
      <c r="AG24" s="2385"/>
      <c r="AH24" s="2385"/>
      <c r="AI24" s="2385"/>
      <c r="AJ24" s="2385"/>
      <c r="AK24" s="2385"/>
      <c r="AL24" s="1303"/>
      <c r="AM24" s="38"/>
      <c r="AN24" s="1136"/>
      <c r="AO24" s="155"/>
    </row>
    <row r="25" spans="1:42" s="46" customFormat="1" ht="12.75" customHeight="1">
      <c r="A25" s="38"/>
      <c r="B25" s="2385"/>
      <c r="C25" s="2385"/>
      <c r="D25" s="2385"/>
      <c r="E25" s="2385"/>
      <c r="F25" s="2385"/>
      <c r="G25" s="2385"/>
      <c r="H25" s="2385"/>
      <c r="I25" s="2385"/>
      <c r="J25" s="2385"/>
      <c r="K25" s="2385"/>
      <c r="L25" s="2385"/>
      <c r="M25" s="2385"/>
      <c r="N25" s="2385"/>
      <c r="O25" s="2385"/>
      <c r="P25" s="2385"/>
      <c r="Q25" s="2385"/>
      <c r="R25" s="2385"/>
      <c r="S25" s="2385"/>
      <c r="T25" s="2385"/>
      <c r="U25" s="2385"/>
      <c r="V25" s="2385"/>
      <c r="W25" s="2385"/>
      <c r="X25" s="2385"/>
      <c r="Y25" s="2385"/>
      <c r="Z25" s="2385"/>
      <c r="AA25" s="2385"/>
      <c r="AB25" s="2385"/>
      <c r="AC25" s="2385"/>
      <c r="AD25" s="2385"/>
      <c r="AE25" s="2385"/>
      <c r="AF25" s="2385"/>
      <c r="AG25" s="2385"/>
      <c r="AH25" s="2385"/>
      <c r="AI25" s="2385"/>
      <c r="AJ25" s="2385"/>
      <c r="AK25" s="2385"/>
      <c r="AL25" s="1303"/>
      <c r="AM25" s="38"/>
      <c r="AN25" s="1136"/>
    </row>
    <row r="26" spans="1:42" s="137" customFormat="1" ht="12.75" customHeight="1">
      <c r="A26" s="38"/>
      <c r="B26" s="2385"/>
      <c r="C26" s="2385"/>
      <c r="D26" s="2385"/>
      <c r="E26" s="2385"/>
      <c r="F26" s="2385"/>
      <c r="G26" s="2385"/>
      <c r="H26" s="2385"/>
      <c r="I26" s="2385"/>
      <c r="J26" s="2385"/>
      <c r="K26" s="2385"/>
      <c r="L26" s="2385"/>
      <c r="M26" s="2385"/>
      <c r="N26" s="2385"/>
      <c r="O26" s="2385"/>
      <c r="P26" s="2385"/>
      <c r="Q26" s="2385"/>
      <c r="R26" s="2385"/>
      <c r="S26" s="2385"/>
      <c r="T26" s="2385"/>
      <c r="U26" s="2385"/>
      <c r="V26" s="2385"/>
      <c r="W26" s="2385"/>
      <c r="X26" s="2385"/>
      <c r="Y26" s="2385"/>
      <c r="Z26" s="2385"/>
      <c r="AA26" s="2385"/>
      <c r="AB26" s="2385"/>
      <c r="AC26" s="2385"/>
      <c r="AD26" s="2385"/>
      <c r="AE26" s="2385"/>
      <c r="AF26" s="2385"/>
      <c r="AG26" s="2385"/>
      <c r="AH26" s="2385"/>
      <c r="AI26" s="2385"/>
      <c r="AJ26" s="2385"/>
      <c r="AK26" s="2385"/>
      <c r="AL26" s="1303"/>
      <c r="AM26" s="38"/>
      <c r="AN26" s="1137"/>
    </row>
    <row r="27" spans="1:42" s="46" customFormat="1" ht="12.75" customHeight="1">
      <c r="A27" s="38"/>
      <c r="B27" s="2385"/>
      <c r="C27" s="2385"/>
      <c r="D27" s="2385"/>
      <c r="E27" s="2385"/>
      <c r="F27" s="2385"/>
      <c r="G27" s="2385"/>
      <c r="H27" s="2385"/>
      <c r="I27" s="2385"/>
      <c r="J27" s="2385"/>
      <c r="K27" s="2385"/>
      <c r="L27" s="2385"/>
      <c r="M27" s="2385"/>
      <c r="N27" s="2385"/>
      <c r="O27" s="2385"/>
      <c r="P27" s="2385"/>
      <c r="Q27" s="2385"/>
      <c r="R27" s="2385"/>
      <c r="S27" s="2385"/>
      <c r="T27" s="2385"/>
      <c r="U27" s="2385"/>
      <c r="V27" s="2385"/>
      <c r="W27" s="2385"/>
      <c r="X27" s="2385"/>
      <c r="Y27" s="2385"/>
      <c r="Z27" s="2385"/>
      <c r="AA27" s="2385"/>
      <c r="AB27" s="2385"/>
      <c r="AC27" s="2385"/>
      <c r="AD27" s="2385"/>
      <c r="AE27" s="2385"/>
      <c r="AF27" s="2385"/>
      <c r="AG27" s="2385"/>
      <c r="AH27" s="2385"/>
      <c r="AI27" s="2385"/>
      <c r="AJ27" s="2385"/>
      <c r="AK27" s="2385"/>
      <c r="AL27" s="1303"/>
      <c r="AM27" s="38"/>
      <c r="AN27" s="1138"/>
    </row>
    <row r="28" spans="1:42" s="46" customFormat="1" ht="12.75" customHeight="1">
      <c r="A28" s="38"/>
      <c r="B28" s="2385"/>
      <c r="C28" s="2385"/>
      <c r="D28" s="2385"/>
      <c r="E28" s="2385"/>
      <c r="F28" s="2385"/>
      <c r="G28" s="2385"/>
      <c r="H28" s="2385"/>
      <c r="I28" s="2385"/>
      <c r="J28" s="2385"/>
      <c r="K28" s="2385"/>
      <c r="L28" s="2385"/>
      <c r="M28" s="2385"/>
      <c r="N28" s="2385"/>
      <c r="O28" s="2385"/>
      <c r="P28" s="2385"/>
      <c r="Q28" s="2385"/>
      <c r="R28" s="2385"/>
      <c r="S28" s="2385"/>
      <c r="T28" s="2385"/>
      <c r="U28" s="2385"/>
      <c r="V28" s="2385"/>
      <c r="W28" s="2385"/>
      <c r="X28" s="2385"/>
      <c r="Y28" s="2385"/>
      <c r="Z28" s="2385"/>
      <c r="AA28" s="2385"/>
      <c r="AB28" s="2385"/>
      <c r="AC28" s="2385"/>
      <c r="AD28" s="2385"/>
      <c r="AE28" s="2385"/>
      <c r="AF28" s="2385"/>
      <c r="AG28" s="2385"/>
      <c r="AH28" s="2385"/>
      <c r="AI28" s="2385"/>
      <c r="AJ28" s="2385"/>
      <c r="AK28" s="2385"/>
      <c r="AL28" s="1303"/>
      <c r="AM28" s="38"/>
      <c r="AN28" s="1138"/>
    </row>
    <row r="29" spans="1:42" s="46" customFormat="1" ht="31.95" customHeight="1">
      <c r="A29" s="38"/>
      <c r="B29" s="2385"/>
      <c r="C29" s="2385"/>
      <c r="D29" s="2385"/>
      <c r="E29" s="2385"/>
      <c r="F29" s="2385"/>
      <c r="G29" s="2385"/>
      <c r="H29" s="2385"/>
      <c r="I29" s="2385"/>
      <c r="J29" s="2385"/>
      <c r="K29" s="2385"/>
      <c r="L29" s="2385"/>
      <c r="M29" s="2385"/>
      <c r="N29" s="2385"/>
      <c r="O29" s="2385"/>
      <c r="P29" s="2385"/>
      <c r="Q29" s="2385"/>
      <c r="R29" s="2385"/>
      <c r="S29" s="2385"/>
      <c r="T29" s="2385"/>
      <c r="U29" s="2385"/>
      <c r="V29" s="2385"/>
      <c r="W29" s="2385"/>
      <c r="X29" s="2385"/>
      <c r="Y29" s="2385"/>
      <c r="Z29" s="2385"/>
      <c r="AA29" s="2385"/>
      <c r="AB29" s="2385"/>
      <c r="AC29" s="2385"/>
      <c r="AD29" s="2385"/>
      <c r="AE29" s="2385"/>
      <c r="AF29" s="2385"/>
      <c r="AG29" s="2385"/>
      <c r="AH29" s="2385"/>
      <c r="AI29" s="2385"/>
      <c r="AJ29" s="2385"/>
      <c r="AK29" s="2385"/>
      <c r="AL29" s="1303"/>
      <c r="AM29" s="38"/>
      <c r="AN29" s="1138"/>
      <c r="AO29" s="745" t="s">
        <v>86</v>
      </c>
      <c r="AP29" s="596"/>
    </row>
    <row r="30" spans="1:42" s="46" customFormat="1" ht="12.75" customHeight="1">
      <c r="A30" s="8"/>
      <c r="B30" s="2386"/>
      <c r="C30" s="2386"/>
      <c r="D30" s="2386"/>
      <c r="E30" s="2386"/>
      <c r="F30" s="2386"/>
      <c r="G30" s="2386"/>
      <c r="H30" s="2386"/>
      <c r="I30" s="2386"/>
      <c r="J30" s="2386"/>
      <c r="K30" s="2386"/>
      <c r="L30" s="2386"/>
      <c r="M30" s="2386"/>
      <c r="N30" s="2386"/>
      <c r="O30" s="2386"/>
      <c r="P30" s="2386"/>
      <c r="Q30" s="2386"/>
      <c r="R30" s="2386"/>
      <c r="S30" s="2386"/>
      <c r="T30" s="2386"/>
      <c r="U30" s="2386"/>
      <c r="V30" s="2386"/>
      <c r="W30" s="2386"/>
      <c r="X30" s="2386"/>
      <c r="Y30" s="2386"/>
      <c r="Z30" s="2386"/>
      <c r="AA30" s="2386"/>
      <c r="AB30" s="2386"/>
      <c r="AC30" s="2386"/>
      <c r="AD30" s="2386"/>
      <c r="AE30" s="2386"/>
      <c r="AF30" s="2386"/>
      <c r="AG30" s="2386"/>
      <c r="AH30" s="2386"/>
      <c r="AI30" s="2386"/>
      <c r="AJ30" s="2386"/>
      <c r="AK30" s="2386"/>
      <c r="AL30" s="25"/>
      <c r="AM30" s="74"/>
      <c r="AN30" s="1138"/>
      <c r="AO30" s="596" t="s">
        <v>1381</v>
      </c>
      <c r="AP30" s="746">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8">
        <f>IF((AND(AND(OR(Application!D211="Nonprofit (qualified nonprofit organization)",Application!D211="Nonprofit (homeless assistance)",Application!D211="Special Needs/SRO"),Application!D214="Special Needs"),$AB$13="N/A")),VLOOKUP($B$16,$AO$14:$AP$16,2,FALSE),VLOOKUP($B$11,$AO$9:$AP$11,2,FALSE))</f>
        <v>7</v>
      </c>
      <c r="AK31" s="2518"/>
      <c r="AL31" s="1306"/>
      <c r="AM31" s="136"/>
      <c r="AN31" s="1138"/>
      <c r="AO31" s="596" t="s">
        <v>1380</v>
      </c>
      <c r="AP31" s="746">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8"/>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7" t="s">
        <v>66</v>
      </c>
      <c r="AG33" s="2367"/>
      <c r="AH33" s="2367"/>
      <c r="AI33" s="2367"/>
      <c r="AJ33" s="2367"/>
      <c r="AK33" s="2367"/>
      <c r="AL33" s="2367"/>
      <c r="AM33" s="151"/>
      <c r="AN33" s="1138"/>
      <c r="AO33" s="744"/>
      <c r="AP33" s="744"/>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8"/>
      <c r="AO34" s="744"/>
      <c r="AP34" s="744"/>
    </row>
    <row r="35" spans="1:43" s="46" customFormat="1" ht="12.75" customHeight="1">
      <c r="A35" s="8"/>
      <c r="C35" s="2345" t="s">
        <v>1380</v>
      </c>
      <c r="D35" s="2345"/>
      <c r="E35" s="2345"/>
      <c r="F35" s="2345"/>
      <c r="G35" s="2345"/>
      <c r="H35" s="2345"/>
      <c r="I35" s="2345"/>
      <c r="J35" s="2345"/>
      <c r="K35" s="2345"/>
      <c r="L35" s="2345"/>
      <c r="M35" s="2345"/>
      <c r="N35" s="2345"/>
      <c r="O35" s="2345"/>
      <c r="P35" s="2345"/>
      <c r="Q35" s="2345"/>
      <c r="R35" s="2345"/>
      <c r="S35" s="2345"/>
      <c r="T35" s="2345"/>
      <c r="U35" s="2345"/>
      <c r="V35" s="2345"/>
      <c r="W35" s="2345"/>
      <c r="X35" s="2345"/>
      <c r="Y35" s="2345"/>
      <c r="Z35" s="2345"/>
      <c r="AA35" s="2345"/>
      <c r="AB35" s="2345"/>
      <c r="AC35" s="2345"/>
      <c r="AD35" s="2345"/>
      <c r="AE35" s="28"/>
      <c r="AF35" s="28"/>
      <c r="AG35" s="28"/>
      <c r="AH35" s="28"/>
      <c r="AI35" s="28"/>
      <c r="AJ35" s="137"/>
      <c r="AK35" s="137"/>
      <c r="AL35" s="137"/>
      <c r="AM35" s="151"/>
      <c r="AN35" s="439"/>
      <c r="AO35" s="745"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1"/>
      <c r="AN36" s="439"/>
      <c r="AO36" s="596" t="s">
        <v>1412</v>
      </c>
      <c r="AP36" s="746">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20" t="s">
        <v>136</v>
      </c>
      <c r="AD37" s="2520"/>
      <c r="AE37" s="137"/>
      <c r="AF37" s="137"/>
      <c r="AG37" s="137"/>
      <c r="AH37" s="137"/>
      <c r="AI37" s="137"/>
      <c r="AJ37" s="137"/>
      <c r="AK37" s="137"/>
      <c r="AL37" s="137"/>
      <c r="AM37" s="641"/>
      <c r="AN37" s="439"/>
      <c r="AO37" s="596" t="s">
        <v>1413</v>
      </c>
      <c r="AP37" s="746">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1"/>
      <c r="AN38" s="439"/>
      <c r="AO38" s="596"/>
      <c r="AP38" s="747"/>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45" t="s">
        <v>1413</v>
      </c>
      <c r="D40" s="2345"/>
      <c r="E40" s="2345"/>
      <c r="F40" s="2345"/>
      <c r="G40" s="2345"/>
      <c r="H40" s="2345"/>
      <c r="I40" s="2345"/>
      <c r="J40" s="2345"/>
      <c r="K40" s="2345"/>
      <c r="L40" s="2345"/>
      <c r="M40" s="2345"/>
      <c r="N40" s="2345"/>
      <c r="O40" s="2345"/>
      <c r="P40" s="2345"/>
      <c r="Q40" s="2345"/>
      <c r="R40" s="2345"/>
      <c r="S40" s="2345"/>
      <c r="T40" s="2345"/>
      <c r="U40" s="2345"/>
      <c r="V40" s="2345"/>
      <c r="W40" s="2345"/>
      <c r="X40" s="2345"/>
      <c r="Y40" s="2345"/>
      <c r="Z40" s="2345"/>
      <c r="AA40" s="2345"/>
      <c r="AB40" s="2345"/>
      <c r="AC40" s="2345"/>
      <c r="AD40" s="2345"/>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1"/>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1"/>
      <c r="AN42" s="439"/>
    </row>
    <row r="43" spans="1:43" s="46" customFormat="1" ht="12.75" customHeight="1">
      <c r="A43" s="136"/>
      <c r="B43" s="8"/>
      <c r="AE43" s="137"/>
      <c r="AF43" s="137"/>
      <c r="AG43" s="137"/>
      <c r="AH43" s="137"/>
      <c r="AI43" s="137"/>
      <c r="AJ43" s="137"/>
      <c r="AK43" s="137"/>
      <c r="AL43" s="137"/>
      <c r="AM43" s="641"/>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5" t="s">
        <v>2457</v>
      </c>
      <c r="D45" s="2345"/>
      <c r="E45" s="2345"/>
      <c r="F45" s="2345"/>
      <c r="G45" s="2345"/>
      <c r="H45" s="2345"/>
      <c r="I45" s="2345"/>
      <c r="J45" s="2345"/>
      <c r="K45" s="2345"/>
      <c r="L45" s="2345"/>
      <c r="M45" s="2345"/>
      <c r="N45" s="2345"/>
      <c r="O45" s="2345"/>
      <c r="P45" s="2345"/>
      <c r="Q45" s="2345"/>
      <c r="R45" s="2345"/>
      <c r="S45" s="2345"/>
      <c r="T45" s="2345"/>
      <c r="U45" s="2345"/>
      <c r="V45" s="2345"/>
      <c r="W45" s="2345"/>
      <c r="X45" s="2345"/>
      <c r="Y45" s="2345"/>
      <c r="Z45" s="2345"/>
      <c r="AA45" s="2345"/>
      <c r="AB45" s="2345"/>
      <c r="AC45" s="2345"/>
      <c r="AD45" s="2345"/>
      <c r="AM45" s="151"/>
      <c r="AN45" s="1137"/>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8">
        <f>IF((AND(AND(OR(Application!D211="Nonprofit (qualified nonprofit organization)",Application!D211="Nonprofit (homeless assistance)",Application!D211="Special Needs/SRO"),Application!D214="Special Needs"),$AC$37="N/A")),VLOOKUP($C$40,$AO$35:$AP$37,2,FALSE),VLOOKUP($C$35,$AO$29:$AP$32,2,FALSE))</f>
        <v>3</v>
      </c>
      <c r="AK47" s="2428"/>
      <c r="AL47" s="781"/>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7" t="s">
        <v>1645</v>
      </c>
      <c r="C49" s="2377"/>
      <c r="D49" s="2377"/>
      <c r="E49" s="2377"/>
      <c r="F49" s="2377"/>
      <c r="G49" s="2377"/>
      <c r="H49" s="2377"/>
      <c r="I49" s="2377"/>
      <c r="J49" s="2377"/>
      <c r="K49" s="2377"/>
      <c r="L49" s="2377"/>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1300"/>
      <c r="AM49" s="163"/>
      <c r="AN49" s="439"/>
      <c r="AP49" s="46" t="s">
        <v>624</v>
      </c>
      <c r="AQ49" s="46">
        <v>10</v>
      </c>
    </row>
    <row r="50" spans="1:43" s="46" customFormat="1" ht="12.75" customHeight="1">
      <c r="A50" s="164"/>
      <c r="B50" s="2377"/>
      <c r="C50" s="2377"/>
      <c r="D50" s="2377"/>
      <c r="E50" s="2377"/>
      <c r="F50" s="2377"/>
      <c r="G50" s="2377"/>
      <c r="H50" s="2377"/>
      <c r="I50" s="2377"/>
      <c r="J50" s="2377"/>
      <c r="K50" s="2377"/>
      <c r="L50" s="2377"/>
      <c r="M50" s="2377"/>
      <c r="N50" s="2377"/>
      <c r="O50" s="2377"/>
      <c r="P50" s="2377"/>
      <c r="Q50" s="2377"/>
      <c r="R50" s="2377"/>
      <c r="S50" s="2377"/>
      <c r="T50" s="2377"/>
      <c r="U50" s="2377"/>
      <c r="V50" s="2377"/>
      <c r="W50" s="2377"/>
      <c r="X50" s="2377"/>
      <c r="Y50" s="2377"/>
      <c r="Z50" s="2377"/>
      <c r="AA50" s="2377"/>
      <c r="AB50" s="2377"/>
      <c r="AC50" s="2377"/>
      <c r="AD50" s="2377"/>
      <c r="AE50" s="2377"/>
      <c r="AF50" s="2377"/>
      <c r="AG50" s="2377"/>
      <c r="AH50" s="2377"/>
      <c r="AI50" s="2377"/>
      <c r="AJ50" s="2377"/>
      <c r="AK50" s="2377"/>
      <c r="AL50" s="1300"/>
      <c r="AM50" s="163"/>
      <c r="AN50" s="439"/>
      <c r="AP50" s="46" t="s">
        <v>681</v>
      </c>
      <c r="AQ50" s="46">
        <v>10</v>
      </c>
    </row>
    <row r="51" spans="1:43" s="46" customFormat="1" ht="12.75" customHeight="1">
      <c r="A51" s="164"/>
      <c r="B51" s="2377"/>
      <c r="C51" s="2377"/>
      <c r="D51" s="2377"/>
      <c r="E51" s="2377"/>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1300"/>
      <c r="AM51" s="163"/>
      <c r="AN51" s="439"/>
    </row>
    <row r="52" spans="1:43" s="137" customFormat="1" ht="12.75" customHeight="1">
      <c r="A52" s="164"/>
      <c r="B52" s="2377"/>
      <c r="C52" s="2377"/>
      <c r="D52" s="2377"/>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2377"/>
      <c r="AB52" s="2377"/>
      <c r="AC52" s="2377"/>
      <c r="AD52" s="2377"/>
      <c r="AE52" s="2377"/>
      <c r="AF52" s="2377"/>
      <c r="AG52" s="2377"/>
      <c r="AH52" s="2377"/>
      <c r="AI52" s="2377"/>
      <c r="AJ52" s="2377"/>
      <c r="AK52" s="2377"/>
      <c r="AL52" s="1300"/>
      <c r="AM52" s="163"/>
      <c r="AN52" s="1137"/>
    </row>
    <row r="53" spans="1:43" s="46" customFormat="1" ht="12.75" customHeight="1">
      <c r="A53" s="164"/>
      <c r="B53" s="2377"/>
      <c r="C53" s="2377"/>
      <c r="D53" s="2377"/>
      <c r="E53" s="2377"/>
      <c r="F53" s="2377"/>
      <c r="G53" s="2377"/>
      <c r="H53" s="2377"/>
      <c r="I53" s="2377"/>
      <c r="J53" s="2377"/>
      <c r="K53" s="2377"/>
      <c r="L53" s="2377"/>
      <c r="M53" s="2377"/>
      <c r="N53" s="2377"/>
      <c r="O53" s="2377"/>
      <c r="P53" s="2377"/>
      <c r="Q53" s="2377"/>
      <c r="R53" s="2377"/>
      <c r="S53" s="2377"/>
      <c r="T53" s="2377"/>
      <c r="U53" s="2377"/>
      <c r="V53" s="2377"/>
      <c r="W53" s="2377"/>
      <c r="X53" s="2377"/>
      <c r="Y53" s="2377"/>
      <c r="Z53" s="2377"/>
      <c r="AA53" s="2377"/>
      <c r="AB53" s="2377"/>
      <c r="AC53" s="2377"/>
      <c r="AD53" s="2377"/>
      <c r="AE53" s="2377"/>
      <c r="AF53" s="2377"/>
      <c r="AG53" s="2377"/>
      <c r="AH53" s="2377"/>
      <c r="AI53" s="2377"/>
      <c r="AJ53" s="2377"/>
      <c r="AK53" s="2377"/>
      <c r="AL53" s="1300"/>
      <c r="AM53" s="163"/>
      <c r="AN53" s="439"/>
    </row>
    <row r="54" spans="1:43" s="46" customFormat="1" ht="12.75" customHeight="1">
      <c r="A54" s="164"/>
      <c r="B54" s="2377"/>
      <c r="C54" s="2377"/>
      <c r="D54" s="2377"/>
      <c r="E54" s="2377"/>
      <c r="F54" s="2377"/>
      <c r="G54" s="2377"/>
      <c r="H54" s="2377"/>
      <c r="I54" s="2377"/>
      <c r="J54" s="2377"/>
      <c r="K54" s="2377"/>
      <c r="L54" s="2377"/>
      <c r="M54" s="2377"/>
      <c r="N54" s="2377"/>
      <c r="O54" s="2377"/>
      <c r="P54" s="2377"/>
      <c r="Q54" s="2377"/>
      <c r="R54" s="2377"/>
      <c r="S54" s="2377"/>
      <c r="T54" s="2377"/>
      <c r="U54" s="2377"/>
      <c r="V54" s="2377"/>
      <c r="W54" s="2377"/>
      <c r="X54" s="2377"/>
      <c r="Y54" s="2377"/>
      <c r="Z54" s="2377"/>
      <c r="AA54" s="2377"/>
      <c r="AB54" s="2377"/>
      <c r="AC54" s="2377"/>
      <c r="AD54" s="2377"/>
      <c r="AE54" s="2377"/>
      <c r="AF54" s="2377"/>
      <c r="AG54" s="2377"/>
      <c r="AH54" s="2377"/>
      <c r="AI54" s="2377"/>
      <c r="AJ54" s="2377"/>
      <c r="AK54" s="2377"/>
      <c r="AL54" s="1300"/>
      <c r="AM54" s="163"/>
      <c r="AN54" s="439"/>
    </row>
    <row r="55" spans="1:43" s="46" customFormat="1" ht="33.450000000000003" customHeight="1">
      <c r="A55" s="164"/>
      <c r="B55" s="2377"/>
      <c r="C55" s="2377"/>
      <c r="D55" s="2377"/>
      <c r="E55" s="2377"/>
      <c r="F55" s="2377"/>
      <c r="G55" s="2377"/>
      <c r="H55" s="2377"/>
      <c r="I55" s="2377"/>
      <c r="J55" s="2377"/>
      <c r="K55" s="2377"/>
      <c r="L55" s="2377"/>
      <c r="M55" s="2377"/>
      <c r="N55" s="2377"/>
      <c r="O55" s="2377"/>
      <c r="P55" s="2377"/>
      <c r="Q55" s="2377"/>
      <c r="R55" s="2377"/>
      <c r="S55" s="2377"/>
      <c r="T55" s="2377"/>
      <c r="U55" s="2377"/>
      <c r="V55" s="2377"/>
      <c r="W55" s="2377"/>
      <c r="X55" s="2377"/>
      <c r="Y55" s="2377"/>
      <c r="Z55" s="2377"/>
      <c r="AA55" s="2377"/>
      <c r="AB55" s="2377"/>
      <c r="AC55" s="2377"/>
      <c r="AD55" s="2377"/>
      <c r="AE55" s="2377"/>
      <c r="AF55" s="2377"/>
      <c r="AG55" s="2377"/>
      <c r="AH55" s="2377"/>
      <c r="AI55" s="2377"/>
      <c r="AJ55" s="2377"/>
      <c r="AK55" s="2377"/>
      <c r="AL55" s="1300"/>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7" t="s">
        <v>1646</v>
      </c>
      <c r="C57" s="2377"/>
      <c r="D57" s="2377"/>
      <c r="E57" s="2377"/>
      <c r="F57" s="2377"/>
      <c r="G57" s="2377"/>
      <c r="H57" s="2377"/>
      <c r="I57" s="2377"/>
      <c r="J57" s="2377"/>
      <c r="K57" s="2377"/>
      <c r="L57" s="2377"/>
      <c r="M57" s="2377"/>
      <c r="N57" s="2377"/>
      <c r="O57" s="2377"/>
      <c r="P57" s="2377"/>
      <c r="Q57" s="2377"/>
      <c r="R57" s="2377"/>
      <c r="S57" s="2377"/>
      <c r="T57" s="2377"/>
      <c r="U57" s="2377"/>
      <c r="V57" s="2377"/>
      <c r="W57" s="2377"/>
      <c r="X57" s="2377"/>
      <c r="Y57" s="2377"/>
      <c r="Z57" s="2377"/>
      <c r="AA57" s="2377"/>
      <c r="AB57" s="2377"/>
      <c r="AC57" s="2377"/>
      <c r="AD57" s="2377"/>
      <c r="AE57" s="2377"/>
      <c r="AF57" s="2377"/>
      <c r="AG57" s="2377"/>
      <c r="AH57" s="2377"/>
      <c r="AI57" s="2377"/>
      <c r="AJ57" s="2377"/>
      <c r="AK57" s="2377"/>
      <c r="AL57" s="1300"/>
      <c r="AM57" s="163"/>
      <c r="AN57" s="439"/>
    </row>
    <row r="58" spans="1:43" s="46" customFormat="1" ht="12.75" customHeight="1">
      <c r="A58" s="164"/>
      <c r="B58" s="2377"/>
      <c r="C58" s="2377"/>
      <c r="D58" s="2377"/>
      <c r="E58" s="2377"/>
      <c r="F58" s="2377"/>
      <c r="G58" s="2377"/>
      <c r="H58" s="2377"/>
      <c r="I58" s="2377"/>
      <c r="J58" s="2377"/>
      <c r="K58" s="2377"/>
      <c r="L58" s="2377"/>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c r="AI58" s="2377"/>
      <c r="AJ58" s="2377"/>
      <c r="AK58" s="2377"/>
      <c r="AL58" s="1300"/>
      <c r="AM58" s="163"/>
      <c r="AN58" s="439"/>
    </row>
    <row r="59" spans="1:43" s="46" customFormat="1" ht="12.75" customHeight="1">
      <c r="A59" s="164"/>
      <c r="B59" s="2377"/>
      <c r="C59" s="2377"/>
      <c r="D59" s="2377"/>
      <c r="E59" s="2377"/>
      <c r="F59" s="2377"/>
      <c r="G59" s="2377"/>
      <c r="H59" s="2377"/>
      <c r="I59" s="2377"/>
      <c r="J59" s="2377"/>
      <c r="K59" s="2377"/>
      <c r="L59" s="2377"/>
      <c r="M59" s="2377"/>
      <c r="N59" s="2377"/>
      <c r="O59" s="2377"/>
      <c r="P59" s="2377"/>
      <c r="Q59" s="2377"/>
      <c r="R59" s="2377"/>
      <c r="S59" s="2377"/>
      <c r="T59" s="2377"/>
      <c r="U59" s="2377"/>
      <c r="V59" s="2377"/>
      <c r="W59" s="2377"/>
      <c r="X59" s="2377"/>
      <c r="Y59" s="2377"/>
      <c r="Z59" s="2377"/>
      <c r="AA59" s="2377"/>
      <c r="AB59" s="2377"/>
      <c r="AC59" s="2377"/>
      <c r="AD59" s="2377"/>
      <c r="AE59" s="2377"/>
      <c r="AF59" s="2377"/>
      <c r="AG59" s="2377"/>
      <c r="AH59" s="2377"/>
      <c r="AI59" s="2377"/>
      <c r="AJ59" s="2377"/>
      <c r="AK59" s="2377"/>
      <c r="AL59" s="1300"/>
      <c r="AM59" s="163"/>
      <c r="AN59" s="439"/>
    </row>
    <row r="60" spans="1:43" s="46" customFormat="1" ht="17.7" customHeight="1">
      <c r="A60" s="164"/>
      <c r="B60" s="2377"/>
      <c r="C60" s="2377"/>
      <c r="D60" s="2377"/>
      <c r="E60" s="2377"/>
      <c r="F60" s="2377"/>
      <c r="G60" s="2377"/>
      <c r="H60" s="2377"/>
      <c r="I60" s="2377"/>
      <c r="J60" s="2377"/>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1300"/>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3"/>
      <c r="B62" s="2377" t="s">
        <v>1647</v>
      </c>
      <c r="C62" s="2377"/>
      <c r="D62" s="2377"/>
      <c r="E62" s="2377"/>
      <c r="F62" s="2377"/>
      <c r="G62" s="2377"/>
      <c r="H62" s="2377"/>
      <c r="I62" s="2377"/>
      <c r="J62" s="2377"/>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1300"/>
      <c r="AM62" s="163"/>
      <c r="AN62" s="439"/>
    </row>
    <row r="63" spans="1:43" s="46" customFormat="1" ht="12.75" customHeight="1">
      <c r="B63" s="2377"/>
      <c r="C63" s="2377"/>
      <c r="D63" s="2377"/>
      <c r="E63" s="2377"/>
      <c r="F63" s="2377"/>
      <c r="G63" s="2377"/>
      <c r="H63" s="2377"/>
      <c r="I63" s="2377"/>
      <c r="J63" s="2377"/>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1300"/>
      <c r="AM63" s="163"/>
      <c r="AN63" s="439"/>
    </row>
    <row r="64" spans="1:43" s="46" customFormat="1" ht="22.95" customHeight="1">
      <c r="A64" s="673"/>
      <c r="B64" s="2377"/>
      <c r="C64" s="2377"/>
      <c r="D64" s="2377"/>
      <c r="E64" s="2377"/>
      <c r="F64" s="2377"/>
      <c r="G64" s="2377"/>
      <c r="H64" s="2377"/>
      <c r="I64" s="2377"/>
      <c r="J64" s="2377"/>
      <c r="K64" s="2377"/>
      <c r="L64" s="2377"/>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7"/>
      <c r="AK64" s="2377"/>
      <c r="AL64" s="1300"/>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6" t="s">
        <v>1242</v>
      </c>
      <c r="AK66" s="2387">
        <f>$AJ$31+$AJ$47</f>
        <v>10</v>
      </c>
      <c r="AL66" s="2388"/>
      <c r="AM66" s="2389"/>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1634</v>
      </c>
      <c r="B69" s="173"/>
      <c r="C69" s="175"/>
      <c r="D69" s="176"/>
      <c r="E69" s="176"/>
      <c r="F69" s="176"/>
      <c r="G69" s="176"/>
      <c r="H69" s="176"/>
      <c r="I69" s="176"/>
      <c r="J69" s="176"/>
      <c r="Y69" s="177"/>
      <c r="Z69" s="177"/>
      <c r="AA69" s="177"/>
      <c r="AB69" s="177"/>
      <c r="AE69" s="2419" t="s">
        <v>408</v>
      </c>
      <c r="AF69" s="2419"/>
      <c r="AG69" s="2419"/>
      <c r="AH69" s="2419"/>
      <c r="AI69" s="2419"/>
      <c r="AJ69" s="2419"/>
      <c r="AK69" s="2419"/>
      <c r="AL69" s="1298"/>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345" t="s">
        <v>730</v>
      </c>
      <c r="C71" s="2345"/>
      <c r="D71" s="2345"/>
      <c r="E71" s="2345"/>
      <c r="F71" s="2345"/>
      <c r="G71" s="2345"/>
      <c r="H71" s="2345"/>
      <c r="I71" s="2345"/>
      <c r="J71" s="2345"/>
      <c r="K71" s="2345"/>
      <c r="P71" s="153"/>
      <c r="Q71" s="153"/>
      <c r="R71" s="153"/>
      <c r="S71" s="153"/>
      <c r="T71" s="153"/>
      <c r="U71" s="153"/>
      <c r="V71" s="153"/>
      <c r="W71" s="153"/>
      <c r="X71" s="153"/>
      <c r="AF71" s="2367" t="s">
        <v>1042</v>
      </c>
      <c r="AG71" s="2367"/>
      <c r="AH71" s="2367"/>
      <c r="AI71" s="2367"/>
      <c r="AJ71" s="2367"/>
      <c r="AK71" s="2367"/>
      <c r="AL71" s="2367"/>
      <c r="AN71" s="439"/>
      <c r="AP71" s="46" t="s">
        <v>136</v>
      </c>
    </row>
    <row r="72" spans="1:16384" s="46" customFormat="1" ht="12.75" customHeight="1">
      <c r="B72" s="2519" t="s">
        <v>1458</v>
      </c>
      <c r="C72" s="2519"/>
      <c r="D72" s="2519"/>
      <c r="E72" s="2519"/>
      <c r="F72" s="2519"/>
      <c r="G72" s="2519"/>
      <c r="H72" s="2519"/>
      <c r="I72" s="2519"/>
      <c r="J72" s="2519"/>
      <c r="K72" s="2519"/>
      <c r="L72" s="2519"/>
      <c r="M72" s="2519"/>
      <c r="N72" s="2519"/>
      <c r="O72" s="2519"/>
      <c r="P72" s="2519"/>
      <c r="Q72" s="2519"/>
      <c r="R72" s="2519"/>
      <c r="S72" s="2519"/>
      <c r="T72" s="2345" t="s">
        <v>136</v>
      </c>
      <c r="U72" s="2345"/>
      <c r="V72" s="2345"/>
      <c r="W72" s="2345"/>
      <c r="X72" s="2345"/>
      <c r="Y72" s="2345"/>
      <c r="Z72" s="2345"/>
      <c r="AA72" s="2345"/>
      <c r="AB72" s="2345"/>
      <c r="AC72" s="2345"/>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5"/>
      <c r="AJ73" s="1305" t="s">
        <v>648</v>
      </c>
      <c r="AK73" s="2364">
        <f>VLOOKUP($B$71,$AP$45:$AR$50,2,FALSE)</f>
        <v>10</v>
      </c>
      <c r="AL73" s="2365"/>
      <c r="AM73" s="2365"/>
      <c r="AN73" s="1325"/>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9" t="s">
        <v>1081</v>
      </c>
      <c r="AF78" s="2419"/>
      <c r="AG78" s="2419"/>
      <c r="AH78" s="2419"/>
      <c r="AI78" s="2419"/>
      <c r="AJ78" s="2419"/>
      <c r="AK78" s="2419"/>
      <c r="AL78" s="1298"/>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7" t="s">
        <v>2079</v>
      </c>
      <c r="C80" s="2377"/>
      <c r="D80" s="2377"/>
      <c r="E80" s="2377"/>
      <c r="F80" s="2377"/>
      <c r="G80" s="2377"/>
      <c r="H80" s="2377"/>
      <c r="I80" s="2377"/>
      <c r="J80" s="2377"/>
      <c r="K80" s="2377"/>
      <c r="L80" s="2377"/>
      <c r="M80" s="2377"/>
      <c r="N80" s="2377"/>
      <c r="O80" s="2377"/>
      <c r="P80" s="2377"/>
      <c r="Q80" s="2377"/>
      <c r="R80" s="2377"/>
      <c r="S80" s="2377"/>
      <c r="T80" s="2377"/>
      <c r="U80" s="2377"/>
      <c r="V80" s="2377"/>
      <c r="W80" s="2377"/>
      <c r="X80" s="2377"/>
      <c r="Y80" s="2377"/>
      <c r="Z80" s="2377"/>
      <c r="AA80" s="2377"/>
      <c r="AB80" s="2377"/>
      <c r="AC80" s="2377"/>
      <c r="AD80" s="2377"/>
      <c r="AE80" s="2377"/>
      <c r="AF80" s="2377"/>
      <c r="AG80" s="2377"/>
      <c r="AH80" s="2377"/>
      <c r="AI80" s="2377"/>
      <c r="AJ80" s="2377"/>
      <c r="AK80" s="2377"/>
      <c r="AL80" s="1300"/>
      <c r="AM80" s="163"/>
      <c r="AN80" s="439"/>
    </row>
    <row r="81" spans="1:42" s="46" customFormat="1" ht="12.75" customHeight="1">
      <c r="A81" s="163"/>
      <c r="B81" s="2377"/>
      <c r="C81" s="2377"/>
      <c r="D81" s="2377"/>
      <c r="E81" s="2377"/>
      <c r="F81" s="2377"/>
      <c r="G81" s="2377"/>
      <c r="H81" s="2377"/>
      <c r="I81" s="2377"/>
      <c r="J81" s="2377"/>
      <c r="K81" s="2377"/>
      <c r="L81" s="2377"/>
      <c r="M81" s="2377"/>
      <c r="N81" s="2377"/>
      <c r="O81" s="2377"/>
      <c r="P81" s="2377"/>
      <c r="Q81" s="2377"/>
      <c r="R81" s="2377"/>
      <c r="S81" s="2377"/>
      <c r="T81" s="2377"/>
      <c r="U81" s="2377"/>
      <c r="V81" s="2377"/>
      <c r="W81" s="2377"/>
      <c r="X81" s="2377"/>
      <c r="Y81" s="2377"/>
      <c r="Z81" s="2377"/>
      <c r="AA81" s="2377"/>
      <c r="AB81" s="2377"/>
      <c r="AC81" s="2377"/>
      <c r="AD81" s="2377"/>
      <c r="AE81" s="2377"/>
      <c r="AF81" s="2377"/>
      <c r="AG81" s="2377"/>
      <c r="AH81" s="2377"/>
      <c r="AI81" s="2377"/>
      <c r="AJ81" s="2377"/>
      <c r="AK81" s="2377"/>
      <c r="AL81" s="1300"/>
      <c r="AM81" s="163"/>
      <c r="AN81" s="439"/>
    </row>
    <row r="82" spans="1:42" s="46" customFormat="1" ht="12.75" customHeight="1">
      <c r="A82" s="163"/>
      <c r="B82" s="2377"/>
      <c r="C82" s="2377"/>
      <c r="D82" s="2377"/>
      <c r="E82" s="2377"/>
      <c r="F82" s="2377"/>
      <c r="G82" s="2377"/>
      <c r="H82" s="2377"/>
      <c r="I82" s="2377"/>
      <c r="J82" s="2377"/>
      <c r="K82" s="2377"/>
      <c r="L82" s="2377"/>
      <c r="M82" s="2377"/>
      <c r="N82" s="2377"/>
      <c r="O82" s="2377"/>
      <c r="P82" s="2377"/>
      <c r="Q82" s="2377"/>
      <c r="R82" s="2377"/>
      <c r="S82" s="2377"/>
      <c r="T82" s="2377"/>
      <c r="U82" s="2377"/>
      <c r="V82" s="2377"/>
      <c r="W82" s="2377"/>
      <c r="X82" s="2377"/>
      <c r="Y82" s="2377"/>
      <c r="Z82" s="2377"/>
      <c r="AA82" s="2377"/>
      <c r="AB82" s="2377"/>
      <c r="AC82" s="2377"/>
      <c r="AD82" s="2377"/>
      <c r="AE82" s="2377"/>
      <c r="AF82" s="2377"/>
      <c r="AG82" s="2377"/>
      <c r="AH82" s="2377"/>
      <c r="AI82" s="2377"/>
      <c r="AJ82" s="2377"/>
      <c r="AK82" s="2377"/>
      <c r="AL82" s="1300"/>
      <c r="AM82" s="163"/>
      <c r="AN82" s="439"/>
    </row>
    <row r="83" spans="1:42" s="46" customFormat="1" ht="12.75" customHeight="1">
      <c r="A83" s="163"/>
      <c r="B83" s="2377"/>
      <c r="C83" s="2377"/>
      <c r="D83" s="2377"/>
      <c r="E83" s="2377"/>
      <c r="F83" s="2377"/>
      <c r="G83" s="2377"/>
      <c r="H83" s="2377"/>
      <c r="I83" s="2377"/>
      <c r="J83" s="2377"/>
      <c r="K83" s="2377"/>
      <c r="L83" s="2377"/>
      <c r="M83" s="2377"/>
      <c r="N83" s="2377"/>
      <c r="O83" s="2377"/>
      <c r="P83" s="2377"/>
      <c r="Q83" s="2377"/>
      <c r="R83" s="2377"/>
      <c r="S83" s="2377"/>
      <c r="T83" s="2377"/>
      <c r="U83" s="2377"/>
      <c r="V83" s="2377"/>
      <c r="W83" s="2377"/>
      <c r="X83" s="2377"/>
      <c r="Y83" s="2377"/>
      <c r="Z83" s="2377"/>
      <c r="AA83" s="2377"/>
      <c r="AB83" s="2377"/>
      <c r="AC83" s="2377"/>
      <c r="AD83" s="2377"/>
      <c r="AE83" s="2377"/>
      <c r="AF83" s="2377"/>
      <c r="AG83" s="2377"/>
      <c r="AH83" s="2377"/>
      <c r="AI83" s="2377"/>
      <c r="AJ83" s="2377"/>
      <c r="AK83" s="2377"/>
      <c r="AL83" s="1300"/>
      <c r="AM83" s="163"/>
      <c r="AN83" s="439"/>
    </row>
    <row r="84" spans="1:42" s="46" customFormat="1" ht="12.75" customHeight="1">
      <c r="A84" s="163"/>
      <c r="B84" s="2377"/>
      <c r="C84" s="2377"/>
      <c r="D84" s="2377"/>
      <c r="E84" s="2377"/>
      <c r="F84" s="2377"/>
      <c r="G84" s="2377"/>
      <c r="H84" s="2377"/>
      <c r="I84" s="2377"/>
      <c r="J84" s="2377"/>
      <c r="K84" s="2377"/>
      <c r="L84" s="2377"/>
      <c r="M84" s="2377"/>
      <c r="N84" s="2377"/>
      <c r="O84" s="2377"/>
      <c r="P84" s="2377"/>
      <c r="Q84" s="2377"/>
      <c r="R84" s="2377"/>
      <c r="S84" s="2377"/>
      <c r="T84" s="2377"/>
      <c r="U84" s="2377"/>
      <c r="V84" s="2377"/>
      <c r="W84" s="2377"/>
      <c r="X84" s="2377"/>
      <c r="Y84" s="2377"/>
      <c r="Z84" s="2377"/>
      <c r="AA84" s="2377"/>
      <c r="AB84" s="2377"/>
      <c r="AC84" s="2377"/>
      <c r="AD84" s="2377"/>
      <c r="AE84" s="2377"/>
      <c r="AF84" s="2377"/>
      <c r="AG84" s="2377"/>
      <c r="AH84" s="2377"/>
      <c r="AI84" s="2377"/>
      <c r="AJ84" s="2377"/>
      <c r="AK84" s="2377"/>
      <c r="AL84" s="1300"/>
      <c r="AM84" s="163"/>
      <c r="AN84" s="439"/>
    </row>
    <row r="85" spans="1:42" s="46" customFormat="1" ht="12.75" customHeight="1">
      <c r="A85" s="163"/>
      <c r="B85" s="2377"/>
      <c r="C85" s="2377"/>
      <c r="D85" s="2377"/>
      <c r="E85" s="2377"/>
      <c r="F85" s="2377"/>
      <c r="G85" s="2377"/>
      <c r="H85" s="2377"/>
      <c r="I85" s="2377"/>
      <c r="J85" s="2377"/>
      <c r="K85" s="2377"/>
      <c r="L85" s="2377"/>
      <c r="M85" s="2377"/>
      <c r="N85" s="2377"/>
      <c r="O85" s="2377"/>
      <c r="P85" s="2377"/>
      <c r="Q85" s="2377"/>
      <c r="R85" s="2377"/>
      <c r="S85" s="2377"/>
      <c r="T85" s="2377"/>
      <c r="U85" s="2377"/>
      <c r="V85" s="2377"/>
      <c r="W85" s="2377"/>
      <c r="X85" s="2377"/>
      <c r="Y85" s="2377"/>
      <c r="Z85" s="2377"/>
      <c r="AA85" s="2377"/>
      <c r="AB85" s="2377"/>
      <c r="AC85" s="2377"/>
      <c r="AD85" s="2377"/>
      <c r="AE85" s="2377"/>
      <c r="AF85" s="2377"/>
      <c r="AG85" s="2377"/>
      <c r="AH85" s="2377"/>
      <c r="AI85" s="2377"/>
      <c r="AJ85" s="2377"/>
      <c r="AK85" s="2377"/>
      <c r="AL85" s="1300"/>
      <c r="AM85" s="163"/>
      <c r="AN85" s="439"/>
    </row>
    <row r="86" spans="1:42" ht="12.75" customHeight="1">
      <c r="A86" s="163"/>
      <c r="B86" s="2377"/>
      <c r="C86" s="2377"/>
      <c r="D86" s="2377"/>
      <c r="E86" s="2377"/>
      <c r="F86" s="2377"/>
      <c r="G86" s="2377"/>
      <c r="H86" s="2377"/>
      <c r="I86" s="2377"/>
      <c r="J86" s="2377"/>
      <c r="K86" s="2377"/>
      <c r="L86" s="2377"/>
      <c r="M86" s="2377"/>
      <c r="N86" s="2377"/>
      <c r="O86" s="2377"/>
      <c r="P86" s="2377"/>
      <c r="Q86" s="2377"/>
      <c r="R86" s="2377"/>
      <c r="S86" s="2377"/>
      <c r="T86" s="2377"/>
      <c r="U86" s="2377"/>
      <c r="V86" s="2377"/>
      <c r="W86" s="2377"/>
      <c r="X86" s="2377"/>
      <c r="Y86" s="2377"/>
      <c r="Z86" s="2377"/>
      <c r="AA86" s="2377"/>
      <c r="AB86" s="2377"/>
      <c r="AC86" s="2377"/>
      <c r="AD86" s="2377"/>
      <c r="AE86" s="2377"/>
      <c r="AF86" s="2377"/>
      <c r="AG86" s="2377"/>
      <c r="AH86" s="2377"/>
      <c r="AI86" s="2377"/>
      <c r="AJ86" s="2377"/>
      <c r="AK86" s="2377"/>
      <c r="AL86" s="1300"/>
      <c r="AM86" s="163"/>
    </row>
    <row r="87" spans="1:42" s="46" customFormat="1" ht="12.75" customHeight="1">
      <c r="A87" s="28"/>
      <c r="B87" s="2377"/>
      <c r="C87" s="2377"/>
      <c r="D87" s="2377"/>
      <c r="E87" s="2377"/>
      <c r="F87" s="2377"/>
      <c r="G87" s="2377"/>
      <c r="H87" s="2377"/>
      <c r="I87" s="2377"/>
      <c r="J87" s="2377"/>
      <c r="K87" s="2377"/>
      <c r="L87" s="2377"/>
      <c r="M87" s="2377"/>
      <c r="N87" s="2377"/>
      <c r="O87" s="2377"/>
      <c r="P87" s="2377"/>
      <c r="Q87" s="2377"/>
      <c r="R87" s="2377"/>
      <c r="S87" s="2377"/>
      <c r="T87" s="2377"/>
      <c r="U87" s="2377"/>
      <c r="V87" s="2377"/>
      <c r="W87" s="2377"/>
      <c r="X87" s="2377"/>
      <c r="Y87" s="2377"/>
      <c r="Z87" s="2377"/>
      <c r="AA87" s="2377"/>
      <c r="AB87" s="2377"/>
      <c r="AC87" s="2377"/>
      <c r="AD87" s="2377"/>
      <c r="AE87" s="2377"/>
      <c r="AF87" s="2377"/>
      <c r="AG87" s="2377"/>
      <c r="AH87" s="2377"/>
      <c r="AI87" s="2377"/>
      <c r="AJ87" s="2377"/>
      <c r="AK87" s="2377"/>
      <c r="AL87" s="1300"/>
      <c r="AM87" s="153"/>
      <c r="AN87" s="439"/>
    </row>
    <row r="88" spans="1:42" s="46" customFormat="1" ht="12.75" customHeight="1">
      <c r="A88" s="28"/>
      <c r="B88" s="2377"/>
      <c r="C88" s="2377"/>
      <c r="D88" s="2377"/>
      <c r="E88" s="2377"/>
      <c r="F88" s="2377"/>
      <c r="G88" s="2377"/>
      <c r="H88" s="2377"/>
      <c r="I88" s="2377"/>
      <c r="J88" s="2377"/>
      <c r="K88" s="2377"/>
      <c r="L88" s="2377"/>
      <c r="M88" s="2377"/>
      <c r="N88" s="2377"/>
      <c r="O88" s="2377"/>
      <c r="P88" s="2377"/>
      <c r="Q88" s="2377"/>
      <c r="R88" s="2377"/>
      <c r="S88" s="2377"/>
      <c r="T88" s="2377"/>
      <c r="U88" s="2377"/>
      <c r="V88" s="2377"/>
      <c r="W88" s="2377"/>
      <c r="X88" s="2377"/>
      <c r="Y88" s="2377"/>
      <c r="Z88" s="2377"/>
      <c r="AA88" s="2377"/>
      <c r="AB88" s="2377"/>
      <c r="AC88" s="2377"/>
      <c r="AD88" s="2377"/>
      <c r="AE88" s="2377"/>
      <c r="AF88" s="2377"/>
      <c r="AG88" s="2377"/>
      <c r="AH88" s="2377"/>
      <c r="AI88" s="2377"/>
      <c r="AJ88" s="2377"/>
      <c r="AK88" s="2377"/>
      <c r="AL88" s="1300"/>
      <c r="AM88" s="153"/>
      <c r="AN88" s="439"/>
    </row>
    <row r="89" spans="1:42" s="46" customFormat="1" ht="14.7" customHeight="1">
      <c r="A89" s="28"/>
      <c r="B89" s="2377"/>
      <c r="C89" s="2377"/>
      <c r="D89" s="2377"/>
      <c r="E89" s="2377"/>
      <c r="F89" s="2377"/>
      <c r="G89" s="2377"/>
      <c r="H89" s="2377"/>
      <c r="I89" s="2377"/>
      <c r="J89" s="2377"/>
      <c r="K89" s="2377"/>
      <c r="L89" s="2377"/>
      <c r="M89" s="2377"/>
      <c r="N89" s="2377"/>
      <c r="O89" s="2377"/>
      <c r="P89" s="2377"/>
      <c r="Q89" s="2377"/>
      <c r="R89" s="2377"/>
      <c r="S89" s="2377"/>
      <c r="T89" s="2377"/>
      <c r="U89" s="2377"/>
      <c r="V89" s="2377"/>
      <c r="W89" s="2377"/>
      <c r="X89" s="2377"/>
      <c r="Y89" s="2377"/>
      <c r="Z89" s="2377"/>
      <c r="AA89" s="2377"/>
      <c r="AB89" s="2377"/>
      <c r="AC89" s="2377"/>
      <c r="AD89" s="2377"/>
      <c r="AE89" s="2377"/>
      <c r="AF89" s="2377"/>
      <c r="AG89" s="2377"/>
      <c r="AH89" s="2377"/>
      <c r="AI89" s="2377"/>
      <c r="AJ89" s="2377"/>
      <c r="AK89" s="2377"/>
      <c r="AL89" s="1300"/>
      <c r="AM89" s="153"/>
      <c r="AN89" s="439"/>
    </row>
    <row r="90" spans="1:42" s="46" customFormat="1" ht="12.75" customHeight="1">
      <c r="A90" s="28"/>
      <c r="B90" s="2377"/>
      <c r="C90" s="2377"/>
      <c r="D90" s="2377"/>
      <c r="E90" s="2377"/>
      <c r="F90" s="2377"/>
      <c r="G90" s="2377"/>
      <c r="H90" s="2377"/>
      <c r="I90" s="2377"/>
      <c r="J90" s="2377"/>
      <c r="K90" s="2377"/>
      <c r="L90" s="2377"/>
      <c r="M90" s="2377"/>
      <c r="N90" s="2377"/>
      <c r="O90" s="2377"/>
      <c r="P90" s="2377"/>
      <c r="Q90" s="2377"/>
      <c r="R90" s="2377"/>
      <c r="S90" s="2377"/>
      <c r="T90" s="2377"/>
      <c r="U90" s="2377"/>
      <c r="V90" s="2377"/>
      <c r="W90" s="2377"/>
      <c r="X90" s="2377"/>
      <c r="Y90" s="2377"/>
      <c r="Z90" s="2377"/>
      <c r="AA90" s="2377"/>
      <c r="AB90" s="2377"/>
      <c r="AC90" s="2377"/>
      <c r="AD90" s="2377"/>
      <c r="AE90" s="2377"/>
      <c r="AF90" s="2377"/>
      <c r="AG90" s="2377"/>
      <c r="AH90" s="2377"/>
      <c r="AI90" s="2377"/>
      <c r="AJ90" s="2377"/>
      <c r="AK90" s="2377"/>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6"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7" t="s">
        <v>937</v>
      </c>
      <c r="AG95" s="2367"/>
      <c r="AH95" s="2367"/>
      <c r="AI95" s="2367"/>
      <c r="AJ95" s="2367"/>
      <c r="AK95" s="2367"/>
      <c r="AL95" s="2367"/>
      <c r="AM95" s="153"/>
      <c r="AN95" s="439"/>
    </row>
    <row r="96" spans="1:42" s="46" customFormat="1" ht="12.75" customHeight="1">
      <c r="A96" s="153"/>
      <c r="B96" s="153"/>
      <c r="C96" s="27"/>
      <c r="D96" s="144"/>
      <c r="E96" s="676"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6"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6"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7"/>
    </row>
    <row r="100" spans="1:53" s="46" customFormat="1" ht="12.75" customHeight="1">
      <c r="A100" s="57"/>
      <c r="B100" s="74"/>
      <c r="C100" s="77"/>
      <c r="D100" s="144" t="s">
        <v>214</v>
      </c>
      <c r="E100" s="676"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7" t="s">
        <v>63</v>
      </c>
      <c r="AG100" s="2367"/>
      <c r="AH100" s="2367"/>
      <c r="AI100" s="2367"/>
      <c r="AJ100" s="2367"/>
      <c r="AK100" s="2367"/>
      <c r="AL100" s="2367"/>
      <c r="AM100" s="153"/>
      <c r="AN100" s="439"/>
    </row>
    <row r="101" spans="1:53" s="46" customFormat="1" ht="12.75" customHeight="1">
      <c r="A101" s="28"/>
      <c r="B101" s="161"/>
      <c r="C101" s="187"/>
      <c r="D101" s="144"/>
      <c r="E101" s="676"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1">
        <v>0</v>
      </c>
    </row>
    <row r="102" spans="1:53" s="46" customFormat="1" ht="12.75" customHeight="1">
      <c r="A102" s="28"/>
      <c r="B102" s="148"/>
      <c r="C102" s="188"/>
      <c r="D102" s="144"/>
      <c r="E102" s="676"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6"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6"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7" t="s">
        <v>64</v>
      </c>
      <c r="AG105" s="2367"/>
      <c r="AH105" s="2367"/>
      <c r="AI105" s="2367"/>
      <c r="AJ105" s="2367"/>
      <c r="AK105" s="2367"/>
      <c r="AL105" s="2367"/>
      <c r="AM105" s="153"/>
      <c r="AN105" s="439"/>
      <c r="AO105" s="144" t="s">
        <v>798</v>
      </c>
      <c r="AP105" s="46">
        <v>4</v>
      </c>
    </row>
    <row r="106" spans="1:53" s="46" customFormat="1" ht="12.75" customHeight="1">
      <c r="A106" s="28"/>
      <c r="B106" s="161"/>
      <c r="C106" s="187"/>
      <c r="D106" s="144"/>
      <c r="E106" s="676"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6"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6"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6"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7" t="s">
        <v>65</v>
      </c>
      <c r="AG110" s="2367"/>
      <c r="AH110" s="2367"/>
      <c r="AI110" s="2367"/>
      <c r="AJ110" s="2367"/>
      <c r="AK110" s="2367"/>
      <c r="AL110" s="2367"/>
      <c r="AM110" s="153"/>
      <c r="AN110" s="439"/>
      <c r="AO110" s="46" t="str">
        <f>S138</f>
        <v>N/A</v>
      </c>
    </row>
    <row r="111" spans="1:53" s="46" customFormat="1" ht="12.75" customHeight="1">
      <c r="A111" s="28"/>
      <c r="B111" s="161"/>
      <c r="C111" s="187"/>
      <c r="D111" s="144"/>
      <c r="E111" s="676"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6"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6"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7" t="s">
        <v>66</v>
      </c>
      <c r="AG114" s="2367"/>
      <c r="AH114" s="2367"/>
      <c r="AI114" s="2367"/>
      <c r="AJ114" s="2367"/>
      <c r="AK114" s="2367"/>
      <c r="AL114" s="2367"/>
      <c r="AM114" s="153"/>
      <c r="AN114" s="1137"/>
    </row>
    <row r="115" spans="1:47" s="46" customFormat="1" ht="12.75" customHeight="1">
      <c r="A115" s="28"/>
      <c r="B115" s="74"/>
      <c r="C115" s="77"/>
      <c r="D115" s="144"/>
      <c r="E115" s="676"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1">
        <v>0</v>
      </c>
      <c r="AT116" s="46" t="s">
        <v>136</v>
      </c>
      <c r="AU116" s="751">
        <v>0</v>
      </c>
    </row>
    <row r="117" spans="1:47" s="46" customFormat="1" ht="12.75" customHeight="1">
      <c r="A117" s="28"/>
      <c r="B117" s="161"/>
      <c r="C117" s="187"/>
      <c r="D117" s="28" t="s">
        <v>163</v>
      </c>
      <c r="E117" s="190"/>
      <c r="F117" s="190"/>
      <c r="G117" s="190"/>
      <c r="H117" s="2376" t="s">
        <v>799</v>
      </c>
      <c r="I117" s="237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1">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23" t="s">
        <v>136</v>
      </c>
      <c r="I123" s="2523"/>
      <c r="J123" s="2523"/>
      <c r="K123" s="2523"/>
      <c r="L123" s="2523"/>
      <c r="M123" s="2523"/>
      <c r="N123" s="2523"/>
      <c r="O123" s="2523"/>
      <c r="P123" s="2523"/>
      <c r="Q123" s="2523"/>
      <c r="R123" s="2523"/>
      <c r="S123" s="2523"/>
      <c r="T123" s="2523"/>
      <c r="U123" s="2523"/>
      <c r="V123" s="2523"/>
      <c r="W123" s="2523"/>
      <c r="X123" s="2523"/>
      <c r="Y123" s="2523"/>
      <c r="Z123" s="2523"/>
      <c r="AA123" s="2523"/>
      <c r="AB123" s="2523"/>
      <c r="AC123" s="2523"/>
      <c r="AD123" s="2523"/>
      <c r="AE123" s="2523"/>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7"/>
      <c r="AM124" s="46"/>
      <c r="AN124" s="1137"/>
    </row>
    <row r="125" spans="1:47" s="46" customFormat="1" ht="12.75" customHeight="1">
      <c r="A125" s="28"/>
      <c r="B125" s="1870" t="s">
        <v>136</v>
      </c>
      <c r="C125" s="1870"/>
      <c r="D125" s="436"/>
      <c r="E125" s="2377" t="s">
        <v>1999</v>
      </c>
      <c r="F125" s="2377"/>
      <c r="G125" s="2377"/>
      <c r="H125" s="2377"/>
      <c r="I125" s="2377"/>
      <c r="J125" s="2377"/>
      <c r="K125" s="2377"/>
      <c r="L125" s="2377"/>
      <c r="M125" s="2377"/>
      <c r="N125" s="2377"/>
      <c r="O125" s="2377"/>
      <c r="P125" s="2377"/>
      <c r="Q125" s="2377"/>
      <c r="R125" s="2377"/>
      <c r="S125" s="2377"/>
      <c r="T125" s="2377"/>
      <c r="U125" s="2377"/>
      <c r="V125" s="2377"/>
      <c r="W125" s="2377"/>
      <c r="X125" s="2377"/>
      <c r="Y125" s="2377"/>
      <c r="Z125" s="2377"/>
      <c r="AA125" s="2377"/>
      <c r="AB125" s="2377"/>
      <c r="AC125" s="2377"/>
      <c r="AD125" s="2377"/>
      <c r="AE125" s="2377"/>
      <c r="AF125" s="2377"/>
      <c r="AG125" s="2377"/>
      <c r="AH125" s="436"/>
      <c r="AI125" s="436"/>
      <c r="AJ125" s="436"/>
      <c r="AK125" s="436"/>
      <c r="AL125" s="1297"/>
      <c r="AN125" s="439"/>
    </row>
    <row r="126" spans="1:47" s="46" customFormat="1" ht="12.75" customHeight="1">
      <c r="A126" s="28"/>
      <c r="B126" s="161"/>
      <c r="C126" s="187"/>
      <c r="D126" s="436"/>
      <c r="E126" s="2377"/>
      <c r="F126" s="2377"/>
      <c r="G126" s="2377"/>
      <c r="H126" s="2377"/>
      <c r="I126" s="2377"/>
      <c r="J126" s="2377"/>
      <c r="K126" s="2377"/>
      <c r="L126" s="2377"/>
      <c r="M126" s="2377"/>
      <c r="N126" s="2377"/>
      <c r="O126" s="2377"/>
      <c r="P126" s="2377"/>
      <c r="Q126" s="2377"/>
      <c r="R126" s="2377"/>
      <c r="S126" s="2377"/>
      <c r="T126" s="2377"/>
      <c r="U126" s="2377"/>
      <c r="V126" s="2377"/>
      <c r="W126" s="2377"/>
      <c r="X126" s="2377"/>
      <c r="Y126" s="2377"/>
      <c r="Z126" s="2377"/>
      <c r="AA126" s="2377"/>
      <c r="AB126" s="2377"/>
      <c r="AC126" s="2377"/>
      <c r="AD126" s="2377"/>
      <c r="AE126" s="2377"/>
      <c r="AF126" s="2377"/>
      <c r="AG126" s="2377"/>
      <c r="AH126" s="436"/>
      <c r="AI126" s="436"/>
      <c r="AJ126" s="436"/>
      <c r="AK126" s="436"/>
      <c r="AL126" s="1297"/>
      <c r="AN126" s="439"/>
    </row>
    <row r="127" spans="1:47" s="46" customFormat="1" ht="12.75" customHeight="1">
      <c r="A127" s="28"/>
      <c r="B127" s="161"/>
      <c r="C127" s="187"/>
      <c r="D127" s="436"/>
      <c r="E127" s="2377"/>
      <c r="F127" s="2377"/>
      <c r="G127" s="2377"/>
      <c r="H127" s="2377"/>
      <c r="I127" s="2377"/>
      <c r="J127" s="2377"/>
      <c r="K127" s="2377"/>
      <c r="L127" s="2377"/>
      <c r="M127" s="2377"/>
      <c r="N127" s="2377"/>
      <c r="O127" s="2377"/>
      <c r="P127" s="2377"/>
      <c r="Q127" s="2377"/>
      <c r="R127" s="2377"/>
      <c r="S127" s="2377"/>
      <c r="T127" s="2377"/>
      <c r="U127" s="2377"/>
      <c r="V127" s="2377"/>
      <c r="W127" s="2377"/>
      <c r="X127" s="2377"/>
      <c r="Y127" s="2377"/>
      <c r="Z127" s="2377"/>
      <c r="AA127" s="2377"/>
      <c r="AB127" s="2377"/>
      <c r="AC127" s="2377"/>
      <c r="AD127" s="2377"/>
      <c r="AE127" s="2377"/>
      <c r="AF127" s="2377"/>
      <c r="AG127" s="2377"/>
      <c r="AH127" s="436"/>
      <c r="AI127" s="436"/>
      <c r="AJ127" s="436"/>
      <c r="AK127" s="436"/>
      <c r="AL127" s="1297"/>
      <c r="AN127" s="439"/>
    </row>
    <row r="128" spans="1:47" s="46" customFormat="1" ht="12.75" customHeight="1">
      <c r="A128" s="28"/>
      <c r="B128" s="161"/>
      <c r="C128" s="187"/>
      <c r="D128" s="478"/>
      <c r="E128" s="2522"/>
      <c r="F128" s="2522"/>
      <c r="G128" s="2522"/>
      <c r="H128" s="2522"/>
      <c r="I128" s="2522"/>
      <c r="J128" s="2522"/>
      <c r="K128" s="2522"/>
      <c r="L128" s="2522"/>
      <c r="M128" s="2522"/>
      <c r="N128" s="2522"/>
      <c r="O128" s="2522"/>
      <c r="P128" s="2522"/>
      <c r="Q128" s="2522"/>
      <c r="R128" s="2522"/>
      <c r="S128" s="2522"/>
      <c r="T128" s="2522"/>
      <c r="U128" s="2522"/>
      <c r="V128" s="2522"/>
      <c r="W128" s="2522"/>
      <c r="X128" s="2522"/>
      <c r="Y128" s="2522"/>
      <c r="Z128" s="2522"/>
      <c r="AA128" s="2522"/>
      <c r="AB128" s="2522"/>
      <c r="AC128" s="2522"/>
      <c r="AD128" s="2522"/>
      <c r="AE128" s="2522"/>
      <c r="AF128" s="2522"/>
      <c r="AG128" s="252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64">
        <f>VLOOKUP($H$117,$AO$101:$AP$106,2,FALSE)+VLOOKUP($H$123,$AO$121:$AP$123,2,FALSE)</f>
        <v>3</v>
      </c>
      <c r="AK129" s="236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4"/>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1" t="s">
        <v>2084</v>
      </c>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c r="AA133" s="2521"/>
      <c r="AB133" s="2521"/>
      <c r="AC133" s="2521"/>
      <c r="AD133" s="2521"/>
      <c r="AF133" s="2367" t="s">
        <v>66</v>
      </c>
      <c r="AG133" s="2367"/>
      <c r="AH133" s="2367"/>
      <c r="AI133" s="2367"/>
      <c r="AJ133" s="2367"/>
      <c r="AK133" s="2367"/>
      <c r="AL133" s="2367"/>
      <c r="AM133" s="153"/>
      <c r="AN133" s="475"/>
    </row>
    <row r="134" spans="1:42" s="46" customFormat="1" ht="12.75" customHeight="1">
      <c r="A134" s="195"/>
      <c r="B134" s="161"/>
      <c r="C134" s="187"/>
      <c r="D134" s="144"/>
      <c r="E134" s="2521"/>
      <c r="F134" s="2521"/>
      <c r="G134" s="2521"/>
      <c r="H134" s="2521"/>
      <c r="I134" s="2521"/>
      <c r="J134" s="2521"/>
      <c r="K134" s="2521"/>
      <c r="L134" s="2521"/>
      <c r="M134" s="2521"/>
      <c r="N134" s="2521"/>
      <c r="O134" s="2521"/>
      <c r="P134" s="2521"/>
      <c r="Q134" s="2521"/>
      <c r="R134" s="2521"/>
      <c r="S134" s="2521"/>
      <c r="T134" s="2521"/>
      <c r="U134" s="2521"/>
      <c r="V134" s="2521"/>
      <c r="W134" s="2521"/>
      <c r="X134" s="2521"/>
      <c r="Y134" s="2521"/>
      <c r="Z134" s="2521"/>
      <c r="AA134" s="2521"/>
      <c r="AB134" s="2521"/>
      <c r="AC134" s="2521"/>
      <c r="AD134" s="2521"/>
      <c r="AE134" s="153"/>
      <c r="AF134" s="74"/>
      <c r="AG134" s="153"/>
      <c r="AH134" s="153"/>
      <c r="AI134" s="153"/>
      <c r="AJ134" s="153"/>
      <c r="AK134" s="153"/>
      <c r="AL134" s="153"/>
      <c r="AM134" s="153"/>
      <c r="AN134" s="439"/>
    </row>
    <row r="135" spans="1:42" s="46" customFormat="1" ht="12.75" customHeight="1">
      <c r="A135" s="28"/>
      <c r="B135" s="161"/>
      <c r="C135" s="188"/>
      <c r="D135" s="144"/>
      <c r="E135" s="2521"/>
      <c r="F135" s="2521"/>
      <c r="G135" s="2521"/>
      <c r="H135" s="2521"/>
      <c r="I135" s="2521"/>
      <c r="J135" s="2521"/>
      <c r="K135" s="2521"/>
      <c r="L135" s="2521"/>
      <c r="M135" s="2521"/>
      <c r="N135" s="2521"/>
      <c r="O135" s="2521"/>
      <c r="P135" s="2521"/>
      <c r="Q135" s="2521"/>
      <c r="R135" s="2521"/>
      <c r="S135" s="2521"/>
      <c r="T135" s="2521"/>
      <c r="U135" s="2521"/>
      <c r="V135" s="2521"/>
      <c r="W135" s="2521"/>
      <c r="X135" s="2521"/>
      <c r="Y135" s="2521"/>
      <c r="Z135" s="2521"/>
      <c r="AA135" s="2521"/>
      <c r="AB135" s="2521"/>
      <c r="AC135" s="2521"/>
      <c r="AD135" s="2521"/>
      <c r="AE135" s="153"/>
      <c r="AF135" s="74"/>
      <c r="AG135" s="153"/>
      <c r="AH135" s="153"/>
      <c r="AI135" s="153"/>
      <c r="AJ135" s="153"/>
      <c r="AK135" s="153"/>
      <c r="AL135" s="153"/>
      <c r="AM135" s="153"/>
      <c r="AN135" s="439"/>
    </row>
    <row r="136" spans="1:42" s="46" customFormat="1" ht="12.75" customHeight="1">
      <c r="A136" s="57"/>
      <c r="B136" s="173"/>
      <c r="C136" s="196"/>
      <c r="D136" s="144"/>
      <c r="E136" s="2521"/>
      <c r="F136" s="2521"/>
      <c r="G136" s="2521"/>
      <c r="H136" s="2521"/>
      <c r="I136" s="2521"/>
      <c r="J136" s="2521"/>
      <c r="K136" s="2521"/>
      <c r="L136" s="2521"/>
      <c r="M136" s="2521"/>
      <c r="N136" s="2521"/>
      <c r="O136" s="2521"/>
      <c r="P136" s="2521"/>
      <c r="Q136" s="2521"/>
      <c r="R136" s="2521"/>
      <c r="S136" s="2521"/>
      <c r="T136" s="2521"/>
      <c r="U136" s="2521"/>
      <c r="V136" s="2521"/>
      <c r="W136" s="2521"/>
      <c r="X136" s="2521"/>
      <c r="Y136" s="2521"/>
      <c r="Z136" s="2521"/>
      <c r="AA136" s="2521"/>
      <c r="AB136" s="2521"/>
      <c r="AC136" s="2521"/>
      <c r="AD136" s="2521"/>
      <c r="AE136" s="27"/>
      <c r="AF136" s="173"/>
      <c r="AG136" s="27"/>
      <c r="AH136" s="27"/>
      <c r="AI136" s="27"/>
      <c r="AJ136" s="27"/>
      <c r="AK136" s="153"/>
      <c r="AL136" s="153"/>
      <c r="AM136" s="153"/>
      <c r="AN136" s="439"/>
    </row>
    <row r="137" spans="1:42" s="46" customFormat="1" ht="22.95" customHeight="1">
      <c r="A137" s="28"/>
      <c r="B137" s="173"/>
      <c r="C137" s="196"/>
      <c r="D137" s="144"/>
      <c r="E137" s="2521"/>
      <c r="F137" s="2521"/>
      <c r="G137" s="2521"/>
      <c r="H137" s="2521"/>
      <c r="I137" s="2521"/>
      <c r="J137" s="2521"/>
      <c r="K137" s="2521"/>
      <c r="L137" s="2521"/>
      <c r="M137" s="2521"/>
      <c r="N137" s="2521"/>
      <c r="O137" s="2521"/>
      <c r="P137" s="2521"/>
      <c r="Q137" s="2521"/>
      <c r="R137" s="2521"/>
      <c r="S137" s="2521"/>
      <c r="T137" s="2521"/>
      <c r="U137" s="2521"/>
      <c r="V137" s="2521"/>
      <c r="W137" s="2521"/>
      <c r="X137" s="2521"/>
      <c r="Y137" s="2521"/>
      <c r="Z137" s="2521"/>
      <c r="AA137" s="2521"/>
      <c r="AB137" s="2521"/>
      <c r="AC137" s="2521"/>
      <c r="AD137" s="2521"/>
      <c r="AE137" s="27"/>
      <c r="AF137" s="173"/>
      <c r="AG137" s="27"/>
      <c r="AH137" s="27"/>
      <c r="AI137" s="27"/>
      <c r="AJ137" s="27"/>
      <c r="AK137" s="153"/>
      <c r="AL137" s="153"/>
      <c r="AM137" s="153"/>
      <c r="AN137" s="439"/>
      <c r="AO137" s="137" t="s">
        <v>136</v>
      </c>
      <c r="AP137" s="752">
        <v>0</v>
      </c>
    </row>
    <row r="138" spans="1:42" s="46" customFormat="1" ht="12.75" customHeight="1">
      <c r="A138" s="28"/>
      <c r="B138" s="173"/>
      <c r="C138" s="77"/>
      <c r="D138" s="144"/>
      <c r="E138" s="27" t="s">
        <v>113</v>
      </c>
      <c r="F138" s="1154"/>
      <c r="G138" s="1154"/>
      <c r="H138" s="1154"/>
      <c r="I138" s="1154"/>
      <c r="J138" s="1154"/>
      <c r="K138" s="1154"/>
      <c r="L138" s="1154"/>
      <c r="M138" s="1154"/>
      <c r="N138" s="1154"/>
      <c r="O138" s="1154"/>
      <c r="P138" s="1154"/>
      <c r="Q138" s="1154"/>
      <c r="R138" s="1154"/>
      <c r="S138" s="2524" t="s">
        <v>136</v>
      </c>
      <c r="T138" s="2524"/>
      <c r="U138" s="1154"/>
      <c r="V138" s="1154"/>
      <c r="W138" s="1154"/>
      <c r="X138" s="1154"/>
      <c r="Y138" s="1154"/>
      <c r="Z138" s="1154"/>
      <c r="AA138" s="1154"/>
      <c r="AB138" s="1154"/>
      <c r="AC138" s="1154"/>
      <c r="AD138" s="1154"/>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7" t="s">
        <v>114</v>
      </c>
      <c r="AG140" s="2367"/>
      <c r="AH140" s="2367"/>
      <c r="AI140" s="2367"/>
      <c r="AJ140" s="2367"/>
      <c r="AK140" s="2367"/>
      <c r="AL140" s="2367"/>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7"/>
      <c r="AO141" s="144" t="s">
        <v>798</v>
      </c>
      <c r="AP141" s="206">
        <v>4</v>
      </c>
    </row>
    <row r="142" spans="1:42" s="46" customFormat="1" ht="12.75" customHeight="1">
      <c r="A142" s="28"/>
      <c r="B142" s="74"/>
      <c r="C142" s="77"/>
      <c r="D142" s="28" t="s">
        <v>163</v>
      </c>
      <c r="E142" s="190"/>
      <c r="F142" s="190"/>
      <c r="G142" s="190"/>
      <c r="H142" s="2376" t="s">
        <v>641</v>
      </c>
      <c r="I142" s="237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3"/>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4">
        <f>VLOOKUP($H$142,$AO$116:$AP$118,2,FALSE)</f>
        <v>3</v>
      </c>
      <c r="AK144" s="236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7" t="s">
        <v>66</v>
      </c>
      <c r="AG148" s="2367"/>
      <c r="AH148" s="2367"/>
      <c r="AI148" s="2367"/>
      <c r="AJ148" s="2367"/>
      <c r="AK148" s="2367"/>
      <c r="AL148" s="2367"/>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1"/>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7" t="s">
        <v>114</v>
      </c>
      <c r="AG151" s="2367"/>
      <c r="AH151" s="2367"/>
      <c r="AI151" s="2367"/>
      <c r="AJ151" s="2367"/>
      <c r="AK151" s="2367"/>
      <c r="AL151" s="2367"/>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1"/>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7"/>
      <c r="AP153" s="206"/>
    </row>
    <row r="154" spans="1:42" s="46" customFormat="1" ht="12.75" customHeight="1">
      <c r="A154" s="28"/>
      <c r="B154" s="74"/>
      <c r="C154" s="77"/>
      <c r="D154" s="28" t="s">
        <v>163</v>
      </c>
      <c r="E154" s="190"/>
      <c r="F154" s="190"/>
      <c r="G154" s="190"/>
      <c r="H154" s="2376" t="s">
        <v>136</v>
      </c>
      <c r="I154" s="237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4">
        <f>VLOOKUP(H154,AT116:AU118,2,FALSE)</f>
        <v>0</v>
      </c>
      <c r="AK156" s="2366"/>
      <c r="AL156" s="25"/>
      <c r="AN156" s="1137"/>
      <c r="AO156" s="137" t="s">
        <v>136</v>
      </c>
      <c r="AP156" s="752">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7" t="s">
        <v>817</v>
      </c>
      <c r="F161" s="2377"/>
      <c r="G161" s="2377"/>
      <c r="H161" s="2377"/>
      <c r="I161" s="2377"/>
      <c r="J161" s="2377"/>
      <c r="K161" s="2377"/>
      <c r="L161" s="2377"/>
      <c r="M161" s="2377"/>
      <c r="N161" s="2377"/>
      <c r="O161" s="2377"/>
      <c r="P161" s="2377"/>
      <c r="Q161" s="2377"/>
      <c r="R161" s="2377"/>
      <c r="S161" s="2377"/>
      <c r="T161" s="2377"/>
      <c r="U161" s="2377"/>
      <c r="V161" s="2377"/>
      <c r="W161" s="2377"/>
      <c r="X161" s="2377"/>
      <c r="Y161" s="2377"/>
      <c r="Z161" s="2377"/>
      <c r="AA161" s="2377"/>
      <c r="AB161" s="2377"/>
      <c r="AC161" s="2377"/>
      <c r="AF161" s="2367" t="s">
        <v>64</v>
      </c>
      <c r="AG161" s="2367"/>
      <c r="AH161" s="2367"/>
      <c r="AI161" s="2367"/>
      <c r="AJ161" s="2367"/>
      <c r="AK161" s="2367"/>
      <c r="AL161" s="2367"/>
      <c r="AN161" s="439"/>
    </row>
    <row r="162" spans="1:42" s="46" customFormat="1" ht="12.75" customHeight="1">
      <c r="C162" s="48"/>
      <c r="E162" s="2377"/>
      <c r="F162" s="2377"/>
      <c r="G162" s="2377"/>
      <c r="H162" s="2377"/>
      <c r="I162" s="2377"/>
      <c r="J162" s="2377"/>
      <c r="K162" s="2377"/>
      <c r="L162" s="2377"/>
      <c r="M162" s="2377"/>
      <c r="N162" s="2377"/>
      <c r="O162" s="2377"/>
      <c r="P162" s="2377"/>
      <c r="Q162" s="2377"/>
      <c r="R162" s="2377"/>
      <c r="S162" s="2377"/>
      <c r="T162" s="2377"/>
      <c r="U162" s="2377"/>
      <c r="V162" s="2377"/>
      <c r="W162" s="2377"/>
      <c r="X162" s="2377"/>
      <c r="Y162" s="2377"/>
      <c r="Z162" s="2377"/>
      <c r="AA162" s="2377"/>
      <c r="AB162" s="2377"/>
      <c r="AC162" s="2377"/>
      <c r="AN162" s="439"/>
    </row>
    <row r="163" spans="1:42" s="46" customFormat="1" ht="12.75" customHeight="1">
      <c r="C163" s="48"/>
      <c r="D163" s="144"/>
      <c r="E163" s="2377"/>
      <c r="F163" s="2377"/>
      <c r="G163" s="2377"/>
      <c r="H163" s="2377"/>
      <c r="I163" s="2377"/>
      <c r="J163" s="2377"/>
      <c r="K163" s="2377"/>
      <c r="L163" s="2377"/>
      <c r="M163" s="2377"/>
      <c r="N163" s="2377"/>
      <c r="O163" s="2377"/>
      <c r="P163" s="2377"/>
      <c r="Q163" s="2377"/>
      <c r="R163" s="2377"/>
      <c r="S163" s="2377"/>
      <c r="T163" s="2377"/>
      <c r="U163" s="2377"/>
      <c r="V163" s="2377"/>
      <c r="W163" s="2377"/>
      <c r="X163" s="2377"/>
      <c r="Y163" s="2377"/>
      <c r="Z163" s="2377"/>
      <c r="AA163" s="2377"/>
      <c r="AB163" s="2377"/>
      <c r="AC163" s="237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7" t="s">
        <v>1930</v>
      </c>
      <c r="F165" s="2377"/>
      <c r="G165" s="2377"/>
      <c r="H165" s="2377"/>
      <c r="I165" s="2377"/>
      <c r="J165" s="2377"/>
      <c r="K165" s="2377"/>
      <c r="L165" s="2377"/>
      <c r="M165" s="2377"/>
      <c r="N165" s="2377"/>
      <c r="O165" s="2377"/>
      <c r="P165" s="2377"/>
      <c r="Q165" s="2377"/>
      <c r="R165" s="2377"/>
      <c r="S165" s="2377"/>
      <c r="T165" s="2377"/>
      <c r="U165" s="2377"/>
      <c r="V165" s="2377"/>
      <c r="W165" s="2377"/>
      <c r="X165" s="2377"/>
      <c r="Y165" s="2377"/>
      <c r="Z165" s="2377"/>
      <c r="AA165" s="2377"/>
      <c r="AB165" s="2377"/>
      <c r="AC165" s="2377"/>
      <c r="AF165" s="2367" t="s">
        <v>65</v>
      </c>
      <c r="AG165" s="2367"/>
      <c r="AH165" s="2367"/>
      <c r="AI165" s="2367"/>
      <c r="AJ165" s="2367"/>
      <c r="AK165" s="2367"/>
      <c r="AL165" s="2367"/>
      <c r="AN165" s="439"/>
    </row>
    <row r="166" spans="1:42" s="46" customFormat="1" ht="12.75" customHeight="1">
      <c r="C166" s="48"/>
      <c r="E166" s="2377"/>
      <c r="F166" s="2377"/>
      <c r="G166" s="2377"/>
      <c r="H166" s="2377"/>
      <c r="I166" s="2377"/>
      <c r="J166" s="2377"/>
      <c r="K166" s="2377"/>
      <c r="L166" s="2377"/>
      <c r="M166" s="2377"/>
      <c r="N166" s="2377"/>
      <c r="O166" s="2377"/>
      <c r="P166" s="2377"/>
      <c r="Q166" s="2377"/>
      <c r="R166" s="2377"/>
      <c r="S166" s="2377"/>
      <c r="T166" s="2377"/>
      <c r="U166" s="2377"/>
      <c r="V166" s="2377"/>
      <c r="W166" s="2377"/>
      <c r="X166" s="2377"/>
      <c r="Y166" s="2377"/>
      <c r="Z166" s="2377"/>
      <c r="AA166" s="2377"/>
      <c r="AB166" s="2377"/>
      <c r="AC166" s="2377"/>
      <c r="AN166" s="439"/>
    </row>
    <row r="167" spans="1:42" s="46" customFormat="1" ht="15" customHeight="1">
      <c r="C167" s="48"/>
      <c r="D167" s="144"/>
      <c r="E167" s="2377"/>
      <c r="F167" s="2377"/>
      <c r="G167" s="2377"/>
      <c r="H167" s="2377"/>
      <c r="I167" s="2377"/>
      <c r="J167" s="2377"/>
      <c r="K167" s="2377"/>
      <c r="L167" s="2377"/>
      <c r="M167" s="2377"/>
      <c r="N167" s="2377"/>
      <c r="O167" s="2377"/>
      <c r="P167" s="2377"/>
      <c r="Q167" s="2377"/>
      <c r="R167" s="2377"/>
      <c r="S167" s="2377"/>
      <c r="T167" s="2377"/>
      <c r="U167" s="2377"/>
      <c r="V167" s="2377"/>
      <c r="W167" s="2377"/>
      <c r="X167" s="2377"/>
      <c r="Y167" s="2377"/>
      <c r="Z167" s="2377"/>
      <c r="AA167" s="2377"/>
      <c r="AB167" s="2377"/>
      <c r="AC167" s="237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7"/>
    </row>
    <row r="169" spans="1:42" s="46" customFormat="1" ht="12.75" customHeight="1">
      <c r="C169" s="48"/>
      <c r="D169" s="144" t="s">
        <v>992</v>
      </c>
      <c r="E169" s="2377" t="s">
        <v>1931</v>
      </c>
      <c r="F169" s="2377"/>
      <c r="G169" s="2377"/>
      <c r="H169" s="2377"/>
      <c r="I169" s="2377"/>
      <c r="J169" s="2377"/>
      <c r="K169" s="2377"/>
      <c r="L169" s="2377"/>
      <c r="M169" s="2377"/>
      <c r="N169" s="2377"/>
      <c r="O169" s="2377"/>
      <c r="P169" s="2377"/>
      <c r="Q169" s="2377"/>
      <c r="R169" s="2377"/>
      <c r="S169" s="2377"/>
      <c r="T169" s="2377"/>
      <c r="U169" s="2377"/>
      <c r="V169" s="2377"/>
      <c r="W169" s="2377"/>
      <c r="X169" s="2377"/>
      <c r="Y169" s="2377"/>
      <c r="Z169" s="2377"/>
      <c r="AA169" s="2377"/>
      <c r="AB169" s="2377"/>
      <c r="AC169" s="2377"/>
      <c r="AF169" s="2367" t="s">
        <v>66</v>
      </c>
      <c r="AG169" s="2367"/>
      <c r="AH169" s="2367"/>
      <c r="AI169" s="2367"/>
      <c r="AJ169" s="2367"/>
      <c r="AK169" s="2367"/>
      <c r="AL169" s="2367"/>
      <c r="AN169" s="439"/>
    </row>
    <row r="170" spans="1:42" s="46" customFormat="1" ht="12.75" customHeight="1">
      <c r="A170" s="28"/>
      <c r="B170" s="161"/>
      <c r="C170" s="188"/>
      <c r="E170" s="2377"/>
      <c r="F170" s="2377"/>
      <c r="G170" s="2377"/>
      <c r="H170" s="2377"/>
      <c r="I170" s="2377"/>
      <c r="J170" s="2377"/>
      <c r="K170" s="2377"/>
      <c r="L170" s="2377"/>
      <c r="M170" s="2377"/>
      <c r="N170" s="2377"/>
      <c r="O170" s="2377"/>
      <c r="P170" s="2377"/>
      <c r="Q170" s="2377"/>
      <c r="R170" s="2377"/>
      <c r="S170" s="2377"/>
      <c r="T170" s="2377"/>
      <c r="U170" s="2377"/>
      <c r="V170" s="2377"/>
      <c r="W170" s="2377"/>
      <c r="X170" s="2377"/>
      <c r="Y170" s="2377"/>
      <c r="Z170" s="2377"/>
      <c r="AA170" s="2377"/>
      <c r="AB170" s="2377"/>
      <c r="AC170" s="2377"/>
      <c r="AE170" s="2367"/>
      <c r="AF170" s="2367"/>
      <c r="AG170" s="2367"/>
      <c r="AH170" s="2367"/>
      <c r="AI170" s="2367"/>
      <c r="AJ170" s="2367"/>
      <c r="AK170" s="2367"/>
      <c r="AL170" s="1301"/>
      <c r="AM170" s="153"/>
      <c r="AN170" s="439"/>
      <c r="AO170" s="46" t="s">
        <v>136</v>
      </c>
      <c r="AP170" s="751">
        <v>0</v>
      </c>
    </row>
    <row r="171" spans="1:42" s="46" customFormat="1" ht="12.75" customHeight="1">
      <c r="A171" s="195"/>
      <c r="D171" s="144"/>
      <c r="E171" s="2377"/>
      <c r="F171" s="2377"/>
      <c r="G171" s="2377"/>
      <c r="H171" s="2377"/>
      <c r="I171" s="2377"/>
      <c r="J171" s="2377"/>
      <c r="K171" s="2377"/>
      <c r="L171" s="2377"/>
      <c r="M171" s="2377"/>
      <c r="N171" s="2377"/>
      <c r="O171" s="2377"/>
      <c r="P171" s="2377"/>
      <c r="Q171" s="2377"/>
      <c r="R171" s="2377"/>
      <c r="S171" s="2377"/>
      <c r="T171" s="2377"/>
      <c r="U171" s="2377"/>
      <c r="V171" s="2377"/>
      <c r="W171" s="2377"/>
      <c r="X171" s="2377"/>
      <c r="Y171" s="2377"/>
      <c r="Z171" s="2377"/>
      <c r="AA171" s="2377"/>
      <c r="AB171" s="2377"/>
      <c r="AC171" s="2377"/>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7" t="s">
        <v>1932</v>
      </c>
      <c r="F173" s="2377"/>
      <c r="G173" s="2377"/>
      <c r="H173" s="2377"/>
      <c r="I173" s="2377"/>
      <c r="J173" s="2377"/>
      <c r="K173" s="2377"/>
      <c r="L173" s="2377"/>
      <c r="M173" s="2377"/>
      <c r="N173" s="2377"/>
      <c r="O173" s="2377"/>
      <c r="P173" s="2377"/>
      <c r="Q173" s="2377"/>
      <c r="R173" s="2377"/>
      <c r="S173" s="2377"/>
      <c r="T173" s="2377"/>
      <c r="U173" s="2377"/>
      <c r="V173" s="2377"/>
      <c r="W173" s="2377"/>
      <c r="X173" s="2377"/>
      <c r="Y173" s="2377"/>
      <c r="Z173" s="2377"/>
      <c r="AA173" s="2377"/>
      <c r="AB173" s="2377"/>
      <c r="AC173" s="2377"/>
      <c r="AF173" s="2367" t="s">
        <v>65</v>
      </c>
      <c r="AG173" s="2367"/>
      <c r="AH173" s="2367"/>
      <c r="AI173" s="2367"/>
      <c r="AJ173" s="2367"/>
      <c r="AK173" s="2367"/>
      <c r="AL173" s="2367"/>
      <c r="AN173" s="439"/>
    </row>
    <row r="174" spans="1:42" s="46" customFormat="1" ht="12.75" customHeight="1">
      <c r="A174" s="183"/>
      <c r="B174" s="161"/>
      <c r="C174" s="202"/>
      <c r="D174" s="144"/>
      <c r="E174" s="2377"/>
      <c r="F174" s="2377"/>
      <c r="G174" s="2377"/>
      <c r="H174" s="2377"/>
      <c r="I174" s="2377"/>
      <c r="J174" s="2377"/>
      <c r="K174" s="2377"/>
      <c r="L174" s="2377"/>
      <c r="M174" s="2377"/>
      <c r="N174" s="2377"/>
      <c r="O174" s="2377"/>
      <c r="P174" s="2377"/>
      <c r="Q174" s="2377"/>
      <c r="R174" s="2377"/>
      <c r="S174" s="2377"/>
      <c r="T174" s="2377"/>
      <c r="U174" s="2377"/>
      <c r="V174" s="2377"/>
      <c r="W174" s="2377"/>
      <c r="X174" s="2377"/>
      <c r="Y174" s="2377"/>
      <c r="Z174" s="2377"/>
      <c r="AA174" s="2377"/>
      <c r="AB174" s="2377"/>
      <c r="AC174" s="2377"/>
      <c r="AE174" s="179"/>
      <c r="AF174" s="179"/>
      <c r="AG174" s="179"/>
      <c r="AH174" s="179"/>
      <c r="AI174" s="179"/>
      <c r="AJ174" s="179"/>
      <c r="AK174" s="179"/>
      <c r="AL174" s="1301"/>
      <c r="AM174" s="203"/>
      <c r="AN174" s="439"/>
    </row>
    <row r="175" spans="1:42" s="46" customFormat="1" ht="12.75" customHeight="1">
      <c r="A175" s="183"/>
      <c r="B175" s="161"/>
      <c r="C175" s="202"/>
      <c r="D175" s="144"/>
      <c r="E175" s="2377"/>
      <c r="F175" s="2377"/>
      <c r="G175" s="2377"/>
      <c r="H175" s="2377"/>
      <c r="I175" s="2377"/>
      <c r="J175" s="2377"/>
      <c r="K175" s="2377"/>
      <c r="L175" s="2377"/>
      <c r="M175" s="2377"/>
      <c r="N175" s="2377"/>
      <c r="O175" s="2377"/>
      <c r="P175" s="2377"/>
      <c r="Q175" s="2377"/>
      <c r="R175" s="2377"/>
      <c r="S175" s="2377"/>
      <c r="T175" s="2377"/>
      <c r="U175" s="2377"/>
      <c r="V175" s="2377"/>
      <c r="W175" s="2377"/>
      <c r="X175" s="2377"/>
      <c r="Y175" s="2377"/>
      <c r="Z175" s="2377"/>
      <c r="AA175" s="2377"/>
      <c r="AB175" s="2377"/>
      <c r="AC175" s="2377"/>
      <c r="AE175" s="179"/>
      <c r="AF175" s="179"/>
      <c r="AG175" s="179"/>
      <c r="AH175" s="179"/>
      <c r="AI175" s="179"/>
      <c r="AJ175" s="179"/>
      <c r="AK175" s="179"/>
      <c r="AL175" s="1301"/>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1"/>
      <c r="AM176" s="203"/>
      <c r="AN176" s="439"/>
    </row>
    <row r="177" spans="1:42" s="46" customFormat="1" ht="12.75" customHeight="1">
      <c r="A177" s="28"/>
      <c r="B177" s="161"/>
      <c r="C177" s="188"/>
      <c r="D177" s="144" t="s">
        <v>799</v>
      </c>
      <c r="E177" s="2377" t="s">
        <v>1933</v>
      </c>
      <c r="F177" s="2377"/>
      <c r="G177" s="2377"/>
      <c r="H177" s="2377"/>
      <c r="I177" s="2377"/>
      <c r="J177" s="2377"/>
      <c r="K177" s="2377"/>
      <c r="L177" s="2377"/>
      <c r="M177" s="2377"/>
      <c r="N177" s="2377"/>
      <c r="O177" s="2377"/>
      <c r="P177" s="2377"/>
      <c r="Q177" s="2377"/>
      <c r="R177" s="2377"/>
      <c r="S177" s="2377"/>
      <c r="T177" s="2377"/>
      <c r="U177" s="2377"/>
      <c r="V177" s="2377"/>
      <c r="W177" s="2377"/>
      <c r="X177" s="2377"/>
      <c r="Y177" s="2377"/>
      <c r="Z177" s="2377"/>
      <c r="AA177" s="2377"/>
      <c r="AB177" s="2377"/>
      <c r="AC177" s="2377"/>
      <c r="AF177" s="2367" t="s">
        <v>66</v>
      </c>
      <c r="AG177" s="2367"/>
      <c r="AH177" s="2367"/>
      <c r="AI177" s="2367"/>
      <c r="AJ177" s="2367"/>
      <c r="AK177" s="2367"/>
      <c r="AL177" s="2367"/>
      <c r="AM177" s="203"/>
      <c r="AN177" s="439"/>
    </row>
    <row r="178" spans="1:42" s="46" customFormat="1" ht="12.75" customHeight="1">
      <c r="A178" s="28"/>
      <c r="B178" s="161"/>
      <c r="C178" s="188"/>
      <c r="D178" s="144"/>
      <c r="E178" s="2377"/>
      <c r="F178" s="2377"/>
      <c r="G178" s="2377"/>
      <c r="H178" s="2377"/>
      <c r="I178" s="2377"/>
      <c r="J178" s="2377"/>
      <c r="K178" s="2377"/>
      <c r="L178" s="2377"/>
      <c r="M178" s="2377"/>
      <c r="N178" s="2377"/>
      <c r="O178" s="2377"/>
      <c r="P178" s="2377"/>
      <c r="Q178" s="2377"/>
      <c r="R178" s="2377"/>
      <c r="S178" s="2377"/>
      <c r="T178" s="2377"/>
      <c r="U178" s="2377"/>
      <c r="V178" s="2377"/>
      <c r="W178" s="2377"/>
      <c r="X178" s="2377"/>
      <c r="Y178" s="2377"/>
      <c r="Z178" s="2377"/>
      <c r="AA178" s="2377"/>
      <c r="AB178" s="2377"/>
      <c r="AC178" s="2377"/>
      <c r="AE178" s="153"/>
      <c r="AF178" s="74"/>
      <c r="AH178" s="153"/>
      <c r="AI178" s="153"/>
      <c r="AJ178" s="153"/>
      <c r="AK178" s="153"/>
      <c r="AL178" s="153"/>
      <c r="AM178" s="203"/>
      <c r="AN178" s="439"/>
    </row>
    <row r="179" spans="1:42" s="46" customFormat="1" ht="12.75" customHeight="1">
      <c r="A179" s="28"/>
      <c r="B179" s="161"/>
      <c r="C179" s="188"/>
      <c r="D179" s="144"/>
      <c r="E179" s="2377"/>
      <c r="F179" s="2377"/>
      <c r="G179" s="2377"/>
      <c r="H179" s="2377"/>
      <c r="I179" s="2377"/>
      <c r="J179" s="2377"/>
      <c r="K179" s="2377"/>
      <c r="L179" s="2377"/>
      <c r="M179" s="2377"/>
      <c r="N179" s="2377"/>
      <c r="O179" s="2377"/>
      <c r="P179" s="2377"/>
      <c r="Q179" s="2377"/>
      <c r="R179" s="2377"/>
      <c r="S179" s="2377"/>
      <c r="T179" s="2377"/>
      <c r="U179" s="2377"/>
      <c r="V179" s="2377"/>
      <c r="W179" s="2377"/>
      <c r="X179" s="2377"/>
      <c r="Y179" s="2377"/>
      <c r="Z179" s="2377"/>
      <c r="AA179" s="2377"/>
      <c r="AB179" s="2377"/>
      <c r="AC179" s="237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7"/>
    </row>
    <row r="181" spans="1:42" s="46" customFormat="1" ht="12.75" customHeight="1">
      <c r="A181" s="195"/>
      <c r="B181" s="74"/>
      <c r="C181" s="77"/>
      <c r="D181" s="144" t="s">
        <v>308</v>
      </c>
      <c r="E181" s="2377" t="s">
        <v>1650</v>
      </c>
      <c r="F181" s="2377"/>
      <c r="G181" s="2377"/>
      <c r="H181" s="2377"/>
      <c r="I181" s="2377"/>
      <c r="J181" s="2377"/>
      <c r="K181" s="2377"/>
      <c r="L181" s="2377"/>
      <c r="M181" s="2377"/>
      <c r="N181" s="2377"/>
      <c r="O181" s="2377"/>
      <c r="P181" s="2377"/>
      <c r="Q181" s="2377"/>
      <c r="R181" s="2377"/>
      <c r="S181" s="2377"/>
      <c r="T181" s="2377"/>
      <c r="U181" s="2377"/>
      <c r="V181" s="2377"/>
      <c r="W181" s="2377"/>
      <c r="X181" s="2377"/>
      <c r="Y181" s="2377"/>
      <c r="Z181" s="2377"/>
      <c r="AA181" s="2377"/>
      <c r="AB181" s="2377"/>
      <c r="AC181" s="2377"/>
      <c r="AF181" s="2367" t="s">
        <v>114</v>
      </c>
      <c r="AG181" s="2367"/>
      <c r="AH181" s="2367"/>
      <c r="AI181" s="2367"/>
      <c r="AJ181" s="2367"/>
      <c r="AK181" s="2367"/>
      <c r="AL181" s="2367"/>
      <c r="AM181" s="203"/>
      <c r="AN181" s="439"/>
    </row>
    <row r="182" spans="1:42" s="46" customFormat="1" ht="22.95" customHeight="1">
      <c r="A182" s="195"/>
      <c r="B182" s="74"/>
      <c r="C182" s="77"/>
      <c r="D182" s="144"/>
      <c r="E182" s="2377"/>
      <c r="F182" s="2377"/>
      <c r="G182" s="2377"/>
      <c r="H182" s="2377"/>
      <c r="I182" s="2377"/>
      <c r="J182" s="2377"/>
      <c r="K182" s="2377"/>
      <c r="L182" s="2377"/>
      <c r="M182" s="2377"/>
      <c r="N182" s="2377"/>
      <c r="O182" s="2377"/>
      <c r="P182" s="2377"/>
      <c r="Q182" s="2377"/>
      <c r="R182" s="2377"/>
      <c r="S182" s="2377"/>
      <c r="T182" s="2377"/>
      <c r="U182" s="2377"/>
      <c r="V182" s="2377"/>
      <c r="W182" s="2377"/>
      <c r="X182" s="2377"/>
      <c r="Y182" s="2377"/>
      <c r="Z182" s="2377"/>
      <c r="AA182" s="2377"/>
      <c r="AB182" s="2377"/>
      <c r="AC182" s="2377"/>
      <c r="AE182" s="179"/>
      <c r="AF182" s="179"/>
      <c r="AG182" s="179"/>
      <c r="AH182" s="179"/>
      <c r="AI182" s="179"/>
      <c r="AJ182" s="179"/>
      <c r="AK182" s="179"/>
      <c r="AL182" s="1301"/>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0">
        <v>0</v>
      </c>
    </row>
    <row r="184" spans="1:42" s="46" customFormat="1" ht="12.75" customHeight="1">
      <c r="A184" s="195"/>
      <c r="B184" s="74"/>
      <c r="C184" s="77"/>
      <c r="D184" s="144" t="s">
        <v>309</v>
      </c>
      <c r="E184" s="2377" t="s">
        <v>1651</v>
      </c>
      <c r="F184" s="2377"/>
      <c r="G184" s="2377"/>
      <c r="H184" s="2377"/>
      <c r="I184" s="2377"/>
      <c r="J184" s="2377"/>
      <c r="K184" s="2377"/>
      <c r="L184" s="2377"/>
      <c r="M184" s="2377"/>
      <c r="N184" s="2377"/>
      <c r="O184" s="2377"/>
      <c r="P184" s="2377"/>
      <c r="Q184" s="2377"/>
      <c r="R184" s="2377"/>
      <c r="S184" s="2377"/>
      <c r="T184" s="2377"/>
      <c r="U184" s="2377"/>
      <c r="V184" s="2377"/>
      <c r="W184" s="2377"/>
      <c r="X184" s="2377"/>
      <c r="Y184" s="2377"/>
      <c r="Z184" s="2377"/>
      <c r="AA184" s="2377"/>
      <c r="AB184" s="2377"/>
      <c r="AC184" s="2377"/>
      <c r="AF184" s="2367" t="s">
        <v>354</v>
      </c>
      <c r="AG184" s="2367"/>
      <c r="AH184" s="2367"/>
      <c r="AI184" s="2367"/>
      <c r="AJ184" s="2367"/>
      <c r="AK184" s="2367"/>
      <c r="AL184" s="2367"/>
      <c r="AM184" s="203"/>
      <c r="AN184" s="439"/>
      <c r="AO184" s="144" t="s">
        <v>641</v>
      </c>
      <c r="AP184" s="46">
        <v>3</v>
      </c>
    </row>
    <row r="185" spans="1:42" s="46" customFormat="1" ht="22.95" customHeight="1">
      <c r="A185" s="195"/>
      <c r="B185" s="74"/>
      <c r="C185" s="77"/>
      <c r="D185" s="144"/>
      <c r="E185" s="2377"/>
      <c r="F185" s="2377"/>
      <c r="G185" s="2377"/>
      <c r="H185" s="2377"/>
      <c r="I185" s="2377"/>
      <c r="J185" s="2377"/>
      <c r="K185" s="2377"/>
      <c r="L185" s="2377"/>
      <c r="M185" s="2377"/>
      <c r="N185" s="2377"/>
      <c r="O185" s="2377"/>
      <c r="P185" s="2377"/>
      <c r="Q185" s="2377"/>
      <c r="R185" s="2377"/>
      <c r="S185" s="2377"/>
      <c r="T185" s="2377"/>
      <c r="U185" s="2377"/>
      <c r="V185" s="2377"/>
      <c r="W185" s="2377"/>
      <c r="X185" s="2377"/>
      <c r="Y185" s="2377"/>
      <c r="Z185" s="2377"/>
      <c r="AA185" s="2377"/>
      <c r="AB185" s="2377"/>
      <c r="AC185" s="2377"/>
      <c r="AE185" s="179"/>
      <c r="AF185" s="179"/>
      <c r="AG185" s="179"/>
      <c r="AH185" s="179"/>
      <c r="AI185" s="179"/>
      <c r="AJ185" s="179"/>
      <c r="AK185" s="179"/>
      <c r="AL185" s="1301"/>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1"/>
      <c r="AM186" s="203"/>
      <c r="AN186" s="439"/>
    </row>
    <row r="187" spans="1:42" s="46" customFormat="1" ht="12.75" customHeight="1">
      <c r="A187" s="195"/>
      <c r="B187" s="74"/>
      <c r="C187" s="77"/>
      <c r="D187" s="28" t="s">
        <v>163</v>
      </c>
      <c r="E187" s="190"/>
      <c r="F187" s="190"/>
      <c r="G187" s="190"/>
      <c r="H187" s="2376" t="s">
        <v>214</v>
      </c>
      <c r="I187" s="237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4">
        <f>VLOOKUP($H$187,$AO$137:$AP$144,2,FALSE)</f>
        <v>4</v>
      </c>
      <c r="AK189" s="236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7" t="s">
        <v>2235</v>
      </c>
      <c r="F193" s="2377"/>
      <c r="G193" s="2377"/>
      <c r="H193" s="2377"/>
      <c r="I193" s="2377"/>
      <c r="J193" s="2377"/>
      <c r="K193" s="2377"/>
      <c r="L193" s="2377"/>
      <c r="M193" s="2377"/>
      <c r="N193" s="2377"/>
      <c r="O193" s="2377"/>
      <c r="P193" s="2377"/>
      <c r="Q193" s="2377"/>
      <c r="R193" s="2377"/>
      <c r="S193" s="2377"/>
      <c r="T193" s="2377"/>
      <c r="U193" s="2377"/>
      <c r="V193" s="2377"/>
      <c r="W193" s="2377"/>
      <c r="X193" s="2377"/>
      <c r="Y193" s="2377"/>
      <c r="Z193" s="2377"/>
      <c r="AA193" s="2377"/>
      <c r="AB193" s="2377"/>
      <c r="AC193" s="46"/>
      <c r="AD193" s="46"/>
      <c r="AF193" s="2367" t="s">
        <v>66</v>
      </c>
      <c r="AG193" s="2367"/>
      <c r="AH193" s="2367"/>
      <c r="AI193" s="2367"/>
      <c r="AJ193" s="2367"/>
      <c r="AK193" s="2367"/>
      <c r="AL193" s="2367"/>
      <c r="AM193" s="153"/>
      <c r="AN193" s="1137"/>
    </row>
    <row r="194" spans="1:42" s="137" customFormat="1" ht="12.75" customHeight="1">
      <c r="A194" s="28"/>
      <c r="B194" s="161"/>
      <c r="C194" s="196"/>
      <c r="D194" s="144"/>
      <c r="E194" s="2377"/>
      <c r="F194" s="2377"/>
      <c r="G194" s="2377"/>
      <c r="H194" s="2377"/>
      <c r="I194" s="2377"/>
      <c r="J194" s="2377"/>
      <c r="K194" s="2377"/>
      <c r="L194" s="2377"/>
      <c r="M194" s="2377"/>
      <c r="N194" s="2377"/>
      <c r="O194" s="2377"/>
      <c r="P194" s="2377"/>
      <c r="Q194" s="2377"/>
      <c r="R194" s="2377"/>
      <c r="S194" s="2377"/>
      <c r="T194" s="2377"/>
      <c r="U194" s="2377"/>
      <c r="V194" s="2377"/>
      <c r="W194" s="2377"/>
      <c r="X194" s="2377"/>
      <c r="Y194" s="2377"/>
      <c r="Z194" s="2377"/>
      <c r="AA194" s="2377"/>
      <c r="AB194" s="2377"/>
      <c r="AC194" s="46"/>
      <c r="AD194" s="46"/>
      <c r="AE194" s="27"/>
      <c r="AM194" s="153"/>
      <c r="AN194" s="1137"/>
      <c r="AO194" s="2595"/>
      <c r="AP194" s="2595"/>
    </row>
    <row r="195" spans="1:42" s="137" customFormat="1" ht="12.75" customHeight="1">
      <c r="A195" s="28"/>
      <c r="B195" s="161"/>
      <c r="C195" s="196"/>
      <c r="D195" s="144"/>
      <c r="E195" s="2377"/>
      <c r="F195" s="2377"/>
      <c r="G195" s="2377"/>
      <c r="H195" s="2377"/>
      <c r="I195" s="2377"/>
      <c r="J195" s="2377"/>
      <c r="K195" s="2377"/>
      <c r="L195" s="2377"/>
      <c r="M195" s="2377"/>
      <c r="N195" s="2377"/>
      <c r="O195" s="2377"/>
      <c r="P195" s="2377"/>
      <c r="Q195" s="2377"/>
      <c r="R195" s="2377"/>
      <c r="S195" s="2377"/>
      <c r="T195" s="2377"/>
      <c r="U195" s="2377"/>
      <c r="V195" s="2377"/>
      <c r="W195" s="2377"/>
      <c r="X195" s="2377"/>
      <c r="Y195" s="2377"/>
      <c r="Z195" s="2377"/>
      <c r="AA195" s="2377"/>
      <c r="AB195" s="2377"/>
      <c r="AC195" s="46"/>
      <c r="AD195" s="46"/>
      <c r="AE195" s="27"/>
      <c r="AF195" s="173"/>
      <c r="AG195" s="27"/>
      <c r="AH195" s="27"/>
      <c r="AI195" s="27"/>
      <c r="AJ195" s="27"/>
      <c r="AK195" s="27"/>
      <c r="AL195" s="27"/>
      <c r="AM195" s="153"/>
      <c r="AN195" s="1137"/>
    </row>
    <row r="196" spans="1:42" s="46" customFormat="1" ht="12.75" customHeight="1">
      <c r="A196" s="28"/>
      <c r="B196" s="161"/>
      <c r="C196" s="196"/>
      <c r="D196" s="144"/>
      <c r="E196" s="2377"/>
      <c r="F196" s="2377"/>
      <c r="G196" s="2377"/>
      <c r="H196" s="2377"/>
      <c r="I196" s="2377"/>
      <c r="J196" s="2377"/>
      <c r="K196" s="2377"/>
      <c r="L196" s="2377"/>
      <c r="M196" s="2377"/>
      <c r="N196" s="2377"/>
      <c r="O196" s="2377"/>
      <c r="P196" s="2377"/>
      <c r="Q196" s="2377"/>
      <c r="R196" s="2377"/>
      <c r="S196" s="2377"/>
      <c r="T196" s="2377"/>
      <c r="U196" s="2377"/>
      <c r="V196" s="2377"/>
      <c r="W196" s="2377"/>
      <c r="X196" s="2377"/>
      <c r="Y196" s="2377"/>
      <c r="Z196" s="2377"/>
      <c r="AA196" s="2377"/>
      <c r="AB196" s="2377"/>
      <c r="AE196" s="27"/>
      <c r="AF196" s="173"/>
      <c r="AG196" s="27"/>
      <c r="AH196" s="27"/>
      <c r="AI196" s="27"/>
      <c r="AJ196" s="27"/>
      <c r="AK196" s="27"/>
      <c r="AL196" s="27"/>
      <c r="AM196" s="153"/>
      <c r="AN196" s="439"/>
      <c r="AO196" s="46" t="s">
        <v>136</v>
      </c>
      <c r="AP196" s="751">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7" t="s">
        <v>2236</v>
      </c>
      <c r="F198" s="2377"/>
      <c r="G198" s="2377"/>
      <c r="H198" s="2377"/>
      <c r="I198" s="2377"/>
      <c r="J198" s="2377"/>
      <c r="K198" s="2377"/>
      <c r="L198" s="2377"/>
      <c r="M198" s="2377"/>
      <c r="N198" s="2377"/>
      <c r="O198" s="2377"/>
      <c r="P198" s="2377"/>
      <c r="Q198" s="2377"/>
      <c r="R198" s="2377"/>
      <c r="S198" s="2377"/>
      <c r="T198" s="2377"/>
      <c r="U198" s="2377"/>
      <c r="V198" s="2377"/>
      <c r="W198" s="2377"/>
      <c r="X198" s="2377"/>
      <c r="Y198" s="2377"/>
      <c r="Z198" s="2377"/>
      <c r="AA198" s="2377"/>
      <c r="AB198" s="2377"/>
      <c r="AF198" s="2367" t="s">
        <v>114</v>
      </c>
      <c r="AG198" s="2367"/>
      <c r="AH198" s="2367"/>
      <c r="AI198" s="2367"/>
      <c r="AJ198" s="2367"/>
      <c r="AK198" s="2367"/>
      <c r="AL198" s="2367"/>
      <c r="AM198" s="153"/>
      <c r="AN198" s="439"/>
      <c r="AO198" s="144" t="s">
        <v>214</v>
      </c>
      <c r="AP198" s="46">
        <v>1</v>
      </c>
    </row>
    <row r="199" spans="1:42" s="46" customFormat="1" ht="12.75" customHeight="1">
      <c r="A199" s="153"/>
      <c r="B199" s="8"/>
      <c r="C199" s="204"/>
      <c r="E199" s="2377"/>
      <c r="F199" s="2377"/>
      <c r="G199" s="2377"/>
      <c r="H199" s="2377"/>
      <c r="I199" s="2377"/>
      <c r="J199" s="2377"/>
      <c r="K199" s="2377"/>
      <c r="L199" s="2377"/>
      <c r="M199" s="2377"/>
      <c r="N199" s="2377"/>
      <c r="O199" s="2377"/>
      <c r="P199" s="2377"/>
      <c r="Q199" s="2377"/>
      <c r="R199" s="2377"/>
      <c r="S199" s="2377"/>
      <c r="T199" s="2377"/>
      <c r="U199" s="2377"/>
      <c r="V199" s="2377"/>
      <c r="W199" s="2377"/>
      <c r="X199" s="2377"/>
      <c r="Y199" s="2377"/>
      <c r="Z199" s="2377"/>
      <c r="AA199" s="2377"/>
      <c r="AB199" s="2377"/>
      <c r="AD199" s="8"/>
      <c r="AE199" s="27"/>
      <c r="AM199" s="153"/>
      <c r="AN199" s="439"/>
    </row>
    <row r="200" spans="1:42" s="46" customFormat="1" ht="12.75" customHeight="1">
      <c r="A200" s="153"/>
      <c r="B200" s="8"/>
      <c r="C200" s="204"/>
      <c r="E200" s="2377"/>
      <c r="F200" s="2377"/>
      <c r="G200" s="2377"/>
      <c r="H200" s="2377"/>
      <c r="I200" s="2377"/>
      <c r="J200" s="2377"/>
      <c r="K200" s="2377"/>
      <c r="L200" s="2377"/>
      <c r="M200" s="2377"/>
      <c r="N200" s="2377"/>
      <c r="O200" s="2377"/>
      <c r="P200" s="2377"/>
      <c r="Q200" s="2377"/>
      <c r="R200" s="2377"/>
      <c r="S200" s="2377"/>
      <c r="T200" s="2377"/>
      <c r="U200" s="2377"/>
      <c r="V200" s="2377"/>
      <c r="W200" s="2377"/>
      <c r="X200" s="2377"/>
      <c r="Y200" s="2377"/>
      <c r="Z200" s="2377"/>
      <c r="AA200" s="2377"/>
      <c r="AB200" s="2377"/>
      <c r="AD200" s="8"/>
      <c r="AE200" s="27"/>
      <c r="AM200" s="153"/>
      <c r="AN200" s="439"/>
    </row>
    <row r="201" spans="1:42" s="16" customFormat="1" ht="12.75" customHeight="1">
      <c r="A201" s="153"/>
      <c r="B201" s="8"/>
      <c r="C201" s="204"/>
      <c r="D201" s="46"/>
      <c r="E201" s="2377"/>
      <c r="F201" s="2377"/>
      <c r="G201" s="2377"/>
      <c r="H201" s="2377"/>
      <c r="I201" s="2377"/>
      <c r="J201" s="2377"/>
      <c r="K201" s="2377"/>
      <c r="L201" s="2377"/>
      <c r="M201" s="2377"/>
      <c r="N201" s="2377"/>
      <c r="O201" s="2377"/>
      <c r="P201" s="2377"/>
      <c r="Q201" s="2377"/>
      <c r="R201" s="2377"/>
      <c r="S201" s="2377"/>
      <c r="T201" s="2377"/>
      <c r="U201" s="2377"/>
      <c r="V201" s="2377"/>
      <c r="W201" s="2377"/>
      <c r="X201" s="2377"/>
      <c r="Y201" s="2377"/>
      <c r="Z201" s="2377"/>
      <c r="AA201" s="2377"/>
      <c r="AB201" s="2377"/>
      <c r="AC201" s="46"/>
      <c r="AD201" s="8"/>
      <c r="AE201" s="27"/>
      <c r="AF201" s="27"/>
      <c r="AG201" s="27"/>
      <c r="AH201" s="27"/>
      <c r="AI201" s="27"/>
      <c r="AJ201" s="46"/>
      <c r="AK201" s="153"/>
      <c r="AL201" s="153"/>
      <c r="AM201" s="153"/>
      <c r="AN201" s="317"/>
    </row>
    <row r="202" spans="1:42" s="16" customFormat="1" ht="4.95" customHeight="1">
      <c r="A202" s="153"/>
      <c r="B202" s="8"/>
      <c r="C202" s="204"/>
      <c r="D202" s="46"/>
      <c r="E202" s="1387"/>
      <c r="F202" s="1387"/>
      <c r="G202" s="1387"/>
      <c r="H202" s="1387"/>
      <c r="I202" s="1387"/>
      <c r="J202" s="1387"/>
      <c r="K202" s="1387"/>
      <c r="L202" s="1387"/>
      <c r="M202" s="1387"/>
      <c r="N202" s="1387"/>
      <c r="O202" s="1387"/>
      <c r="P202" s="1387"/>
      <c r="Q202" s="1387"/>
      <c r="R202" s="1387"/>
      <c r="S202" s="1387"/>
      <c r="T202" s="1387"/>
      <c r="U202" s="1387"/>
      <c r="V202" s="1387"/>
      <c r="W202" s="1387"/>
      <c r="X202" s="1387"/>
      <c r="Y202" s="1387"/>
      <c r="Z202" s="1387"/>
      <c r="AA202" s="1387"/>
      <c r="AB202" s="1387"/>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9" t="s">
        <v>2237</v>
      </c>
      <c r="F203" s="2339"/>
      <c r="G203" s="2339"/>
      <c r="H203" s="2339"/>
      <c r="I203" s="2339"/>
      <c r="J203" s="2339"/>
      <c r="K203" s="2339"/>
      <c r="L203" s="2339"/>
      <c r="M203" s="2339"/>
      <c r="N203" s="2339"/>
      <c r="O203" s="2339"/>
      <c r="P203" s="2339"/>
      <c r="Q203" s="2339"/>
      <c r="R203" s="2339"/>
      <c r="S203" s="2339"/>
      <c r="T203" s="2339"/>
      <c r="U203" s="2339"/>
      <c r="V203" s="2339"/>
      <c r="W203" s="2339"/>
      <c r="X203" s="2339"/>
      <c r="Y203" s="2339"/>
      <c r="Z203" s="2339"/>
      <c r="AA203" s="2339"/>
      <c r="AB203" s="233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9"/>
      <c r="F204" s="2339"/>
      <c r="G204" s="2339"/>
      <c r="H204" s="2339"/>
      <c r="I204" s="2339"/>
      <c r="J204" s="2339"/>
      <c r="K204" s="2339"/>
      <c r="L204" s="2339"/>
      <c r="M204" s="2339"/>
      <c r="N204" s="2339"/>
      <c r="O204" s="2339"/>
      <c r="P204" s="2339"/>
      <c r="Q204" s="2339"/>
      <c r="R204" s="2339"/>
      <c r="S204" s="2339"/>
      <c r="T204" s="2339"/>
      <c r="U204" s="2339"/>
      <c r="V204" s="2339"/>
      <c r="W204" s="2339"/>
      <c r="X204" s="2339"/>
      <c r="Y204" s="2339"/>
      <c r="Z204" s="2339"/>
      <c r="AA204" s="2339"/>
      <c r="AB204" s="2339"/>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9"/>
      <c r="F205" s="2339"/>
      <c r="G205" s="2339"/>
      <c r="H205" s="2339"/>
      <c r="I205" s="2339"/>
      <c r="J205" s="2339"/>
      <c r="K205" s="2339"/>
      <c r="L205" s="2339"/>
      <c r="M205" s="2339"/>
      <c r="N205" s="2339"/>
      <c r="O205" s="2339"/>
      <c r="P205" s="2339"/>
      <c r="Q205" s="2339"/>
      <c r="R205" s="2339"/>
      <c r="S205" s="2339"/>
      <c r="T205" s="2339"/>
      <c r="U205" s="2339"/>
      <c r="V205" s="2339"/>
      <c r="W205" s="2339"/>
      <c r="X205" s="2339"/>
      <c r="Y205" s="2339"/>
      <c r="Z205" s="2339"/>
      <c r="AA205" s="2339"/>
      <c r="AB205" s="233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6" t="s">
        <v>136</v>
      </c>
      <c r="I206" s="237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4">
        <f>VLOOKUP($H$206,$AO$156:$AP$158,2,FALSE)</f>
        <v>0</v>
      </c>
      <c r="AK208" s="236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5" t="s">
        <v>1387</v>
      </c>
      <c r="F212" s="2525"/>
      <c r="G212" s="2525"/>
      <c r="H212" s="2525"/>
      <c r="I212" s="2525"/>
      <c r="J212" s="2525"/>
      <c r="K212" s="2525"/>
      <c r="L212" s="2525"/>
      <c r="M212" s="2525"/>
      <c r="N212" s="2525"/>
      <c r="O212" s="2525"/>
      <c r="P212" s="2525"/>
      <c r="Q212" s="2525"/>
      <c r="R212" s="2525"/>
      <c r="S212" s="2525"/>
      <c r="T212" s="2525"/>
      <c r="U212" s="2525"/>
      <c r="V212" s="2525"/>
      <c r="W212" s="2525"/>
      <c r="X212" s="2525"/>
      <c r="Y212" s="2525"/>
      <c r="Z212" s="2525"/>
      <c r="AA212" s="2525"/>
      <c r="AB212" s="2525"/>
      <c r="AC212" s="46"/>
      <c r="AD212" s="46"/>
      <c r="AF212" s="2367" t="s">
        <v>66</v>
      </c>
      <c r="AG212" s="2367"/>
      <c r="AH212" s="2367"/>
      <c r="AI212" s="2367"/>
      <c r="AJ212" s="2367"/>
      <c r="AK212" s="2367"/>
      <c r="AL212" s="2367"/>
      <c r="AM212" s="153"/>
      <c r="AN212" s="317"/>
      <c r="AP212" s="50" t="s">
        <v>109</v>
      </c>
    </row>
    <row r="213" spans="1:52" s="16" customFormat="1" ht="11.7" customHeight="1">
      <c r="A213" s="28"/>
      <c r="B213" s="161"/>
      <c r="C213" s="187"/>
      <c r="D213" s="144"/>
      <c r="E213" s="2525"/>
      <c r="F213" s="2525"/>
      <c r="G213" s="2525"/>
      <c r="H213" s="2525"/>
      <c r="I213" s="2525"/>
      <c r="J213" s="2525"/>
      <c r="K213" s="2525"/>
      <c r="L213" s="2525"/>
      <c r="M213" s="2525"/>
      <c r="N213" s="2525"/>
      <c r="O213" s="2525"/>
      <c r="P213" s="2525"/>
      <c r="Q213" s="2525"/>
      <c r="R213" s="2525"/>
      <c r="S213" s="2525"/>
      <c r="T213" s="2525"/>
      <c r="U213" s="2525"/>
      <c r="V213" s="2525"/>
      <c r="W213" s="2525"/>
      <c r="X213" s="2525"/>
      <c r="Y213" s="2525"/>
      <c r="Z213" s="2525"/>
      <c r="AA213" s="2525"/>
      <c r="AB213" s="2525"/>
      <c r="AC213" s="46"/>
      <c r="AD213" s="46"/>
      <c r="AE213" s="28"/>
      <c r="AM213" s="153"/>
      <c r="AN213" s="317"/>
      <c r="AP213" s="50" t="s">
        <v>106</v>
      </c>
    </row>
    <row r="214" spans="1:52" s="16" customFormat="1" ht="13.95" customHeight="1">
      <c r="A214" s="28"/>
      <c r="B214" s="148"/>
      <c r="C214" s="188"/>
      <c r="D214" s="144"/>
      <c r="E214" s="2525"/>
      <c r="F214" s="2525"/>
      <c r="G214" s="2525"/>
      <c r="H214" s="2525"/>
      <c r="I214" s="2525"/>
      <c r="J214" s="2525"/>
      <c r="K214" s="2525"/>
      <c r="L214" s="2525"/>
      <c r="M214" s="2525"/>
      <c r="N214" s="2525"/>
      <c r="O214" s="2525"/>
      <c r="P214" s="2525"/>
      <c r="Q214" s="2525"/>
      <c r="R214" s="2525"/>
      <c r="S214" s="2525"/>
      <c r="T214" s="2525"/>
      <c r="U214" s="2525"/>
      <c r="V214" s="2525"/>
      <c r="W214" s="2525"/>
      <c r="X214" s="2525"/>
      <c r="Y214" s="2525"/>
      <c r="Z214" s="2525"/>
      <c r="AA214" s="2525"/>
      <c r="AB214" s="2525"/>
      <c r="AC214" s="46"/>
      <c r="AD214" s="46"/>
      <c r="AE214" s="27"/>
      <c r="AM214" s="153"/>
      <c r="AN214" s="317"/>
      <c r="AP214" s="50" t="s">
        <v>107</v>
      </c>
    </row>
    <row r="215" spans="1:52" s="16" customFormat="1" ht="13.95" customHeight="1">
      <c r="A215" s="28"/>
      <c r="B215" s="74"/>
      <c r="C215" s="77"/>
      <c r="D215" s="144" t="s">
        <v>214</v>
      </c>
      <c r="E215" s="2384" t="s">
        <v>1388</v>
      </c>
      <c r="F215" s="2384"/>
      <c r="G215" s="2384"/>
      <c r="H215" s="2384"/>
      <c r="I215" s="2384"/>
      <c r="J215" s="2384"/>
      <c r="K215" s="2384"/>
      <c r="L215" s="2384"/>
      <c r="M215" s="2384"/>
      <c r="N215" s="2384"/>
      <c r="O215" s="2384"/>
      <c r="P215" s="2384"/>
      <c r="Q215" s="2384"/>
      <c r="R215" s="2384"/>
      <c r="S215" s="2384"/>
      <c r="T215" s="2384"/>
      <c r="U215" s="2384"/>
      <c r="V215" s="2384"/>
      <c r="W215" s="2384"/>
      <c r="X215" s="2384"/>
      <c r="Y215" s="2384"/>
      <c r="Z215" s="2384"/>
      <c r="AA215" s="2384"/>
      <c r="AB215" s="2384"/>
      <c r="AC215" s="46"/>
      <c r="AD215" s="46"/>
      <c r="AF215" s="2367" t="s">
        <v>114</v>
      </c>
      <c r="AG215" s="2367"/>
      <c r="AH215" s="2367"/>
      <c r="AI215" s="2367"/>
      <c r="AJ215" s="2367"/>
      <c r="AK215" s="2367"/>
      <c r="AL215" s="2367"/>
      <c r="AM215" s="153"/>
      <c r="AN215" s="1139"/>
      <c r="AP215" s="499" t="s">
        <v>389</v>
      </c>
    </row>
    <row r="216" spans="1:52" s="16" customFormat="1" ht="12.75" customHeight="1">
      <c r="A216" s="28"/>
      <c r="B216" s="161"/>
      <c r="C216" s="187"/>
      <c r="D216" s="28"/>
      <c r="E216" s="2384"/>
      <c r="F216" s="2384"/>
      <c r="G216" s="2384"/>
      <c r="H216" s="2384"/>
      <c r="I216" s="2384"/>
      <c r="J216" s="2384"/>
      <c r="K216" s="2384"/>
      <c r="L216" s="2384"/>
      <c r="M216" s="2384"/>
      <c r="N216" s="2384"/>
      <c r="O216" s="2384"/>
      <c r="P216" s="2384"/>
      <c r="Q216" s="2384"/>
      <c r="R216" s="2384"/>
      <c r="S216" s="2384"/>
      <c r="T216" s="2384"/>
      <c r="U216" s="2384"/>
      <c r="V216" s="2384"/>
      <c r="W216" s="2384"/>
      <c r="X216" s="2384"/>
      <c r="Y216" s="2384"/>
      <c r="Z216" s="2384"/>
      <c r="AA216" s="2384"/>
      <c r="AB216" s="2384"/>
      <c r="AC216" s="28"/>
      <c r="AD216" s="161"/>
      <c r="AE216" s="28"/>
      <c r="AF216" s="28"/>
      <c r="AG216" s="28"/>
      <c r="AH216" s="28"/>
      <c r="AI216" s="28"/>
      <c r="AJ216" s="46"/>
      <c r="AK216" s="153"/>
      <c r="AL216" s="153"/>
      <c r="AM216" s="153"/>
      <c r="AN216" s="317"/>
      <c r="AP216" s="46" t="s">
        <v>136</v>
      </c>
      <c r="AQ216" s="751">
        <v>0</v>
      </c>
    </row>
    <row r="217" spans="1:52" s="16" customFormat="1" ht="13.95" customHeight="1">
      <c r="A217" s="28"/>
      <c r="B217" s="161"/>
      <c r="C217" s="187"/>
      <c r="D217" s="28"/>
      <c r="E217" s="2384"/>
      <c r="F217" s="2384"/>
      <c r="G217" s="2384"/>
      <c r="H217" s="2384"/>
      <c r="I217" s="2384"/>
      <c r="J217" s="2384"/>
      <c r="K217" s="2384"/>
      <c r="L217" s="2384"/>
      <c r="M217" s="2384"/>
      <c r="N217" s="2384"/>
      <c r="O217" s="2384"/>
      <c r="P217" s="2384"/>
      <c r="Q217" s="2384"/>
      <c r="R217" s="2384"/>
      <c r="S217" s="2384"/>
      <c r="T217" s="2384"/>
      <c r="U217" s="2384"/>
      <c r="V217" s="2384"/>
      <c r="W217" s="2384"/>
      <c r="X217" s="2384"/>
      <c r="Y217" s="2384"/>
      <c r="Z217" s="2384"/>
      <c r="AA217" s="2384"/>
      <c r="AB217" s="2384"/>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376" t="s">
        <v>136</v>
      </c>
      <c r="I218" s="237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0"/>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4">
        <f>VLOOKUP($H$218,$AO$156:$AP$158,2,FALSE)</f>
        <v>0</v>
      </c>
      <c r="AK220" s="2366"/>
      <c r="AL220" s="25"/>
      <c r="AM220" s="137"/>
      <c r="AN220" s="1140"/>
      <c r="AP220" s="2364"/>
      <c r="AQ220" s="236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7" t="s">
        <v>1668</v>
      </c>
      <c r="F224" s="2377"/>
      <c r="G224" s="2377"/>
      <c r="H224" s="2377"/>
      <c r="I224" s="2377"/>
      <c r="J224" s="2377"/>
      <c r="K224" s="2377"/>
      <c r="L224" s="2377"/>
      <c r="M224" s="2377"/>
      <c r="N224" s="2377"/>
      <c r="O224" s="2377"/>
      <c r="P224" s="2377"/>
      <c r="Q224" s="2377"/>
      <c r="R224" s="2377"/>
      <c r="S224" s="2377"/>
      <c r="T224" s="2377"/>
      <c r="U224" s="2377"/>
      <c r="V224" s="2377"/>
      <c r="W224" s="2377"/>
      <c r="X224" s="2377"/>
      <c r="Y224" s="2377"/>
      <c r="Z224" s="2377"/>
      <c r="AA224" s="2377"/>
      <c r="AB224" s="2377"/>
      <c r="AC224" s="46"/>
      <c r="AD224" s="46"/>
      <c r="AF224" s="2367" t="s">
        <v>66</v>
      </c>
      <c r="AG224" s="2367"/>
      <c r="AH224" s="2367"/>
      <c r="AI224" s="2367"/>
      <c r="AJ224" s="2367"/>
      <c r="AK224" s="2367"/>
      <c r="AL224" s="2367"/>
      <c r="AM224" s="153"/>
      <c r="AN224" s="317"/>
      <c r="AT224" s="65"/>
      <c r="AU224" s="65"/>
      <c r="AV224" s="65"/>
      <c r="AW224" s="65"/>
      <c r="AX224" s="65"/>
      <c r="AY224" s="65"/>
      <c r="AZ224" s="65"/>
    </row>
    <row r="225" spans="1:82" s="16" customFormat="1">
      <c r="A225" s="28"/>
      <c r="B225" s="161"/>
      <c r="C225" s="187"/>
      <c r="D225" s="144"/>
      <c r="E225" s="2377"/>
      <c r="F225" s="2377"/>
      <c r="G225" s="2377"/>
      <c r="H225" s="2377"/>
      <c r="I225" s="2377"/>
      <c r="J225" s="2377"/>
      <c r="K225" s="2377"/>
      <c r="L225" s="2377"/>
      <c r="M225" s="2377"/>
      <c r="N225" s="2377"/>
      <c r="O225" s="2377"/>
      <c r="P225" s="2377"/>
      <c r="Q225" s="2377"/>
      <c r="R225" s="2377"/>
      <c r="S225" s="2377"/>
      <c r="T225" s="2377"/>
      <c r="U225" s="2377"/>
      <c r="V225" s="2377"/>
      <c r="W225" s="2377"/>
      <c r="X225" s="2377"/>
      <c r="Y225" s="2377"/>
      <c r="Z225" s="2377"/>
      <c r="AA225" s="2377"/>
      <c r="AB225" s="237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7" t="s">
        <v>981</v>
      </c>
      <c r="F227" s="2377"/>
      <c r="G227" s="2377"/>
      <c r="H227" s="2377"/>
      <c r="I227" s="2377"/>
      <c r="J227" s="2377"/>
      <c r="K227" s="2377"/>
      <c r="L227" s="2377"/>
      <c r="M227" s="2377"/>
      <c r="N227" s="2377"/>
      <c r="O227" s="2377"/>
      <c r="P227" s="2377"/>
      <c r="Q227" s="2377"/>
      <c r="R227" s="2377"/>
      <c r="S227" s="2377"/>
      <c r="T227" s="2377"/>
      <c r="U227" s="2377"/>
      <c r="V227" s="2377"/>
      <c r="W227" s="2377"/>
      <c r="X227" s="2377"/>
      <c r="Y227" s="2377"/>
      <c r="Z227" s="2377"/>
      <c r="AA227" s="2377"/>
      <c r="AB227" s="2377"/>
      <c r="AC227" s="46"/>
      <c r="AD227" s="46"/>
      <c r="AF227" s="2367" t="s">
        <v>114</v>
      </c>
      <c r="AG227" s="2367"/>
      <c r="AH227" s="2367"/>
      <c r="AI227" s="2367"/>
      <c r="AJ227" s="2367"/>
      <c r="AK227" s="2367"/>
      <c r="AL227" s="2367"/>
      <c r="AM227" s="153"/>
      <c r="AN227" s="317"/>
      <c r="AT227" s="65"/>
      <c r="AU227" s="65"/>
      <c r="AV227" s="65"/>
      <c r="AW227" s="65"/>
      <c r="AX227" s="65"/>
      <c r="AY227" s="65"/>
      <c r="AZ227" s="65"/>
    </row>
    <row r="228" spans="1:82" s="16" customFormat="1">
      <c r="A228" s="28"/>
      <c r="B228" s="161"/>
      <c r="C228" s="187"/>
      <c r="D228" s="28"/>
      <c r="E228" s="2377"/>
      <c r="F228" s="2377"/>
      <c r="G228" s="2377"/>
      <c r="H228" s="2377"/>
      <c r="I228" s="2377"/>
      <c r="J228" s="2377"/>
      <c r="K228" s="2377"/>
      <c r="L228" s="2377"/>
      <c r="M228" s="2377"/>
      <c r="N228" s="2377"/>
      <c r="O228" s="2377"/>
      <c r="P228" s="2377"/>
      <c r="Q228" s="2377"/>
      <c r="R228" s="2377"/>
      <c r="S228" s="2377"/>
      <c r="T228" s="2377"/>
      <c r="U228" s="2377"/>
      <c r="V228" s="2377"/>
      <c r="W228" s="2377"/>
      <c r="X228" s="2377"/>
      <c r="Y228" s="2377"/>
      <c r="Z228" s="2377"/>
      <c r="AA228" s="2377"/>
      <c r="AB228" s="237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6" t="s">
        <v>641</v>
      </c>
      <c r="I230" s="237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4">
        <f>VLOOKUP($H$230,$AO$170:$AP$172,2,FALSE)</f>
        <v>3</v>
      </c>
      <c r="AK232" s="236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7" t="s">
        <v>1245</v>
      </c>
      <c r="F236" s="2377"/>
      <c r="G236" s="2377"/>
      <c r="H236" s="2377"/>
      <c r="I236" s="2377"/>
      <c r="J236" s="2377"/>
      <c r="K236" s="2377"/>
      <c r="L236" s="2377"/>
      <c r="M236" s="2377"/>
      <c r="N236" s="2377"/>
      <c r="O236" s="2377"/>
      <c r="P236" s="2377"/>
      <c r="Q236" s="2377"/>
      <c r="R236" s="2377"/>
      <c r="S236" s="2377"/>
      <c r="T236" s="2377"/>
      <c r="U236" s="2377"/>
      <c r="V236" s="2377"/>
      <c r="W236" s="2377"/>
      <c r="X236" s="2377"/>
      <c r="Y236" s="2377"/>
      <c r="Z236" s="2377"/>
      <c r="AA236" s="2377"/>
      <c r="AB236" s="2377"/>
      <c r="AC236" s="46"/>
      <c r="AD236" s="46"/>
      <c r="AF236" s="2367" t="s">
        <v>66</v>
      </c>
      <c r="AG236" s="2367"/>
      <c r="AH236" s="2367"/>
      <c r="AI236" s="2367"/>
      <c r="AJ236" s="2367"/>
      <c r="AK236" s="2367"/>
      <c r="AL236" s="2367"/>
      <c r="AM236" s="153"/>
      <c r="AN236" s="317"/>
      <c r="AT236" s="65"/>
      <c r="AU236" s="65"/>
      <c r="AV236" s="65"/>
      <c r="AW236" s="65"/>
      <c r="AX236" s="65"/>
      <c r="AY236" s="65"/>
      <c r="AZ236" s="65"/>
    </row>
    <row r="237" spans="1:82" s="16" customFormat="1">
      <c r="A237" s="28"/>
      <c r="B237" s="161"/>
      <c r="C237" s="187"/>
      <c r="D237" s="144"/>
      <c r="E237" s="2377"/>
      <c r="F237" s="2377"/>
      <c r="G237" s="2377"/>
      <c r="H237" s="2377"/>
      <c r="I237" s="2377"/>
      <c r="J237" s="2377"/>
      <c r="K237" s="2377"/>
      <c r="L237" s="2377"/>
      <c r="M237" s="2377"/>
      <c r="N237" s="2377"/>
      <c r="O237" s="2377"/>
      <c r="P237" s="2377"/>
      <c r="Q237" s="2377"/>
      <c r="R237" s="2377"/>
      <c r="S237" s="2377"/>
      <c r="T237" s="2377"/>
      <c r="U237" s="2377"/>
      <c r="V237" s="2377"/>
      <c r="W237" s="2377"/>
      <c r="X237" s="2377"/>
      <c r="Y237" s="2377"/>
      <c r="Z237" s="2377"/>
      <c r="AA237" s="2377"/>
      <c r="AB237" s="2377"/>
      <c r="AC237" s="46"/>
      <c r="AD237" s="46"/>
      <c r="AL237" s="153"/>
      <c r="AM237" s="153"/>
      <c r="AN237" s="317"/>
    </row>
    <row r="238" spans="1:82" s="50" customFormat="1" ht="12.75" customHeight="1">
      <c r="A238" s="28"/>
      <c r="B238" s="161"/>
      <c r="C238" s="187"/>
      <c r="D238" s="144"/>
      <c r="E238" s="2377"/>
      <c r="F238" s="2377"/>
      <c r="G238" s="2377"/>
      <c r="H238" s="2377"/>
      <c r="I238" s="2377"/>
      <c r="J238" s="2377"/>
      <c r="K238" s="2377"/>
      <c r="L238" s="2377"/>
      <c r="M238" s="2377"/>
      <c r="N238" s="2377"/>
      <c r="O238" s="2377"/>
      <c r="P238" s="2377"/>
      <c r="Q238" s="2377"/>
      <c r="R238" s="2377"/>
      <c r="S238" s="2377"/>
      <c r="T238" s="2377"/>
      <c r="U238" s="2377"/>
      <c r="V238" s="2377"/>
      <c r="W238" s="2377"/>
      <c r="X238" s="2377"/>
      <c r="Y238" s="2377"/>
      <c r="Z238" s="2377"/>
      <c r="AA238" s="2377"/>
      <c r="AB238" s="2377"/>
      <c r="AC238" s="46"/>
      <c r="AD238" s="46"/>
      <c r="AE238" s="28"/>
      <c r="AF238" s="161"/>
      <c r="AG238" s="153"/>
      <c r="AH238" s="153"/>
      <c r="AI238" s="153"/>
      <c r="AJ238" s="153"/>
      <c r="AK238" s="153"/>
      <c r="AL238" s="153"/>
      <c r="AM238" s="153"/>
      <c r="AN238" s="1141"/>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7" t="s">
        <v>1246</v>
      </c>
      <c r="F240" s="2377"/>
      <c r="G240" s="2377"/>
      <c r="H240" s="2377"/>
      <c r="I240" s="2377"/>
      <c r="J240" s="2377"/>
      <c r="K240" s="2377"/>
      <c r="L240" s="2377"/>
      <c r="M240" s="2377"/>
      <c r="N240" s="2377"/>
      <c r="O240" s="2377"/>
      <c r="P240" s="2377"/>
      <c r="Q240" s="2377"/>
      <c r="R240" s="2377"/>
      <c r="S240" s="2377"/>
      <c r="T240" s="2377"/>
      <c r="U240" s="2377"/>
      <c r="V240" s="2377"/>
      <c r="W240" s="2377"/>
      <c r="X240" s="2377"/>
      <c r="Y240" s="2377"/>
      <c r="Z240" s="2377"/>
      <c r="AA240" s="2377"/>
      <c r="AB240" s="540"/>
      <c r="AC240" s="46"/>
      <c r="AD240" s="46"/>
      <c r="AF240" s="2367" t="s">
        <v>114</v>
      </c>
      <c r="AG240" s="2367"/>
      <c r="AH240" s="2367"/>
      <c r="AI240" s="2367"/>
      <c r="AJ240" s="2367"/>
      <c r="AK240" s="2367"/>
      <c r="AL240" s="2367"/>
      <c r="AM240" s="153"/>
      <c r="AN240" s="317"/>
      <c r="AO240" s="132"/>
      <c r="AP240" s="65"/>
    </row>
    <row r="241" spans="1:74" s="16" customFormat="1">
      <c r="A241" s="28"/>
      <c r="B241" s="74"/>
      <c r="C241" s="77"/>
      <c r="D241" s="28"/>
      <c r="E241" s="2377"/>
      <c r="F241" s="2377"/>
      <c r="G241" s="2377"/>
      <c r="H241" s="2377"/>
      <c r="I241" s="2377"/>
      <c r="J241" s="2377"/>
      <c r="K241" s="2377"/>
      <c r="L241" s="2377"/>
      <c r="M241" s="2377"/>
      <c r="N241" s="2377"/>
      <c r="O241" s="2377"/>
      <c r="P241" s="2377"/>
      <c r="Q241" s="2377"/>
      <c r="R241" s="2377"/>
      <c r="S241" s="2377"/>
      <c r="T241" s="2377"/>
      <c r="U241" s="2377"/>
      <c r="V241" s="2377"/>
      <c r="W241" s="2377"/>
      <c r="X241" s="2377"/>
      <c r="Y241" s="2377"/>
      <c r="Z241" s="2377"/>
      <c r="AA241" s="237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7"/>
      <c r="F242" s="2377"/>
      <c r="G242" s="2377"/>
      <c r="H242" s="2377"/>
      <c r="I242" s="2377"/>
      <c r="J242" s="2377"/>
      <c r="K242" s="2377"/>
      <c r="L242" s="2377"/>
      <c r="M242" s="2377"/>
      <c r="N242" s="2377"/>
      <c r="O242" s="2377"/>
      <c r="P242" s="2377"/>
      <c r="Q242" s="2377"/>
      <c r="R242" s="2377"/>
      <c r="S242" s="2377"/>
      <c r="T242" s="2377"/>
      <c r="U242" s="2377"/>
      <c r="V242" s="2377"/>
      <c r="W242" s="2377"/>
      <c r="X242" s="2377"/>
      <c r="Y242" s="2377"/>
      <c r="Z242" s="2377"/>
      <c r="AA242" s="237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6" t="s">
        <v>641</v>
      </c>
      <c r="I244" s="237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2"/>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4">
        <f>VLOOKUP($H$244,$AO$183:$AP$185,2,FALSE)</f>
        <v>3</v>
      </c>
      <c r="AK246" s="2366"/>
      <c r="AL246" s="25"/>
      <c r="AM246" s="137"/>
      <c r="AN246" s="1132"/>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2"/>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2"/>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2"/>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7" t="s">
        <v>353</v>
      </c>
      <c r="F250" s="2377"/>
      <c r="G250" s="2377"/>
      <c r="H250" s="2377"/>
      <c r="I250" s="2377"/>
      <c r="J250" s="2377"/>
      <c r="K250" s="2377"/>
      <c r="L250" s="2377"/>
      <c r="M250" s="2377"/>
      <c r="N250" s="2377"/>
      <c r="O250" s="2377"/>
      <c r="P250" s="2377"/>
      <c r="Q250" s="2377"/>
      <c r="R250" s="2377"/>
      <c r="S250" s="2377"/>
      <c r="T250" s="2377"/>
      <c r="U250" s="2377"/>
      <c r="V250" s="2377"/>
      <c r="W250" s="2377"/>
      <c r="X250" s="2377"/>
      <c r="Y250" s="2377"/>
      <c r="Z250" s="2377"/>
      <c r="AA250" s="2377"/>
      <c r="AB250" s="2377"/>
      <c r="AC250" s="46"/>
      <c r="AD250" s="46"/>
      <c r="AF250" s="2367" t="s">
        <v>114</v>
      </c>
      <c r="AG250" s="2367"/>
      <c r="AH250" s="2367"/>
      <c r="AI250" s="2367"/>
      <c r="AJ250" s="2367"/>
      <c r="AK250" s="2367"/>
      <c r="AL250" s="2367"/>
      <c r="AM250" s="153"/>
      <c r="AN250" s="1132"/>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7"/>
      <c r="F251" s="2377"/>
      <c r="G251" s="2377"/>
      <c r="H251" s="2377"/>
      <c r="I251" s="2377"/>
      <c r="J251" s="2377"/>
      <c r="K251" s="2377"/>
      <c r="L251" s="2377"/>
      <c r="M251" s="2377"/>
      <c r="N251" s="2377"/>
      <c r="O251" s="2377"/>
      <c r="P251" s="2377"/>
      <c r="Q251" s="2377"/>
      <c r="R251" s="2377"/>
      <c r="S251" s="2377"/>
      <c r="T251" s="2377"/>
      <c r="U251" s="2377"/>
      <c r="V251" s="2377"/>
      <c r="W251" s="2377"/>
      <c r="X251" s="2377"/>
      <c r="Y251" s="2377"/>
      <c r="Z251" s="2377"/>
      <c r="AA251" s="2377"/>
      <c r="AB251" s="2377"/>
      <c r="AC251" s="46"/>
      <c r="AD251" s="46"/>
      <c r="AL251" s="153"/>
      <c r="AM251" s="153"/>
      <c r="AN251" s="1132"/>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2"/>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7" t="s">
        <v>1389</v>
      </c>
      <c r="F253" s="2377"/>
      <c r="G253" s="2377"/>
      <c r="H253" s="2377"/>
      <c r="I253" s="2377"/>
      <c r="J253" s="2377"/>
      <c r="K253" s="2377"/>
      <c r="L253" s="2377"/>
      <c r="M253" s="2377"/>
      <c r="N253" s="2377"/>
      <c r="O253" s="2377"/>
      <c r="P253" s="2377"/>
      <c r="Q253" s="2377"/>
      <c r="R253" s="2377"/>
      <c r="S253" s="2377"/>
      <c r="T253" s="2377"/>
      <c r="U253" s="2377"/>
      <c r="V253" s="2377"/>
      <c r="W253" s="2377"/>
      <c r="X253" s="2377"/>
      <c r="Y253" s="2377"/>
      <c r="Z253" s="2377"/>
      <c r="AA253" s="2377"/>
      <c r="AB253" s="2377"/>
      <c r="AC253" s="46"/>
      <c r="AD253" s="46"/>
      <c r="AF253" s="2367" t="s">
        <v>354</v>
      </c>
      <c r="AG253" s="2367"/>
      <c r="AH253" s="2367"/>
      <c r="AI253" s="2367"/>
      <c r="AJ253" s="2367"/>
      <c r="AK253" s="2367"/>
      <c r="AL253" s="2367"/>
      <c r="AM253" s="153"/>
      <c r="AN253" s="1132"/>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7"/>
      <c r="F254" s="2377"/>
      <c r="G254" s="2377"/>
      <c r="H254" s="2377"/>
      <c r="I254" s="2377"/>
      <c r="J254" s="2377"/>
      <c r="K254" s="2377"/>
      <c r="L254" s="2377"/>
      <c r="M254" s="2377"/>
      <c r="N254" s="2377"/>
      <c r="O254" s="2377"/>
      <c r="P254" s="2377"/>
      <c r="Q254" s="2377"/>
      <c r="R254" s="2377"/>
      <c r="S254" s="2377"/>
      <c r="T254" s="2377"/>
      <c r="U254" s="2377"/>
      <c r="V254" s="2377"/>
      <c r="W254" s="2377"/>
      <c r="X254" s="2377"/>
      <c r="Y254" s="2377"/>
      <c r="Z254" s="2377"/>
      <c r="AA254" s="2377"/>
      <c r="AB254" s="2377"/>
      <c r="AC254" s="46"/>
      <c r="AD254" s="46"/>
      <c r="AE254" s="179"/>
      <c r="AM254" s="153"/>
      <c r="AN254" s="1132"/>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2"/>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6" t="s">
        <v>641</v>
      </c>
      <c r="I256" s="237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2"/>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2"/>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4">
        <f>VLOOKUP($H$256,$AO$196:$AP$198,2,FALSE)</f>
        <v>2</v>
      </c>
      <c r="AK258" s="2366"/>
      <c r="AL258" s="25"/>
      <c r="AM258" s="137"/>
      <c r="AN258" s="1132"/>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2"/>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2"/>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95" customHeight="1">
      <c r="A262" s="28"/>
      <c r="B262" s="173"/>
      <c r="C262" s="218"/>
      <c r="D262" s="144" t="s">
        <v>641</v>
      </c>
      <c r="E262" s="2377" t="s">
        <v>2233</v>
      </c>
      <c r="F262" s="2377"/>
      <c r="G262" s="2377"/>
      <c r="H262" s="2377"/>
      <c r="I262" s="2377"/>
      <c r="J262" s="2377"/>
      <c r="K262" s="2377"/>
      <c r="L262" s="2377"/>
      <c r="M262" s="2377"/>
      <c r="N262" s="2377"/>
      <c r="O262" s="2377"/>
      <c r="P262" s="2377"/>
      <c r="Q262" s="2377"/>
      <c r="R262" s="2377"/>
      <c r="S262" s="2377"/>
      <c r="T262" s="2377"/>
      <c r="U262" s="2377"/>
      <c r="V262" s="2377"/>
      <c r="W262" s="2377"/>
      <c r="X262" s="2377"/>
      <c r="Y262" s="2377"/>
      <c r="Z262" s="2377"/>
      <c r="AA262" s="2377"/>
      <c r="AB262" s="2377"/>
      <c r="AC262" s="2377"/>
      <c r="AD262" s="2377"/>
      <c r="AF262" s="2367" t="s">
        <v>114</v>
      </c>
      <c r="AG262" s="2367"/>
      <c r="AH262" s="2367"/>
      <c r="AI262" s="2367"/>
      <c r="AJ262" s="2367"/>
      <c r="AK262" s="2367"/>
      <c r="AL262" s="2367"/>
      <c r="AM262" s="175"/>
      <c r="AN262" s="317"/>
    </row>
    <row r="263" spans="1:74" s="16" customFormat="1">
      <c r="A263" s="28"/>
      <c r="B263" s="173"/>
      <c r="C263" s="218"/>
      <c r="D263" s="144"/>
      <c r="E263" s="2377"/>
      <c r="F263" s="2377"/>
      <c r="G263" s="2377"/>
      <c r="H263" s="2377"/>
      <c r="I263" s="2377"/>
      <c r="J263" s="2377"/>
      <c r="K263" s="2377"/>
      <c r="L263" s="2377"/>
      <c r="M263" s="2377"/>
      <c r="N263" s="2377"/>
      <c r="O263" s="2377"/>
      <c r="P263" s="2377"/>
      <c r="Q263" s="2377"/>
      <c r="R263" s="2377"/>
      <c r="S263" s="2377"/>
      <c r="T263" s="2377"/>
      <c r="U263" s="2377"/>
      <c r="V263" s="2377"/>
      <c r="W263" s="2377"/>
      <c r="X263" s="2377"/>
      <c r="Y263" s="2377"/>
      <c r="Z263" s="2377"/>
      <c r="AA263" s="2377"/>
      <c r="AB263" s="2377"/>
      <c r="AC263" s="2377"/>
      <c r="AD263" s="2377"/>
      <c r="AL263" s="1301"/>
      <c r="AM263" s="175"/>
      <c r="AN263" s="1132"/>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45" customHeight="1">
      <c r="A264" s="28"/>
      <c r="B264" s="173"/>
      <c r="C264" s="218"/>
      <c r="D264" s="144"/>
      <c r="E264" s="2377"/>
      <c r="F264" s="2377"/>
      <c r="G264" s="2377"/>
      <c r="H264" s="2377"/>
      <c r="I264" s="2377"/>
      <c r="J264" s="2377"/>
      <c r="K264" s="2377"/>
      <c r="L264" s="2377"/>
      <c r="M264" s="2377"/>
      <c r="N264" s="2377"/>
      <c r="O264" s="2377"/>
      <c r="P264" s="2377"/>
      <c r="Q264" s="2377"/>
      <c r="R264" s="2377"/>
      <c r="S264" s="2377"/>
      <c r="T264" s="2377"/>
      <c r="U264" s="2377"/>
      <c r="V264" s="2377"/>
      <c r="W264" s="2377"/>
      <c r="X264" s="2377"/>
      <c r="Y264" s="2377"/>
      <c r="Z264" s="2377"/>
      <c r="AA264" s="2377"/>
      <c r="AB264" s="2377"/>
      <c r="AC264" s="2377"/>
      <c r="AD264" s="2377"/>
      <c r="AE264" s="179"/>
      <c r="AF264" s="179"/>
      <c r="AG264" s="179"/>
      <c r="AH264" s="179"/>
      <c r="AI264" s="179"/>
      <c r="AJ264" s="179"/>
      <c r="AK264" s="179"/>
      <c r="AL264" s="1301"/>
      <c r="AM264" s="175"/>
      <c r="AN264" s="1132"/>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93" t="s">
        <v>2234</v>
      </c>
      <c r="F266" s="2593"/>
      <c r="G266" s="2593"/>
      <c r="H266" s="2593"/>
      <c r="I266" s="2593"/>
      <c r="J266" s="2593"/>
      <c r="K266" s="2593"/>
      <c r="L266" s="2593"/>
      <c r="M266" s="2593"/>
      <c r="N266" s="2593"/>
      <c r="O266" s="2593"/>
      <c r="P266" s="2593"/>
      <c r="Q266" s="2593"/>
      <c r="R266" s="2593"/>
      <c r="S266" s="2593"/>
      <c r="T266" s="2593"/>
      <c r="U266" s="2593"/>
      <c r="V266" s="2593"/>
      <c r="W266" s="2593"/>
      <c r="X266" s="2593"/>
      <c r="Y266" s="2593"/>
      <c r="Z266" s="2593"/>
      <c r="AA266" s="2593"/>
      <c r="AB266" s="2593"/>
      <c r="AC266" s="2593"/>
      <c r="AD266" s="2593"/>
      <c r="AF266" s="2367" t="s">
        <v>66</v>
      </c>
      <c r="AG266" s="2367"/>
      <c r="AH266" s="2367"/>
      <c r="AI266" s="2367"/>
      <c r="AJ266" s="2367"/>
      <c r="AK266" s="2367"/>
      <c r="AL266" s="2367"/>
      <c r="AM266" s="175"/>
      <c r="AN266" s="439"/>
    </row>
    <row r="267" spans="1:74" s="46" customFormat="1" ht="12.75" customHeight="1">
      <c r="A267" s="28"/>
      <c r="B267" s="173"/>
      <c r="C267" s="218"/>
      <c r="D267" s="144"/>
      <c r="E267" s="2593"/>
      <c r="F267" s="2593"/>
      <c r="G267" s="2593"/>
      <c r="H267" s="2593"/>
      <c r="I267" s="2593"/>
      <c r="J267" s="2593"/>
      <c r="K267" s="2593"/>
      <c r="L267" s="2593"/>
      <c r="M267" s="2593"/>
      <c r="N267" s="2593"/>
      <c r="O267" s="2593"/>
      <c r="P267" s="2593"/>
      <c r="Q267" s="2593"/>
      <c r="R267" s="2593"/>
      <c r="S267" s="2593"/>
      <c r="T267" s="2593"/>
      <c r="U267" s="2593"/>
      <c r="V267" s="2593"/>
      <c r="W267" s="2593"/>
      <c r="X267" s="2593"/>
      <c r="Y267" s="2593"/>
      <c r="Z267" s="2593"/>
      <c r="AA267" s="2593"/>
      <c r="AB267" s="2593"/>
      <c r="AC267" s="2593"/>
      <c r="AD267" s="2593"/>
      <c r="AE267" s="179"/>
      <c r="AF267" s="179"/>
      <c r="AG267" s="179"/>
      <c r="AH267" s="179"/>
      <c r="AI267" s="179"/>
      <c r="AJ267" s="179"/>
      <c r="AK267" s="179"/>
      <c r="AL267" s="1301"/>
      <c r="AM267" s="175"/>
      <c r="AN267" s="439"/>
    </row>
    <row r="268" spans="1:74" s="46" customFormat="1" ht="12.75" customHeight="1">
      <c r="A268" s="28"/>
      <c r="B268" s="173"/>
      <c r="C268" s="218"/>
      <c r="D268" s="144"/>
      <c r="E268" s="2593"/>
      <c r="F268" s="2593"/>
      <c r="G268" s="2593"/>
      <c r="H268" s="2593"/>
      <c r="I268" s="2593"/>
      <c r="J268" s="2593"/>
      <c r="K268" s="2593"/>
      <c r="L268" s="2593"/>
      <c r="M268" s="2593"/>
      <c r="N268" s="2593"/>
      <c r="O268" s="2593"/>
      <c r="P268" s="2593"/>
      <c r="Q268" s="2593"/>
      <c r="R268" s="2593"/>
      <c r="S268" s="2593"/>
      <c r="T268" s="2593"/>
      <c r="U268" s="2593"/>
      <c r="V268" s="2593"/>
      <c r="W268" s="2593"/>
      <c r="X268" s="2593"/>
      <c r="Y268" s="2593"/>
      <c r="Z268" s="2593"/>
      <c r="AA268" s="2593"/>
      <c r="AB268" s="2593"/>
      <c r="AC268" s="2593"/>
      <c r="AD268" s="2593"/>
      <c r="AE268" s="179"/>
      <c r="AF268" s="179"/>
      <c r="AG268" s="179"/>
      <c r="AH268" s="179"/>
      <c r="AI268" s="179"/>
      <c r="AJ268" s="179"/>
      <c r="AK268" s="179"/>
      <c r="AL268" s="1301"/>
      <c r="AM268" s="175"/>
      <c r="AN268" s="439"/>
    </row>
    <row r="269" spans="1:74" s="46" customFormat="1" ht="12.75" customHeight="1">
      <c r="A269" s="28"/>
      <c r="B269" s="173"/>
      <c r="C269" s="218"/>
      <c r="D269" s="144"/>
      <c r="E269" s="2593"/>
      <c r="F269" s="2593"/>
      <c r="G269" s="2593"/>
      <c r="H269" s="2593"/>
      <c r="I269" s="2593"/>
      <c r="J269" s="2593"/>
      <c r="K269" s="2593"/>
      <c r="L269" s="2593"/>
      <c r="M269" s="2593"/>
      <c r="N269" s="2593"/>
      <c r="O269" s="2593"/>
      <c r="P269" s="2593"/>
      <c r="Q269" s="2593"/>
      <c r="R269" s="2593"/>
      <c r="S269" s="2593"/>
      <c r="T269" s="2593"/>
      <c r="U269" s="2593"/>
      <c r="V269" s="2593"/>
      <c r="W269" s="2593"/>
      <c r="X269" s="2593"/>
      <c r="Y269" s="2593"/>
      <c r="Z269" s="2593"/>
      <c r="AA269" s="2593"/>
      <c r="AB269" s="2593"/>
      <c r="AC269" s="2593"/>
      <c r="AD269" s="2593"/>
      <c r="AE269" s="179"/>
      <c r="AF269" s="179"/>
      <c r="AG269" s="179"/>
      <c r="AH269" s="179"/>
      <c r="AI269" s="179"/>
      <c r="AJ269" s="179"/>
      <c r="AK269" s="179"/>
      <c r="AL269" s="1301"/>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6" t="s">
        <v>641</v>
      </c>
      <c r="I271" s="237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4">
        <f>VLOOKUP($H$271,$AP$216:$AQ$218,2,FALSE)</f>
        <v>2</v>
      </c>
      <c r="AK273" s="236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95" customHeight="1">
      <c r="A277" s="28"/>
      <c r="B277" s="173"/>
      <c r="C277" s="218"/>
      <c r="D277" s="144" t="s">
        <v>641</v>
      </c>
      <c r="E277" s="2377" t="s">
        <v>2232</v>
      </c>
      <c r="F277" s="2377"/>
      <c r="G277" s="2377"/>
      <c r="H277" s="2377"/>
      <c r="I277" s="2377"/>
      <c r="J277" s="2377"/>
      <c r="K277" s="2377"/>
      <c r="L277" s="2377"/>
      <c r="M277" s="2377"/>
      <c r="N277" s="2377"/>
      <c r="O277" s="2377"/>
      <c r="P277" s="2377"/>
      <c r="Q277" s="2377"/>
      <c r="R277" s="2377"/>
      <c r="S277" s="2377"/>
      <c r="T277" s="2377"/>
      <c r="U277" s="2377"/>
      <c r="V277" s="2377"/>
      <c r="W277" s="2377"/>
      <c r="X277" s="2377"/>
      <c r="Y277" s="2377"/>
      <c r="Z277" s="2377"/>
      <c r="AA277" s="2377"/>
      <c r="AB277" s="2377"/>
      <c r="AC277" s="2377"/>
      <c r="AD277" s="2377"/>
      <c r="AF277" s="2367" t="s">
        <v>1839</v>
      </c>
      <c r="AG277" s="2367"/>
      <c r="AH277" s="2367"/>
      <c r="AI277" s="2367"/>
      <c r="AJ277" s="2367"/>
      <c r="AK277" s="2367"/>
      <c r="AL277" s="2367"/>
      <c r="AM277" s="175"/>
      <c r="AN277" s="317"/>
      <c r="AO277" s="144" t="s">
        <v>119</v>
      </c>
      <c r="AP277" s="46">
        <v>8</v>
      </c>
      <c r="AT277" s="1027"/>
      <c r="AU277" s="1027"/>
      <c r="AV277" s="1027"/>
      <c r="AW277" s="1027"/>
      <c r="AX277" s="1027"/>
      <c r="AY277" s="1027"/>
      <c r="AZ277" s="1027"/>
    </row>
    <row r="278" spans="1:82" s="16" customFormat="1">
      <c r="A278" s="28"/>
      <c r="B278" s="173"/>
      <c r="C278" s="218"/>
      <c r="D278" s="144"/>
      <c r="E278" s="2377"/>
      <c r="F278" s="2377"/>
      <c r="G278" s="2377"/>
      <c r="H278" s="2377"/>
      <c r="I278" s="2377"/>
      <c r="J278" s="2377"/>
      <c r="K278" s="2377"/>
      <c r="L278" s="2377"/>
      <c r="M278" s="2377"/>
      <c r="N278" s="2377"/>
      <c r="O278" s="2377"/>
      <c r="P278" s="2377"/>
      <c r="Q278" s="2377"/>
      <c r="R278" s="2377"/>
      <c r="S278" s="2377"/>
      <c r="T278" s="2377"/>
      <c r="U278" s="2377"/>
      <c r="V278" s="2377"/>
      <c r="W278" s="2377"/>
      <c r="X278" s="2377"/>
      <c r="Y278" s="2377"/>
      <c r="Z278" s="2377"/>
      <c r="AA278" s="2377"/>
      <c r="AB278" s="2377"/>
      <c r="AC278" s="2377"/>
      <c r="AD278" s="2377"/>
      <c r="AE278" s="1020"/>
      <c r="AF278" s="1020"/>
      <c r="AG278" s="1020"/>
      <c r="AH278" s="1020"/>
      <c r="AI278" s="1020"/>
      <c r="AJ278" s="1020"/>
      <c r="AK278" s="1020"/>
      <c r="AL278" s="1301"/>
      <c r="AM278" s="175"/>
      <c r="AN278" s="317"/>
      <c r="AO278" s="144"/>
      <c r="AP278" s="46"/>
      <c r="AT278" s="1027"/>
      <c r="AU278" s="1027"/>
      <c r="AV278" s="1027"/>
      <c r="AW278" s="1027"/>
      <c r="AX278" s="1027"/>
      <c r="AY278" s="1027"/>
      <c r="AZ278" s="1027"/>
    </row>
    <row r="279" spans="1:82" s="16" customFormat="1">
      <c r="A279" s="28"/>
      <c r="B279" s="173"/>
      <c r="C279" s="218"/>
      <c r="D279" s="144"/>
      <c r="E279" s="2377"/>
      <c r="F279" s="2377"/>
      <c r="G279" s="2377"/>
      <c r="H279" s="2377"/>
      <c r="I279" s="2377"/>
      <c r="J279" s="2377"/>
      <c r="K279" s="2377"/>
      <c r="L279" s="2377"/>
      <c r="M279" s="2377"/>
      <c r="N279" s="2377"/>
      <c r="O279" s="2377"/>
      <c r="P279" s="2377"/>
      <c r="Q279" s="2377"/>
      <c r="R279" s="2377"/>
      <c r="S279" s="2377"/>
      <c r="T279" s="2377"/>
      <c r="U279" s="2377"/>
      <c r="V279" s="2377"/>
      <c r="W279" s="2377"/>
      <c r="X279" s="2377"/>
      <c r="Y279" s="2377"/>
      <c r="Z279" s="2377"/>
      <c r="AA279" s="2377"/>
      <c r="AB279" s="2377"/>
      <c r="AC279" s="2377"/>
      <c r="AD279" s="2377"/>
      <c r="AE279" s="1020"/>
      <c r="AF279" s="1020"/>
      <c r="AG279" s="1020"/>
      <c r="AH279" s="1020"/>
      <c r="AI279" s="1020"/>
      <c r="AJ279" s="1020"/>
      <c r="AK279" s="1020"/>
      <c r="AL279" s="1301"/>
      <c r="AM279" s="175"/>
      <c r="AN279" s="317"/>
      <c r="AO279" s="306"/>
      <c r="AT279" s="1027"/>
      <c r="AU279" s="1027"/>
      <c r="AV279" s="1027"/>
      <c r="AW279" s="1027"/>
      <c r="AX279" s="1027"/>
      <c r="AY279" s="1027"/>
      <c r="AZ279" s="1027"/>
    </row>
    <row r="280" spans="1:82" s="16" customFormat="1">
      <c r="A280" s="28"/>
      <c r="B280" s="173"/>
      <c r="C280" s="218"/>
      <c r="D280" s="144"/>
      <c r="E280" s="1021"/>
      <c r="F280" s="1021"/>
      <c r="G280" s="1021"/>
      <c r="H280" s="1021"/>
      <c r="I280" s="1021"/>
      <c r="J280" s="1021"/>
      <c r="K280" s="1021"/>
      <c r="L280" s="1021"/>
      <c r="M280" s="1021"/>
      <c r="N280" s="1021"/>
      <c r="O280" s="1021"/>
      <c r="P280" s="1021"/>
      <c r="Q280" s="1021"/>
      <c r="R280" s="1021"/>
      <c r="S280" s="1021"/>
      <c r="T280" s="1021"/>
      <c r="U280" s="1021"/>
      <c r="V280" s="1021"/>
      <c r="W280" s="1021"/>
      <c r="X280" s="1021"/>
      <c r="Y280" s="1021"/>
      <c r="Z280" s="1021"/>
      <c r="AA280" s="1021"/>
      <c r="AB280" s="1021"/>
      <c r="AC280" s="1021"/>
      <c r="AD280" s="1021"/>
      <c r="AE280" s="1020"/>
      <c r="AF280" s="1020"/>
      <c r="AG280" s="1020"/>
      <c r="AH280" s="1020"/>
      <c r="AI280" s="1020"/>
      <c r="AJ280" s="1020"/>
      <c r="AK280" s="1020"/>
      <c r="AL280" s="1301"/>
      <c r="AM280" s="175"/>
      <c r="AN280" s="317"/>
      <c r="AO280" s="306"/>
      <c r="AT280" s="1027"/>
      <c r="AU280" s="1027"/>
      <c r="AV280" s="1027"/>
      <c r="AW280" s="1027"/>
      <c r="AX280" s="1027"/>
      <c r="AY280" s="1027"/>
      <c r="AZ280" s="1027"/>
    </row>
    <row r="281" spans="1:82" s="16" customFormat="1">
      <c r="A281" s="28"/>
      <c r="B281" s="173"/>
      <c r="C281" s="218"/>
      <c r="D281" s="28" t="s">
        <v>163</v>
      </c>
      <c r="E281" s="1022"/>
      <c r="F281" s="1022"/>
      <c r="G281" s="1022"/>
      <c r="H281" s="2376" t="s">
        <v>136</v>
      </c>
      <c r="I281" s="237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8" t="s">
        <v>1940</v>
      </c>
      <c r="AJ283" s="2364">
        <f>VLOOKUP($H$281,$AO$276:$AP$277,2,FALSE)</f>
        <v>0</v>
      </c>
      <c r="AK283" s="2366"/>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5"/>
      <c r="AJ285" s="1305" t="s">
        <v>39</v>
      </c>
      <c r="AK285" s="2364">
        <f>$AJ$129+$AJ$144+$AJ$156+$AJ$189+$AJ$208+$AJ$220+$AJ$232+$AJ$246+$AJ$258+$AJ$273+AJ283</f>
        <v>20</v>
      </c>
      <c r="AL285" s="2365"/>
      <c r="AM285" s="236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8" t="s">
        <v>2507</v>
      </c>
      <c r="I289" s="1698"/>
      <c r="J289" s="1698"/>
      <c r="K289" s="1698"/>
      <c r="L289" s="1698"/>
      <c r="M289" s="1698"/>
      <c r="N289" s="1698"/>
      <c r="O289" s="1698"/>
      <c r="P289" s="1698"/>
      <c r="Q289" s="1698"/>
      <c r="R289" s="1698"/>
      <c r="S289" s="16"/>
      <c r="T289" s="72" t="s">
        <v>100</v>
      </c>
      <c r="U289" s="16"/>
      <c r="V289" s="72"/>
      <c r="W289" s="72"/>
      <c r="X289" s="72"/>
      <c r="Y289" s="72"/>
      <c r="Z289" s="16"/>
      <c r="AA289" s="1698" t="s">
        <v>2511</v>
      </c>
      <c r="AB289" s="1698"/>
      <c r="AC289" s="1698"/>
      <c r="AD289" s="1698"/>
      <c r="AE289" s="1698"/>
      <c r="AF289" s="1698"/>
      <c r="AG289" s="1698"/>
      <c r="AH289" s="1698"/>
      <c r="AI289" s="1698"/>
      <c r="AJ289" s="1698"/>
      <c r="AK289" s="1698"/>
      <c r="AL289" s="25"/>
      <c r="AM289" s="137"/>
      <c r="AN289" s="439"/>
    </row>
    <row r="290" spans="1:41" s="46" customFormat="1" ht="12.75" customHeight="1">
      <c r="A290" s="153"/>
      <c r="B290" s="72" t="s">
        <v>765</v>
      </c>
      <c r="C290" s="72"/>
      <c r="D290" s="72"/>
      <c r="E290" s="72"/>
      <c r="F290" s="72"/>
      <c r="G290" s="16"/>
      <c r="H290" s="1688" t="s">
        <v>2508</v>
      </c>
      <c r="I290" s="1688"/>
      <c r="J290" s="1688"/>
      <c r="K290" s="1688"/>
      <c r="L290" s="1688"/>
      <c r="M290" s="1688"/>
      <c r="N290" s="1688"/>
      <c r="O290" s="1688"/>
      <c r="P290" s="1688"/>
      <c r="Q290" s="1688"/>
      <c r="R290" s="1688"/>
      <c r="S290" s="16"/>
      <c r="T290" s="72" t="s">
        <v>765</v>
      </c>
      <c r="U290" s="16"/>
      <c r="V290" s="72"/>
      <c r="W290" s="72"/>
      <c r="X290" s="72"/>
      <c r="Y290" s="72"/>
      <c r="Z290" s="16"/>
      <c r="AA290" s="1688" t="s">
        <v>2512</v>
      </c>
      <c r="AB290" s="1688"/>
      <c r="AC290" s="1688"/>
      <c r="AD290" s="1688"/>
      <c r="AE290" s="1688"/>
      <c r="AF290" s="1688"/>
      <c r="AG290" s="1688"/>
      <c r="AH290" s="1688"/>
      <c r="AI290" s="1688"/>
      <c r="AJ290" s="1688"/>
      <c r="AK290" s="1688"/>
      <c r="AL290" s="25"/>
      <c r="AM290" s="137"/>
      <c r="AN290" s="439"/>
    </row>
    <row r="291" spans="1:41" s="46" customFormat="1" ht="12.75" customHeight="1">
      <c r="A291" s="153"/>
      <c r="B291" s="72" t="s">
        <v>110</v>
      </c>
      <c r="C291" s="72"/>
      <c r="D291" s="72"/>
      <c r="E291" s="72"/>
      <c r="F291" s="72"/>
      <c r="G291" s="16"/>
      <c r="H291" s="1688" t="s">
        <v>2509</v>
      </c>
      <c r="I291" s="1688"/>
      <c r="J291" s="1688"/>
      <c r="K291" s="1688"/>
      <c r="L291" s="1688"/>
      <c r="M291" s="1688"/>
      <c r="N291" s="1688"/>
      <c r="O291" s="1688"/>
      <c r="P291" s="1688"/>
      <c r="Q291" s="1688"/>
      <c r="R291" s="1688"/>
      <c r="S291" s="16"/>
      <c r="T291" s="72" t="s">
        <v>110</v>
      </c>
      <c r="U291" s="16"/>
      <c r="V291" s="72"/>
      <c r="W291" s="72"/>
      <c r="X291" s="72"/>
      <c r="Y291" s="72"/>
      <c r="Z291" s="16"/>
      <c r="AA291" s="1688" t="s">
        <v>2509</v>
      </c>
      <c r="AB291" s="1688"/>
      <c r="AC291" s="1688"/>
      <c r="AD291" s="1688"/>
      <c r="AE291" s="1688"/>
      <c r="AF291" s="1688"/>
      <c r="AG291" s="1688"/>
      <c r="AH291" s="1688"/>
      <c r="AI291" s="1688"/>
      <c r="AJ291" s="1688"/>
      <c r="AK291" s="1688"/>
      <c r="AL291" s="25"/>
      <c r="AM291" s="137"/>
      <c r="AN291" s="439"/>
      <c r="AO291" s="331"/>
    </row>
    <row r="292" spans="1:41" s="46" customFormat="1" ht="12.75" customHeight="1">
      <c r="A292" s="153"/>
      <c r="B292" s="72" t="s">
        <v>418</v>
      </c>
      <c r="C292" s="72"/>
      <c r="D292" s="72"/>
      <c r="E292" s="72"/>
      <c r="F292" s="72"/>
      <c r="G292" s="16"/>
      <c r="H292" s="1688"/>
      <c r="I292" s="1688"/>
      <c r="J292" s="1688"/>
      <c r="K292" s="1688"/>
      <c r="L292" s="1688"/>
      <c r="M292" s="1688"/>
      <c r="N292" s="1688"/>
      <c r="O292" s="1688"/>
      <c r="P292" s="1688"/>
      <c r="Q292" s="1688"/>
      <c r="R292" s="1688"/>
      <c r="S292" s="16"/>
      <c r="T292" s="72" t="s">
        <v>418</v>
      </c>
      <c r="U292" s="16"/>
      <c r="V292" s="72"/>
      <c r="W292" s="72"/>
      <c r="X292" s="72"/>
      <c r="Y292" s="72"/>
      <c r="Z292" s="16"/>
      <c r="AA292" s="1688"/>
      <c r="AB292" s="1688"/>
      <c r="AC292" s="1688"/>
      <c r="AD292" s="1688"/>
      <c r="AE292" s="1688"/>
      <c r="AF292" s="1688"/>
      <c r="AG292" s="1688"/>
      <c r="AH292" s="1688"/>
      <c r="AI292" s="1688"/>
      <c r="AJ292" s="1688"/>
      <c r="AK292" s="1688"/>
      <c r="AL292" s="25"/>
      <c r="AM292" s="137"/>
      <c r="AN292" s="439"/>
      <c r="AO292" s="331"/>
    </row>
    <row r="293" spans="1:41" s="46" customFormat="1" ht="12.75" customHeight="1">
      <c r="A293" s="153"/>
      <c r="B293" s="72" t="s">
        <v>419</v>
      </c>
      <c r="C293" s="72"/>
      <c r="D293" s="72"/>
      <c r="E293" s="72"/>
      <c r="F293" s="72"/>
      <c r="G293" s="72"/>
      <c r="H293" s="1700">
        <v>7072253037</v>
      </c>
      <c r="I293" s="1700"/>
      <c r="J293" s="1700"/>
      <c r="K293" s="1700"/>
      <c r="L293" s="1700"/>
      <c r="M293" s="1700"/>
      <c r="N293" s="8" t="s">
        <v>900</v>
      </c>
      <c r="O293" s="8"/>
      <c r="P293" s="1694"/>
      <c r="Q293" s="1694"/>
      <c r="R293" s="1694"/>
      <c r="S293" s="72"/>
      <c r="T293" s="72" t="s">
        <v>419</v>
      </c>
      <c r="U293" s="16"/>
      <c r="V293" s="72"/>
      <c r="W293" s="72"/>
      <c r="X293" s="72"/>
      <c r="Y293" s="72"/>
      <c r="Z293" s="16"/>
      <c r="AA293" s="1700">
        <v>7072524411</v>
      </c>
      <c r="AB293" s="1700"/>
      <c r="AC293" s="1700"/>
      <c r="AD293" s="1700"/>
      <c r="AE293" s="1700"/>
      <c r="AF293" s="1700"/>
      <c r="AG293" s="8" t="s">
        <v>900</v>
      </c>
      <c r="AH293" s="8"/>
      <c r="AI293" s="1694"/>
      <c r="AJ293" s="1694"/>
      <c r="AK293" s="1694"/>
      <c r="AL293" s="25"/>
      <c r="AM293" s="137"/>
      <c r="AN293" s="439"/>
      <c r="AO293" s="331"/>
    </row>
    <row r="294" spans="1:41" s="46" customFormat="1" ht="12.75" customHeight="1">
      <c r="A294" s="153"/>
      <c r="B294" s="72" t="s">
        <v>99</v>
      </c>
      <c r="C294" s="72"/>
      <c r="D294" s="72"/>
      <c r="E294" s="72"/>
      <c r="F294" s="72"/>
      <c r="G294" s="72"/>
      <c r="H294" s="1688" t="s">
        <v>388</v>
      </c>
      <c r="I294" s="1688"/>
      <c r="J294" s="1688"/>
      <c r="K294" s="1688"/>
      <c r="L294" s="1688"/>
      <c r="M294" s="1688"/>
      <c r="N294" s="1688"/>
      <c r="O294" s="1688"/>
      <c r="P294" s="1688"/>
      <c r="Q294" s="1688"/>
      <c r="R294" s="1688"/>
      <c r="S294" s="72"/>
      <c r="T294" s="72" t="s">
        <v>99</v>
      </c>
      <c r="U294" s="16"/>
      <c r="V294" s="72"/>
      <c r="W294" s="72"/>
      <c r="X294" s="72"/>
      <c r="Y294" s="72"/>
      <c r="Z294" s="16"/>
      <c r="AA294" s="1688" t="s">
        <v>106</v>
      </c>
      <c r="AB294" s="1688"/>
      <c r="AC294" s="1688"/>
      <c r="AD294" s="1688"/>
      <c r="AE294" s="1688"/>
      <c r="AF294" s="1688"/>
      <c r="AG294" s="1688"/>
      <c r="AH294" s="1688"/>
      <c r="AI294" s="1688"/>
      <c r="AJ294" s="1688"/>
      <c r="AK294" s="1688"/>
      <c r="AL294" s="25"/>
      <c r="AM294" s="137"/>
      <c r="AN294" s="439"/>
      <c r="AO294" s="331"/>
    </row>
    <row r="295" spans="1:41" s="46" customFormat="1" ht="12.75" customHeight="1">
      <c r="A295" s="153"/>
      <c r="B295" s="72" t="s">
        <v>101</v>
      </c>
      <c r="C295" s="72"/>
      <c r="D295" s="72"/>
      <c r="E295" s="72"/>
      <c r="F295" s="72"/>
      <c r="G295" s="72"/>
      <c r="H295" s="1688" t="s">
        <v>2510</v>
      </c>
      <c r="I295" s="1688"/>
      <c r="J295" s="1688"/>
      <c r="K295" s="1688"/>
      <c r="L295" s="1688"/>
      <c r="M295" s="1688"/>
      <c r="N295" s="1688"/>
      <c r="O295" s="1688"/>
      <c r="P295" s="1688"/>
      <c r="Q295" s="1688"/>
      <c r="R295" s="1688"/>
      <c r="S295" s="72"/>
      <c r="T295" s="72" t="s">
        <v>101</v>
      </c>
      <c r="U295" s="16"/>
      <c r="V295" s="72"/>
      <c r="W295" s="72"/>
      <c r="X295" s="72"/>
      <c r="Y295" s="72"/>
      <c r="Z295" s="16"/>
      <c r="AA295" s="1688" t="s">
        <v>2513</v>
      </c>
      <c r="AB295" s="1688"/>
      <c r="AC295" s="1688"/>
      <c r="AD295" s="1688"/>
      <c r="AE295" s="1688"/>
      <c r="AF295" s="1688"/>
      <c r="AG295" s="1688"/>
      <c r="AH295" s="1688"/>
      <c r="AI295" s="1688"/>
      <c r="AJ295" s="1688"/>
      <c r="AK295" s="1688"/>
      <c r="AL295" s="25"/>
      <c r="AM295" s="137"/>
      <c r="AN295" s="439"/>
    </row>
    <row r="296" spans="1:41" s="137" customFormat="1" ht="12.75" customHeight="1">
      <c r="A296" s="153"/>
      <c r="B296" s="72" t="s">
        <v>112</v>
      </c>
      <c r="C296" s="72"/>
      <c r="D296" s="72"/>
      <c r="E296" s="72"/>
      <c r="F296" s="72"/>
      <c r="G296" s="72"/>
      <c r="H296" s="2418">
        <v>0.63</v>
      </c>
      <c r="I296" s="2418"/>
      <c r="J296" s="2418"/>
      <c r="K296" s="2418"/>
      <c r="L296" s="2418"/>
      <c r="M296" s="2418"/>
      <c r="N296" s="2418"/>
      <c r="O296" s="2418"/>
      <c r="P296" s="2418"/>
      <c r="Q296" s="2418"/>
      <c r="R296" s="2418"/>
      <c r="S296" s="72"/>
      <c r="T296" s="72" t="s">
        <v>112</v>
      </c>
      <c r="U296" s="72"/>
      <c r="V296" s="72"/>
      <c r="W296" s="72"/>
      <c r="X296" s="72"/>
      <c r="Y296" s="72"/>
      <c r="Z296" s="18"/>
      <c r="AA296" s="2418">
        <v>0.33</v>
      </c>
      <c r="AB296" s="2418"/>
      <c r="AC296" s="2418"/>
      <c r="AD296" s="2418"/>
      <c r="AE296" s="2418"/>
      <c r="AF296" s="2418"/>
      <c r="AG296" s="2418"/>
      <c r="AH296" s="2418"/>
      <c r="AI296" s="2418"/>
      <c r="AJ296" s="2418"/>
      <c r="AK296" s="2418"/>
      <c r="AL296" s="25"/>
      <c r="AM296" s="423"/>
      <c r="AN296" s="1137"/>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8" t="s">
        <v>2514</v>
      </c>
      <c r="I298" s="1698"/>
      <c r="J298" s="1698"/>
      <c r="K298" s="1698"/>
      <c r="L298" s="1698"/>
      <c r="M298" s="1698"/>
      <c r="N298" s="1698"/>
      <c r="O298" s="1698"/>
      <c r="P298" s="1698"/>
      <c r="Q298" s="1698"/>
      <c r="R298" s="1698"/>
      <c r="S298" s="16"/>
      <c r="T298" s="72" t="s">
        <v>100</v>
      </c>
      <c r="U298" s="16"/>
      <c r="V298" s="72"/>
      <c r="W298" s="72"/>
      <c r="X298" s="72"/>
      <c r="Y298" s="72"/>
      <c r="Z298" s="16"/>
      <c r="AA298" s="1698" t="s">
        <v>2572</v>
      </c>
      <c r="AB298" s="1698"/>
      <c r="AC298" s="1698"/>
      <c r="AD298" s="1698"/>
      <c r="AE298" s="1698"/>
      <c r="AF298" s="1698"/>
      <c r="AG298" s="1698"/>
      <c r="AH298" s="1698"/>
      <c r="AI298" s="1698"/>
      <c r="AJ298" s="1698"/>
      <c r="AK298" s="1698"/>
      <c r="AL298" s="25"/>
      <c r="AM298" s="137"/>
      <c r="AN298" s="439"/>
    </row>
    <row r="299" spans="1:41" s="205" customFormat="1" ht="12.75" customHeight="1">
      <c r="A299" s="153"/>
      <c r="B299" s="72" t="s">
        <v>765</v>
      </c>
      <c r="C299" s="72"/>
      <c r="D299" s="72"/>
      <c r="E299" s="72"/>
      <c r="F299" s="72"/>
      <c r="G299" s="16"/>
      <c r="H299" s="1688" t="s">
        <v>2515</v>
      </c>
      <c r="I299" s="1688"/>
      <c r="J299" s="1688"/>
      <c r="K299" s="1688"/>
      <c r="L299" s="1688"/>
      <c r="M299" s="1688"/>
      <c r="N299" s="1688"/>
      <c r="O299" s="1688"/>
      <c r="P299" s="1688"/>
      <c r="Q299" s="1688"/>
      <c r="R299" s="1688"/>
      <c r="S299" s="16"/>
      <c r="T299" s="72" t="s">
        <v>765</v>
      </c>
      <c r="U299" s="16"/>
      <c r="V299" s="72"/>
      <c r="W299" s="72"/>
      <c r="X299" s="72"/>
      <c r="Y299" s="72"/>
      <c r="Z299" s="16"/>
      <c r="AA299" s="1688" t="s">
        <v>2573</v>
      </c>
      <c r="AB299" s="1688"/>
      <c r="AC299" s="1688"/>
      <c r="AD299" s="1688"/>
      <c r="AE299" s="1688"/>
      <c r="AF299" s="1688"/>
      <c r="AG299" s="1688"/>
      <c r="AH299" s="1688"/>
      <c r="AI299" s="1688"/>
      <c r="AJ299" s="1688"/>
      <c r="AK299" s="1688"/>
      <c r="AL299" s="25"/>
      <c r="AM299" s="137"/>
      <c r="AN299" s="439"/>
      <c r="AO299" s="46"/>
    </row>
    <row r="300" spans="1:41" s="205" customFormat="1" ht="12.75" customHeight="1">
      <c r="A300" s="153"/>
      <c r="B300" s="72" t="s">
        <v>110</v>
      </c>
      <c r="C300" s="72"/>
      <c r="D300" s="72"/>
      <c r="E300" s="72"/>
      <c r="F300" s="72"/>
      <c r="G300" s="16"/>
      <c r="H300" s="1688" t="s">
        <v>2509</v>
      </c>
      <c r="I300" s="1688"/>
      <c r="J300" s="1688"/>
      <c r="K300" s="1688"/>
      <c r="L300" s="1688"/>
      <c r="M300" s="1688"/>
      <c r="N300" s="1688"/>
      <c r="O300" s="1688"/>
      <c r="P300" s="1688"/>
      <c r="Q300" s="1688"/>
      <c r="R300" s="1688"/>
      <c r="S300" s="16"/>
      <c r="T300" s="72" t="s">
        <v>110</v>
      </c>
      <c r="U300" s="16"/>
      <c r="V300" s="72"/>
      <c r="W300" s="72"/>
      <c r="X300" s="72"/>
      <c r="Y300" s="72"/>
      <c r="Z300" s="16"/>
      <c r="AA300" s="1688" t="s">
        <v>2509</v>
      </c>
      <c r="AB300" s="1688"/>
      <c r="AC300" s="1688"/>
      <c r="AD300" s="1688"/>
      <c r="AE300" s="1688"/>
      <c r="AF300" s="1688"/>
      <c r="AG300" s="1688"/>
      <c r="AH300" s="1688"/>
      <c r="AI300" s="1688"/>
      <c r="AJ300" s="1688"/>
      <c r="AK300" s="1688"/>
      <c r="AL300" s="25"/>
      <c r="AM300" s="137"/>
      <c r="AN300" s="439"/>
      <c r="AO300" s="46"/>
    </row>
    <row r="301" spans="1:41" s="46" customFormat="1" ht="12.75" customHeight="1">
      <c r="A301" s="153"/>
      <c r="B301" s="72" t="s">
        <v>418</v>
      </c>
      <c r="C301" s="72"/>
      <c r="D301" s="72"/>
      <c r="E301" s="72"/>
      <c r="F301" s="72"/>
      <c r="G301" s="16"/>
      <c r="H301" s="1688" t="s">
        <v>2516</v>
      </c>
      <c r="I301" s="1688"/>
      <c r="J301" s="1688"/>
      <c r="K301" s="1688"/>
      <c r="L301" s="1688"/>
      <c r="M301" s="1688"/>
      <c r="N301" s="1688"/>
      <c r="O301" s="1688"/>
      <c r="P301" s="1688"/>
      <c r="Q301" s="1688"/>
      <c r="R301" s="1688"/>
      <c r="S301" s="16"/>
      <c r="T301" s="72" t="s">
        <v>418</v>
      </c>
      <c r="U301" s="16"/>
      <c r="V301" s="72"/>
      <c r="W301" s="72"/>
      <c r="X301" s="72"/>
      <c r="Y301" s="72"/>
      <c r="Z301" s="16"/>
      <c r="AA301" s="1688"/>
      <c r="AB301" s="1688"/>
      <c r="AC301" s="1688"/>
      <c r="AD301" s="1688"/>
      <c r="AE301" s="1688"/>
      <c r="AF301" s="1688"/>
      <c r="AG301" s="1688"/>
      <c r="AH301" s="1688"/>
      <c r="AI301" s="1688"/>
      <c r="AJ301" s="1688"/>
      <c r="AK301" s="1688"/>
      <c r="AL301" s="25"/>
      <c r="AM301" s="137"/>
      <c r="AN301" s="439"/>
    </row>
    <row r="302" spans="1:41" s="46" customFormat="1" ht="12.75" customHeight="1">
      <c r="A302" s="153"/>
      <c r="B302" s="72" t="s">
        <v>419</v>
      </c>
      <c r="C302" s="72"/>
      <c r="D302" s="72"/>
      <c r="E302" s="72"/>
      <c r="F302" s="72"/>
      <c r="G302" s="72"/>
      <c r="H302" s="1700">
        <v>7072579529</v>
      </c>
      <c r="I302" s="1700"/>
      <c r="J302" s="1700"/>
      <c r="K302" s="1700"/>
      <c r="L302" s="1700"/>
      <c r="M302" s="1700"/>
      <c r="N302" s="8" t="s">
        <v>900</v>
      </c>
      <c r="O302" s="8"/>
      <c r="P302" s="1694"/>
      <c r="Q302" s="1694"/>
      <c r="R302" s="1694"/>
      <c r="S302" s="72"/>
      <c r="T302" s="72" t="s">
        <v>419</v>
      </c>
      <c r="U302" s="16"/>
      <c r="V302" s="72"/>
      <c r="W302" s="72"/>
      <c r="X302" s="72"/>
      <c r="Y302" s="72"/>
      <c r="Z302" s="16"/>
      <c r="AA302" s="1700">
        <v>7072522844</v>
      </c>
      <c r="AB302" s="1700"/>
      <c r="AC302" s="1700"/>
      <c r="AD302" s="1700"/>
      <c r="AE302" s="1700"/>
      <c r="AF302" s="1700"/>
      <c r="AG302" s="8" t="s">
        <v>900</v>
      </c>
      <c r="AH302" s="8"/>
      <c r="AI302" s="1694"/>
      <c r="AJ302" s="1694"/>
      <c r="AK302" s="1694"/>
      <c r="AL302" s="25"/>
      <c r="AM302" s="137"/>
      <c r="AN302" s="439"/>
    </row>
    <row r="303" spans="1:41" s="46" customFormat="1" ht="12.75" customHeight="1">
      <c r="A303" s="153"/>
      <c r="B303" s="72" t="s">
        <v>99</v>
      </c>
      <c r="C303" s="72"/>
      <c r="D303" s="72"/>
      <c r="E303" s="72"/>
      <c r="F303" s="72"/>
      <c r="G303" s="72"/>
      <c r="H303" s="1688" t="s">
        <v>103</v>
      </c>
      <c r="I303" s="1688"/>
      <c r="J303" s="1688"/>
      <c r="K303" s="1688"/>
      <c r="L303" s="1688"/>
      <c r="M303" s="1688"/>
      <c r="N303" s="1688"/>
      <c r="O303" s="1688"/>
      <c r="P303" s="1688"/>
      <c r="Q303" s="1688"/>
      <c r="R303" s="1688"/>
      <c r="S303" s="72"/>
      <c r="T303" s="72" t="s">
        <v>99</v>
      </c>
      <c r="U303" s="16"/>
      <c r="V303" s="72"/>
      <c r="W303" s="72"/>
      <c r="X303" s="72"/>
      <c r="Y303" s="72"/>
      <c r="Z303" s="16"/>
      <c r="AA303" s="1688" t="s">
        <v>107</v>
      </c>
      <c r="AB303" s="1688"/>
      <c r="AC303" s="1688"/>
      <c r="AD303" s="1688"/>
      <c r="AE303" s="1688"/>
      <c r="AF303" s="1688"/>
      <c r="AG303" s="1688"/>
      <c r="AH303" s="1688"/>
      <c r="AI303" s="1688"/>
      <c r="AJ303" s="1688"/>
      <c r="AK303" s="1688"/>
      <c r="AL303" s="25"/>
      <c r="AM303" s="137"/>
      <c r="AN303" s="439"/>
    </row>
    <row r="304" spans="1:41" s="46" customFormat="1" ht="12.75" customHeight="1">
      <c r="A304" s="153"/>
      <c r="B304" s="72" t="s">
        <v>101</v>
      </c>
      <c r="C304" s="72"/>
      <c r="D304" s="72"/>
      <c r="E304" s="72"/>
      <c r="F304" s="72"/>
      <c r="G304" s="72"/>
      <c r="H304" s="1688" t="s">
        <v>2517</v>
      </c>
      <c r="I304" s="1688"/>
      <c r="J304" s="1688"/>
      <c r="K304" s="1688"/>
      <c r="L304" s="1688"/>
      <c r="M304" s="1688"/>
      <c r="N304" s="1688"/>
      <c r="O304" s="1688"/>
      <c r="P304" s="1688"/>
      <c r="Q304" s="1688"/>
      <c r="R304" s="1688"/>
      <c r="S304" s="72"/>
      <c r="T304" s="72" t="s">
        <v>101</v>
      </c>
      <c r="U304" s="16"/>
      <c r="V304" s="72"/>
      <c r="W304" s="72"/>
      <c r="X304" s="72"/>
      <c r="Y304" s="72"/>
      <c r="Z304" s="16"/>
      <c r="AA304" s="1688" t="s">
        <v>2574</v>
      </c>
      <c r="AB304" s="1688"/>
      <c r="AC304" s="1688"/>
      <c r="AD304" s="1688"/>
      <c r="AE304" s="1688"/>
      <c r="AF304" s="1688"/>
      <c r="AG304" s="1688"/>
      <c r="AH304" s="1688"/>
      <c r="AI304" s="1688"/>
      <c r="AJ304" s="1688"/>
      <c r="AK304" s="1688"/>
      <c r="AL304" s="25"/>
      <c r="AM304" s="137"/>
      <c r="AN304" s="439"/>
    </row>
    <row r="305" spans="1:40" s="46" customFormat="1" ht="12.75" customHeight="1">
      <c r="A305" s="153"/>
      <c r="B305" s="72" t="s">
        <v>112</v>
      </c>
      <c r="C305" s="72"/>
      <c r="D305" s="72"/>
      <c r="E305" s="72"/>
      <c r="F305" s="72"/>
      <c r="G305" s="72"/>
      <c r="H305" s="2418">
        <v>0.43</v>
      </c>
      <c r="I305" s="2418"/>
      <c r="J305" s="2418"/>
      <c r="K305" s="2418"/>
      <c r="L305" s="2418"/>
      <c r="M305" s="2418"/>
      <c r="N305" s="2418"/>
      <c r="O305" s="2418"/>
      <c r="P305" s="2418"/>
      <c r="Q305" s="2418"/>
      <c r="R305" s="2418"/>
      <c r="S305" s="72"/>
      <c r="T305" s="72" t="s">
        <v>112</v>
      </c>
      <c r="U305" s="72"/>
      <c r="V305" s="72"/>
      <c r="W305" s="72"/>
      <c r="X305" s="72"/>
      <c r="Y305" s="72"/>
      <c r="Z305" s="18"/>
      <c r="AA305" s="2418">
        <v>0.42</v>
      </c>
      <c r="AB305" s="2418"/>
      <c r="AC305" s="2418"/>
      <c r="AD305" s="2418"/>
      <c r="AE305" s="2418"/>
      <c r="AF305" s="2418"/>
      <c r="AG305" s="2418"/>
      <c r="AH305" s="2418"/>
      <c r="AI305" s="2418"/>
      <c r="AJ305" s="2418"/>
      <c r="AK305" s="2418"/>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8" t="s">
        <v>2518</v>
      </c>
      <c r="I307" s="1698"/>
      <c r="J307" s="1698"/>
      <c r="K307" s="1698"/>
      <c r="L307" s="1698"/>
      <c r="M307" s="1698"/>
      <c r="N307" s="1698"/>
      <c r="O307" s="1698"/>
      <c r="P307" s="1698"/>
      <c r="Q307" s="1698"/>
      <c r="R307" s="1698"/>
      <c r="S307" s="16"/>
      <c r="T307" s="72" t="s">
        <v>100</v>
      </c>
      <c r="U307" s="16"/>
      <c r="V307" s="72"/>
      <c r="W307" s="72"/>
      <c r="X307" s="72"/>
      <c r="Y307" s="72"/>
      <c r="Z307" s="16"/>
      <c r="AA307" s="1698" t="s">
        <v>2520</v>
      </c>
      <c r="AB307" s="1698"/>
      <c r="AC307" s="1698"/>
      <c r="AD307" s="1698"/>
      <c r="AE307" s="1698"/>
      <c r="AF307" s="1698"/>
      <c r="AG307" s="1698"/>
      <c r="AH307" s="1698"/>
      <c r="AI307" s="1698"/>
      <c r="AJ307" s="1698"/>
      <c r="AK307" s="1698"/>
      <c r="AL307" s="25"/>
      <c r="AM307" s="137"/>
      <c r="AN307" s="439"/>
    </row>
    <row r="308" spans="1:40" s="46" customFormat="1" ht="12.75" customHeight="1">
      <c r="A308" s="153"/>
      <c r="B308" s="72" t="s">
        <v>765</v>
      </c>
      <c r="C308" s="72"/>
      <c r="D308" s="72"/>
      <c r="E308" s="72"/>
      <c r="F308" s="72"/>
      <c r="G308" s="16"/>
      <c r="H308" s="1688" t="s">
        <v>2519</v>
      </c>
      <c r="I308" s="1688"/>
      <c r="J308" s="1688"/>
      <c r="K308" s="1688"/>
      <c r="L308" s="1688"/>
      <c r="M308" s="1688"/>
      <c r="N308" s="1688"/>
      <c r="O308" s="1688"/>
      <c r="P308" s="1688"/>
      <c r="Q308" s="1688"/>
      <c r="R308" s="1688"/>
      <c r="S308" s="16"/>
      <c r="T308" s="72" t="s">
        <v>765</v>
      </c>
      <c r="U308" s="16"/>
      <c r="V308" s="72"/>
      <c r="W308" s="72"/>
      <c r="X308" s="72"/>
      <c r="Y308" s="72"/>
      <c r="Z308" s="16"/>
      <c r="AA308" s="1688" t="s">
        <v>2521</v>
      </c>
      <c r="AB308" s="1688"/>
      <c r="AC308" s="1688"/>
      <c r="AD308" s="1688"/>
      <c r="AE308" s="1688"/>
      <c r="AF308" s="1688"/>
      <c r="AG308" s="1688"/>
      <c r="AH308" s="1688"/>
      <c r="AI308" s="1688"/>
      <c r="AJ308" s="1688"/>
      <c r="AK308" s="1688"/>
      <c r="AL308" s="25"/>
      <c r="AM308" s="137"/>
      <c r="AN308" s="439"/>
    </row>
    <row r="309" spans="1:40" s="46" customFormat="1" ht="12.75" customHeight="1">
      <c r="A309" s="153"/>
      <c r="B309" s="72" t="s">
        <v>110</v>
      </c>
      <c r="C309" s="72"/>
      <c r="D309" s="72"/>
      <c r="E309" s="72"/>
      <c r="F309" s="72"/>
      <c r="G309" s="16"/>
      <c r="H309" s="1688" t="s">
        <v>2509</v>
      </c>
      <c r="I309" s="1688"/>
      <c r="J309" s="1688"/>
      <c r="K309" s="1688"/>
      <c r="L309" s="1688"/>
      <c r="M309" s="1688"/>
      <c r="N309" s="1688"/>
      <c r="O309" s="1688"/>
      <c r="P309" s="1688"/>
      <c r="Q309" s="1688"/>
      <c r="R309" s="1688"/>
      <c r="S309" s="16"/>
      <c r="T309" s="72" t="s">
        <v>110</v>
      </c>
      <c r="U309" s="16"/>
      <c r="V309" s="72"/>
      <c r="W309" s="72"/>
      <c r="X309" s="72"/>
      <c r="Y309" s="72"/>
      <c r="Z309" s="16"/>
      <c r="AA309" s="1688" t="s">
        <v>2522</v>
      </c>
      <c r="AB309" s="1688"/>
      <c r="AC309" s="1688"/>
      <c r="AD309" s="1688"/>
      <c r="AE309" s="1688"/>
      <c r="AF309" s="1688"/>
      <c r="AG309" s="1688"/>
      <c r="AH309" s="1688"/>
      <c r="AI309" s="1688"/>
      <c r="AJ309" s="1688"/>
      <c r="AK309" s="1688"/>
      <c r="AL309" s="25"/>
      <c r="AM309" s="137"/>
      <c r="AN309" s="439"/>
    </row>
    <row r="310" spans="1:40" s="46" customFormat="1" ht="12.75" customHeight="1">
      <c r="A310" s="153"/>
      <c r="B310" s="72" t="s">
        <v>418</v>
      </c>
      <c r="C310" s="72"/>
      <c r="D310" s="72"/>
      <c r="E310" s="72"/>
      <c r="F310" s="72"/>
      <c r="G310" s="16"/>
      <c r="H310" s="1688" t="s">
        <v>2516</v>
      </c>
      <c r="I310" s="1688"/>
      <c r="J310" s="1688"/>
      <c r="K310" s="1688"/>
      <c r="L310" s="1688"/>
      <c r="M310" s="1688"/>
      <c r="N310" s="1688"/>
      <c r="O310" s="1688"/>
      <c r="P310" s="1688"/>
      <c r="Q310" s="1688"/>
      <c r="R310" s="1688"/>
      <c r="S310" s="16"/>
      <c r="T310" s="72" t="s">
        <v>418</v>
      </c>
      <c r="U310" s="16"/>
      <c r="V310" s="72"/>
      <c r="W310" s="72"/>
      <c r="X310" s="72"/>
      <c r="Y310" s="72"/>
      <c r="Z310" s="16"/>
      <c r="AA310" s="1688"/>
      <c r="AB310" s="1688"/>
      <c r="AC310" s="1688"/>
      <c r="AD310" s="1688"/>
      <c r="AE310" s="1688"/>
      <c r="AF310" s="1688"/>
      <c r="AG310" s="1688"/>
      <c r="AH310" s="1688"/>
      <c r="AI310" s="1688"/>
      <c r="AJ310" s="1688"/>
      <c r="AK310" s="1688"/>
      <c r="AL310" s="25"/>
      <c r="AM310" s="137"/>
      <c r="AN310" s="439"/>
    </row>
    <row r="311" spans="1:40" s="46" customFormat="1" ht="12.75" customHeight="1">
      <c r="A311" s="153"/>
      <c r="B311" s="72" t="s">
        <v>419</v>
      </c>
      <c r="C311" s="72"/>
      <c r="D311" s="72"/>
      <c r="E311" s="72"/>
      <c r="F311" s="72"/>
      <c r="G311" s="72"/>
      <c r="H311" s="1700">
        <v>7072579529</v>
      </c>
      <c r="I311" s="1700"/>
      <c r="J311" s="1700"/>
      <c r="K311" s="1700"/>
      <c r="L311" s="1700"/>
      <c r="M311" s="1700"/>
      <c r="N311" s="8" t="s">
        <v>900</v>
      </c>
      <c r="O311" s="8"/>
      <c r="P311" s="1694"/>
      <c r="Q311" s="1694"/>
      <c r="R311" s="1694"/>
      <c r="S311" s="72"/>
      <c r="T311" s="72" t="s">
        <v>419</v>
      </c>
      <c r="U311" s="16"/>
      <c r="V311" s="72"/>
      <c r="W311" s="72"/>
      <c r="X311" s="72"/>
      <c r="Y311" s="72"/>
      <c r="Z311" s="16"/>
      <c r="AA311" s="1700">
        <v>7072512800</v>
      </c>
      <c r="AB311" s="1700"/>
      <c r="AC311" s="1700"/>
      <c r="AD311" s="1700"/>
      <c r="AE311" s="1700"/>
      <c r="AF311" s="1700"/>
      <c r="AG311" s="8" t="s">
        <v>900</v>
      </c>
      <c r="AH311" s="8"/>
      <c r="AI311" s="1694"/>
      <c r="AJ311" s="1694"/>
      <c r="AK311" s="1694"/>
      <c r="AL311" s="25"/>
      <c r="AM311" s="137"/>
      <c r="AN311" s="439"/>
    </row>
    <row r="312" spans="1:40" s="46" customFormat="1" ht="12.75" customHeight="1">
      <c r="A312" s="153"/>
      <c r="B312" s="72" t="s">
        <v>99</v>
      </c>
      <c r="C312" s="72"/>
      <c r="D312" s="72"/>
      <c r="E312" s="72"/>
      <c r="F312" s="72"/>
      <c r="G312" s="72"/>
      <c r="H312" s="1688" t="s">
        <v>103</v>
      </c>
      <c r="I312" s="1688"/>
      <c r="J312" s="1688"/>
      <c r="K312" s="1688"/>
      <c r="L312" s="1688"/>
      <c r="M312" s="1688"/>
      <c r="N312" s="1688"/>
      <c r="O312" s="1688"/>
      <c r="P312" s="1688"/>
      <c r="Q312" s="1688"/>
      <c r="R312" s="1688"/>
      <c r="S312" s="72"/>
      <c r="T312" s="72" t="s">
        <v>99</v>
      </c>
      <c r="U312" s="16"/>
      <c r="V312" s="72"/>
      <c r="W312" s="72"/>
      <c r="X312" s="72"/>
      <c r="Y312" s="72"/>
      <c r="Z312" s="16"/>
      <c r="AA312" s="1688" t="s">
        <v>102</v>
      </c>
      <c r="AB312" s="1688"/>
      <c r="AC312" s="1688"/>
      <c r="AD312" s="1688"/>
      <c r="AE312" s="1688"/>
      <c r="AF312" s="1688"/>
      <c r="AG312" s="1688"/>
      <c r="AH312" s="1688"/>
      <c r="AI312" s="1688"/>
      <c r="AJ312" s="1688"/>
      <c r="AK312" s="1688"/>
      <c r="AL312" s="25"/>
      <c r="AM312" s="137"/>
      <c r="AN312" s="439"/>
    </row>
    <row r="313" spans="1:40" s="46" customFormat="1" ht="12.75" customHeight="1">
      <c r="A313" s="153"/>
      <c r="B313" s="72" t="s">
        <v>101</v>
      </c>
      <c r="C313" s="72"/>
      <c r="D313" s="72"/>
      <c r="E313" s="72"/>
      <c r="F313" s="72"/>
      <c r="G313" s="72"/>
      <c r="H313" s="1688" t="s">
        <v>2517</v>
      </c>
      <c r="I313" s="1688"/>
      <c r="J313" s="1688"/>
      <c r="K313" s="1688"/>
      <c r="L313" s="1688"/>
      <c r="M313" s="1688"/>
      <c r="N313" s="1688"/>
      <c r="O313" s="1688"/>
      <c r="P313" s="1688"/>
      <c r="Q313" s="1688"/>
      <c r="R313" s="1688"/>
      <c r="S313" s="72"/>
      <c r="T313" s="72" t="s">
        <v>101</v>
      </c>
      <c r="U313" s="16"/>
      <c r="V313" s="72"/>
      <c r="W313" s="72"/>
      <c r="X313" s="72"/>
      <c r="Y313" s="72"/>
      <c r="Z313" s="16"/>
      <c r="AA313" s="1688" t="s">
        <v>2523</v>
      </c>
      <c r="AB313" s="1688"/>
      <c r="AC313" s="1688"/>
      <c r="AD313" s="1688"/>
      <c r="AE313" s="1688"/>
      <c r="AF313" s="1688"/>
      <c r="AG313" s="1688"/>
      <c r="AH313" s="1688"/>
      <c r="AI313" s="1688"/>
      <c r="AJ313" s="1688"/>
      <c r="AK313" s="1688"/>
      <c r="AL313" s="25"/>
      <c r="AM313" s="137"/>
      <c r="AN313" s="439"/>
    </row>
    <row r="314" spans="1:40" s="46" customFormat="1" ht="12.75" customHeight="1">
      <c r="A314" s="153"/>
      <c r="B314" s="72" t="s">
        <v>112</v>
      </c>
      <c r="C314" s="72"/>
      <c r="D314" s="72"/>
      <c r="E314" s="72"/>
      <c r="F314" s="72"/>
      <c r="G314" s="72"/>
      <c r="H314" s="2418">
        <v>0.4</v>
      </c>
      <c r="I314" s="2418"/>
      <c r="J314" s="2418"/>
      <c r="K314" s="2418"/>
      <c r="L314" s="2418"/>
      <c r="M314" s="2418"/>
      <c r="N314" s="2418"/>
      <c r="O314" s="2418"/>
      <c r="P314" s="2418"/>
      <c r="Q314" s="2418"/>
      <c r="R314" s="2418"/>
      <c r="S314" s="72"/>
      <c r="T314" s="72" t="s">
        <v>112</v>
      </c>
      <c r="U314" s="72"/>
      <c r="V314" s="72"/>
      <c r="W314" s="72"/>
      <c r="X314" s="72"/>
      <c r="Y314" s="72"/>
      <c r="Z314" s="18"/>
      <c r="AA314" s="2418">
        <v>0.35</v>
      </c>
      <c r="AB314" s="2418"/>
      <c r="AC314" s="2418"/>
      <c r="AD314" s="2418"/>
      <c r="AE314" s="2418"/>
      <c r="AF314" s="2418"/>
      <c r="AG314" s="2418"/>
      <c r="AH314" s="2418"/>
      <c r="AI314" s="2418"/>
      <c r="AJ314" s="2418"/>
      <c r="AK314" s="2418"/>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8" t="s">
        <v>2556</v>
      </c>
      <c r="I316" s="1698"/>
      <c r="J316" s="1698"/>
      <c r="K316" s="1698"/>
      <c r="L316" s="1698"/>
      <c r="M316" s="1698"/>
      <c r="N316" s="1698"/>
      <c r="O316" s="1698"/>
      <c r="P316" s="1698"/>
      <c r="Q316" s="1698"/>
      <c r="R316" s="1698"/>
      <c r="S316" s="16"/>
      <c r="T316" s="72" t="s">
        <v>100</v>
      </c>
      <c r="U316" s="16"/>
      <c r="V316" s="72"/>
      <c r="W316" s="72"/>
      <c r="X316" s="72"/>
      <c r="Y316" s="72"/>
      <c r="Z316" s="16"/>
      <c r="AA316" s="1698" t="s">
        <v>2575</v>
      </c>
      <c r="AB316" s="1698"/>
      <c r="AC316" s="1698"/>
      <c r="AD316" s="1698"/>
      <c r="AE316" s="1698"/>
      <c r="AF316" s="1698"/>
      <c r="AG316" s="1698"/>
      <c r="AH316" s="1698"/>
      <c r="AI316" s="1698"/>
      <c r="AJ316" s="1698"/>
      <c r="AK316" s="1698"/>
      <c r="AL316" s="25"/>
      <c r="AM316" s="137"/>
      <c r="AN316" s="439"/>
    </row>
    <row r="317" spans="1:40" s="46" customFormat="1" ht="12.75" customHeight="1">
      <c r="A317" s="153"/>
      <c r="B317" s="72" t="s">
        <v>765</v>
      </c>
      <c r="C317" s="72"/>
      <c r="D317" s="72"/>
      <c r="E317" s="72"/>
      <c r="F317" s="72"/>
      <c r="G317" s="16"/>
      <c r="H317" s="1688" t="s">
        <v>2557</v>
      </c>
      <c r="I317" s="1688"/>
      <c r="J317" s="1688"/>
      <c r="K317" s="1688"/>
      <c r="L317" s="1688"/>
      <c r="M317" s="1688"/>
      <c r="N317" s="1688"/>
      <c r="O317" s="1688"/>
      <c r="P317" s="1688"/>
      <c r="Q317" s="1688"/>
      <c r="R317" s="1688"/>
      <c r="S317" s="16"/>
      <c r="T317" s="72" t="s">
        <v>765</v>
      </c>
      <c r="U317" s="16"/>
      <c r="V317" s="72"/>
      <c r="W317" s="72"/>
      <c r="X317" s="72"/>
      <c r="Y317" s="72"/>
      <c r="Z317" s="16"/>
      <c r="AA317" s="1688" t="s">
        <v>2576</v>
      </c>
      <c r="AB317" s="1688"/>
      <c r="AC317" s="1688"/>
      <c r="AD317" s="1688"/>
      <c r="AE317" s="1688"/>
      <c r="AF317" s="1688"/>
      <c r="AG317" s="1688"/>
      <c r="AH317" s="1688"/>
      <c r="AI317" s="1688"/>
      <c r="AJ317" s="1688"/>
      <c r="AK317" s="1688"/>
      <c r="AL317" s="25"/>
      <c r="AM317" s="137"/>
      <c r="AN317" s="439"/>
    </row>
    <row r="318" spans="1:40" s="46" customFormat="1" ht="12.75" customHeight="1">
      <c r="A318" s="153"/>
      <c r="B318" s="72" t="s">
        <v>110</v>
      </c>
      <c r="C318" s="72"/>
      <c r="D318" s="72"/>
      <c r="E318" s="72"/>
      <c r="F318" s="72"/>
      <c r="G318" s="16"/>
      <c r="H318" s="1688" t="s">
        <v>2558</v>
      </c>
      <c r="I318" s="1688"/>
      <c r="J318" s="1688"/>
      <c r="K318" s="1688"/>
      <c r="L318" s="1688"/>
      <c r="M318" s="1688"/>
      <c r="N318" s="1688"/>
      <c r="O318" s="1688"/>
      <c r="P318" s="1688"/>
      <c r="Q318" s="1688"/>
      <c r="R318" s="1688"/>
      <c r="S318" s="16"/>
      <c r="T318" s="72" t="s">
        <v>110</v>
      </c>
      <c r="U318" s="16"/>
      <c r="V318" s="72"/>
      <c r="W318" s="72"/>
      <c r="X318" s="72"/>
      <c r="Y318" s="72"/>
      <c r="Z318" s="16"/>
      <c r="AA318" s="1688" t="s">
        <v>2509</v>
      </c>
      <c r="AB318" s="1688"/>
      <c r="AC318" s="1688"/>
      <c r="AD318" s="1688"/>
      <c r="AE318" s="1688"/>
      <c r="AF318" s="1688"/>
      <c r="AG318" s="1688"/>
      <c r="AH318" s="1688"/>
      <c r="AI318" s="1688"/>
      <c r="AJ318" s="1688"/>
      <c r="AK318" s="1688"/>
      <c r="AL318" s="25"/>
      <c r="AM318" s="137"/>
      <c r="AN318" s="439"/>
    </row>
    <row r="319" spans="1:40" s="46" customFormat="1" ht="12.75" customHeight="1">
      <c r="A319" s="153"/>
      <c r="B319" s="72" t="s">
        <v>418</v>
      </c>
      <c r="C319" s="72"/>
      <c r="D319" s="72"/>
      <c r="E319" s="72"/>
      <c r="F319" s="72"/>
      <c r="G319" s="16"/>
      <c r="H319" s="1688" t="s">
        <v>2559</v>
      </c>
      <c r="I319" s="1688"/>
      <c r="J319" s="1688"/>
      <c r="K319" s="1688"/>
      <c r="L319" s="1688"/>
      <c r="M319" s="1688"/>
      <c r="N319" s="1688"/>
      <c r="O319" s="1688"/>
      <c r="P319" s="1688"/>
      <c r="Q319" s="1688"/>
      <c r="R319" s="1688"/>
      <c r="S319" s="16"/>
      <c r="T319" s="72" t="s">
        <v>418</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75" customHeight="1">
      <c r="A320" s="153"/>
      <c r="B320" s="72" t="s">
        <v>419</v>
      </c>
      <c r="C320" s="72"/>
      <c r="D320" s="72"/>
      <c r="E320" s="72"/>
      <c r="F320" s="72"/>
      <c r="G320" s="72"/>
      <c r="H320" s="1700">
        <v>5032088114</v>
      </c>
      <c r="I320" s="1700"/>
      <c r="J320" s="1700"/>
      <c r="K320" s="1700"/>
      <c r="L320" s="1700"/>
      <c r="M320" s="1700"/>
      <c r="N320" s="8" t="s">
        <v>900</v>
      </c>
      <c r="O320" s="8"/>
      <c r="P320" s="1694"/>
      <c r="Q320" s="1694"/>
      <c r="R320" s="1694"/>
      <c r="S320" s="72"/>
      <c r="T320" s="72" t="s">
        <v>419</v>
      </c>
      <c r="U320" s="16"/>
      <c r="V320" s="72"/>
      <c r="W320" s="72"/>
      <c r="X320" s="72"/>
      <c r="Y320" s="72"/>
      <c r="Z320" s="16"/>
      <c r="AA320" s="1700">
        <v>7072512000</v>
      </c>
      <c r="AB320" s="1700"/>
      <c r="AC320" s="1700"/>
      <c r="AD320" s="1700"/>
      <c r="AE320" s="1700"/>
      <c r="AF320" s="1700"/>
      <c r="AG320" s="8" t="s">
        <v>900</v>
      </c>
      <c r="AH320" s="8"/>
      <c r="AI320" s="1694"/>
      <c r="AJ320" s="1694"/>
      <c r="AK320" s="1694"/>
      <c r="AL320" s="25"/>
      <c r="AM320" s="137"/>
      <c r="AN320" s="439"/>
    </row>
    <row r="321" spans="1:76" s="46" customFormat="1" ht="12.75" customHeight="1">
      <c r="A321" s="153"/>
      <c r="B321" s="72" t="s">
        <v>99</v>
      </c>
      <c r="C321" s="72"/>
      <c r="D321" s="72"/>
      <c r="E321" s="72"/>
      <c r="F321" s="72"/>
      <c r="G321" s="72"/>
      <c r="H321" s="1688" t="s">
        <v>389</v>
      </c>
      <c r="I321" s="1688"/>
      <c r="J321" s="1688"/>
      <c r="K321" s="1688"/>
      <c r="L321" s="1688"/>
      <c r="M321" s="1688"/>
      <c r="N321" s="1688"/>
      <c r="O321" s="1688"/>
      <c r="P321" s="1688"/>
      <c r="Q321" s="1688"/>
      <c r="R321" s="1688"/>
      <c r="S321" s="72"/>
      <c r="T321" s="72" t="s">
        <v>99</v>
      </c>
      <c r="U321" s="16"/>
      <c r="V321" s="72"/>
      <c r="W321" s="72"/>
      <c r="X321" s="72"/>
      <c r="Y321" s="72"/>
      <c r="Z321" s="16"/>
      <c r="AA321" s="1688" t="s">
        <v>109</v>
      </c>
      <c r="AB321" s="1688"/>
      <c r="AC321" s="1688"/>
      <c r="AD321" s="1688"/>
      <c r="AE321" s="1688"/>
      <c r="AF321" s="1688"/>
      <c r="AG321" s="1688"/>
      <c r="AH321" s="1688"/>
      <c r="AI321" s="1688"/>
      <c r="AJ321" s="1688"/>
      <c r="AK321" s="1688"/>
      <c r="AL321" s="25"/>
      <c r="AM321" s="137"/>
      <c r="AN321" s="439"/>
    </row>
    <row r="322" spans="1:76" s="46" customFormat="1" ht="12.75" customHeight="1">
      <c r="A322" s="153"/>
      <c r="B322" s="72" t="s">
        <v>101</v>
      </c>
      <c r="C322" s="72"/>
      <c r="D322" s="72"/>
      <c r="E322" s="72"/>
      <c r="F322" s="72"/>
      <c r="G322" s="72"/>
      <c r="H322" s="1688"/>
      <c r="I322" s="1688"/>
      <c r="J322" s="1688"/>
      <c r="K322" s="1688"/>
      <c r="L322" s="1688"/>
      <c r="M322" s="1688"/>
      <c r="N322" s="1688"/>
      <c r="O322" s="1688"/>
      <c r="P322" s="1688"/>
      <c r="Q322" s="1688"/>
      <c r="R322" s="1688"/>
      <c r="S322" s="72"/>
      <c r="T322" s="72" t="s">
        <v>101</v>
      </c>
      <c r="U322" s="16"/>
      <c r="V322" s="72"/>
      <c r="W322" s="72"/>
      <c r="X322" s="72"/>
      <c r="Y322" s="72"/>
      <c r="Z322" s="16"/>
      <c r="AA322" s="1688" t="s">
        <v>2577</v>
      </c>
      <c r="AB322" s="1688"/>
      <c r="AC322" s="1688"/>
      <c r="AD322" s="1688"/>
      <c r="AE322" s="1688"/>
      <c r="AF322" s="1688"/>
      <c r="AG322" s="1688"/>
      <c r="AH322" s="1688"/>
      <c r="AI322" s="1688"/>
      <c r="AJ322" s="1688"/>
      <c r="AK322" s="1688"/>
      <c r="AL322" s="25"/>
      <c r="AM322" s="137"/>
      <c r="AN322" s="439"/>
    </row>
    <row r="323" spans="1:76" s="46" customFormat="1" ht="12.75" customHeight="1">
      <c r="A323" s="153"/>
      <c r="B323" s="72" t="s">
        <v>112</v>
      </c>
      <c r="C323" s="72"/>
      <c r="D323" s="72"/>
      <c r="E323" s="72"/>
      <c r="F323" s="72"/>
      <c r="G323" s="72"/>
      <c r="H323" s="2418"/>
      <c r="I323" s="2418"/>
      <c r="J323" s="2418"/>
      <c r="K323" s="2418"/>
      <c r="L323" s="2418"/>
      <c r="M323" s="2418"/>
      <c r="N323" s="2418"/>
      <c r="O323" s="2418"/>
      <c r="P323" s="2418"/>
      <c r="Q323" s="2418"/>
      <c r="R323" s="2418"/>
      <c r="S323" s="72"/>
      <c r="T323" s="72" t="s">
        <v>112</v>
      </c>
      <c r="U323" s="72"/>
      <c r="V323" s="72"/>
      <c r="W323" s="72"/>
      <c r="X323" s="72"/>
      <c r="Y323" s="72"/>
      <c r="Z323" s="18"/>
      <c r="AA323" s="2418">
        <v>0.16</v>
      </c>
      <c r="AB323" s="2418"/>
      <c r="AC323" s="2418"/>
      <c r="AD323" s="2418"/>
      <c r="AE323" s="2418"/>
      <c r="AF323" s="2418"/>
      <c r="AG323" s="2418"/>
      <c r="AH323" s="2418"/>
      <c r="AI323" s="2418"/>
      <c r="AJ323" s="2418"/>
      <c r="AK323" s="2418"/>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8"/>
      <c r="I325" s="1698"/>
      <c r="J325" s="1698"/>
      <c r="K325" s="1698"/>
      <c r="L325" s="1698"/>
      <c r="M325" s="1698"/>
      <c r="N325" s="1698"/>
      <c r="O325" s="1698"/>
      <c r="P325" s="1698"/>
      <c r="Q325" s="1698"/>
      <c r="R325" s="1698"/>
      <c r="S325" s="16"/>
      <c r="T325" s="72" t="s">
        <v>100</v>
      </c>
      <c r="U325" s="16"/>
      <c r="V325" s="72"/>
      <c r="W325" s="72"/>
      <c r="X325" s="72"/>
      <c r="Y325" s="72"/>
      <c r="Z325" s="16"/>
      <c r="AA325" s="1698"/>
      <c r="AB325" s="1698"/>
      <c r="AC325" s="1698"/>
      <c r="AD325" s="1698"/>
      <c r="AE325" s="1698"/>
      <c r="AF325" s="1698"/>
      <c r="AG325" s="1698"/>
      <c r="AH325" s="1698"/>
      <c r="AI325" s="1698"/>
      <c r="AJ325" s="1698"/>
      <c r="AK325" s="1698"/>
      <c r="AL325" s="327"/>
      <c r="AM325" s="137"/>
      <c r="AN325" s="439"/>
    </row>
    <row r="326" spans="1:76" s="46" customFormat="1" ht="12.75" customHeight="1">
      <c r="A326" s="153"/>
      <c r="B326" s="72" t="s">
        <v>765</v>
      </c>
      <c r="C326" s="72"/>
      <c r="D326" s="72"/>
      <c r="E326" s="72"/>
      <c r="F326" s="72"/>
      <c r="G326" s="16"/>
      <c r="H326" s="1688"/>
      <c r="I326" s="1688"/>
      <c r="J326" s="1688"/>
      <c r="K326" s="1688"/>
      <c r="L326" s="1688"/>
      <c r="M326" s="1688"/>
      <c r="N326" s="1688"/>
      <c r="O326" s="1688"/>
      <c r="P326" s="1688"/>
      <c r="Q326" s="1688"/>
      <c r="R326" s="1688"/>
      <c r="S326" s="16"/>
      <c r="T326" s="72" t="s">
        <v>765</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110</v>
      </c>
      <c r="C327" s="72"/>
      <c r="D327" s="72"/>
      <c r="E327" s="72"/>
      <c r="F327" s="72"/>
      <c r="G327" s="16"/>
      <c r="H327" s="1688"/>
      <c r="I327" s="1688"/>
      <c r="J327" s="1688"/>
      <c r="K327" s="1688"/>
      <c r="L327" s="1688"/>
      <c r="M327" s="1688"/>
      <c r="N327" s="1688"/>
      <c r="O327" s="1688"/>
      <c r="P327" s="1688"/>
      <c r="Q327" s="1688"/>
      <c r="R327" s="1688"/>
      <c r="S327" s="16"/>
      <c r="T327" s="72" t="s">
        <v>110</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75" customHeight="1">
      <c r="A328" s="153"/>
      <c r="B328" s="72" t="s">
        <v>418</v>
      </c>
      <c r="C328" s="72"/>
      <c r="D328" s="72"/>
      <c r="E328" s="72"/>
      <c r="F328" s="72"/>
      <c r="G328" s="16"/>
      <c r="H328" s="1688"/>
      <c r="I328" s="1688"/>
      <c r="J328" s="1688"/>
      <c r="K328" s="1688"/>
      <c r="L328" s="1688"/>
      <c r="M328" s="1688"/>
      <c r="N328" s="1688"/>
      <c r="O328" s="1688"/>
      <c r="P328" s="1688"/>
      <c r="Q328" s="1688"/>
      <c r="R328" s="1688"/>
      <c r="S328" s="16"/>
      <c r="T328" s="72" t="s">
        <v>418</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75" customHeight="1">
      <c r="A329" s="153"/>
      <c r="B329" s="72" t="s">
        <v>419</v>
      </c>
      <c r="C329" s="72"/>
      <c r="D329" s="72"/>
      <c r="E329" s="72"/>
      <c r="F329" s="72"/>
      <c r="G329" s="72"/>
      <c r="H329" s="1700"/>
      <c r="I329" s="1700"/>
      <c r="J329" s="1700"/>
      <c r="K329" s="1700"/>
      <c r="L329" s="1700"/>
      <c r="M329" s="1700"/>
      <c r="N329" s="8" t="s">
        <v>900</v>
      </c>
      <c r="O329" s="8"/>
      <c r="P329" s="1694"/>
      <c r="Q329" s="1694"/>
      <c r="R329" s="1694"/>
      <c r="S329" s="72"/>
      <c r="T329" s="72" t="s">
        <v>419</v>
      </c>
      <c r="U329" s="16"/>
      <c r="V329" s="72"/>
      <c r="W329" s="72"/>
      <c r="X329" s="72"/>
      <c r="Y329" s="72"/>
      <c r="Z329" s="16"/>
      <c r="AA329" s="1700"/>
      <c r="AB329" s="1700"/>
      <c r="AC329" s="1700"/>
      <c r="AD329" s="1700"/>
      <c r="AE329" s="1700"/>
      <c r="AF329" s="1700"/>
      <c r="AG329" s="8" t="s">
        <v>900</v>
      </c>
      <c r="AH329" s="8"/>
      <c r="AI329" s="1694"/>
      <c r="AJ329" s="1694"/>
      <c r="AK329" s="1694"/>
      <c r="AL329" s="327"/>
      <c r="AM329" s="137"/>
      <c r="AN329" s="439"/>
    </row>
    <row r="330" spans="1:76" s="137" customFormat="1" ht="12.75" customHeight="1">
      <c r="A330" s="153"/>
      <c r="B330" s="72" t="s">
        <v>99</v>
      </c>
      <c r="C330" s="72"/>
      <c r="D330" s="72"/>
      <c r="E330" s="72"/>
      <c r="F330" s="72"/>
      <c r="G330" s="72"/>
      <c r="H330" s="1688"/>
      <c r="I330" s="1688"/>
      <c r="J330" s="1688"/>
      <c r="K330" s="1688"/>
      <c r="L330" s="1688"/>
      <c r="M330" s="1688"/>
      <c r="N330" s="1688"/>
      <c r="O330" s="1688"/>
      <c r="P330" s="1688"/>
      <c r="Q330" s="1688"/>
      <c r="R330" s="1688"/>
      <c r="S330" s="72"/>
      <c r="T330" s="72" t="s">
        <v>99</v>
      </c>
      <c r="U330" s="16"/>
      <c r="V330" s="72"/>
      <c r="W330" s="72"/>
      <c r="X330" s="72"/>
      <c r="Y330" s="72"/>
      <c r="Z330" s="16"/>
      <c r="AA330" s="1688"/>
      <c r="AB330" s="1688"/>
      <c r="AC330" s="1688"/>
      <c r="AD330" s="1688"/>
      <c r="AE330" s="1688"/>
      <c r="AF330" s="1688"/>
      <c r="AG330" s="1688"/>
      <c r="AH330" s="1688"/>
      <c r="AI330" s="1688"/>
      <c r="AJ330" s="1688"/>
      <c r="AK330" s="1688"/>
      <c r="AL330" s="327"/>
      <c r="AN330" s="1137"/>
    </row>
    <row r="331" spans="1:76" s="46" customFormat="1" ht="12.75" customHeight="1">
      <c r="A331" s="153"/>
      <c r="B331" s="72" t="s">
        <v>101</v>
      </c>
      <c r="C331" s="72"/>
      <c r="D331" s="72"/>
      <c r="E331" s="72"/>
      <c r="F331" s="72"/>
      <c r="G331" s="72"/>
      <c r="H331" s="1688"/>
      <c r="I331" s="1688"/>
      <c r="J331" s="1688"/>
      <c r="K331" s="1688"/>
      <c r="L331" s="1688"/>
      <c r="M331" s="1688"/>
      <c r="N331" s="1688"/>
      <c r="O331" s="1688"/>
      <c r="P331" s="1688"/>
      <c r="Q331" s="1688"/>
      <c r="R331" s="1688"/>
      <c r="S331" s="72"/>
      <c r="T331" s="72" t="s">
        <v>101</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75" customHeight="1">
      <c r="A332" s="153"/>
      <c r="B332" s="72" t="s">
        <v>112</v>
      </c>
      <c r="C332" s="72"/>
      <c r="D332" s="72"/>
      <c r="E332" s="72"/>
      <c r="F332" s="72"/>
      <c r="G332" s="72"/>
      <c r="H332" s="2418"/>
      <c r="I332" s="2418"/>
      <c r="J332" s="2418"/>
      <c r="K332" s="2418"/>
      <c r="L332" s="2418"/>
      <c r="M332" s="2418"/>
      <c r="N332" s="2418"/>
      <c r="O332" s="2418"/>
      <c r="P332" s="2418"/>
      <c r="Q332" s="2418"/>
      <c r="R332" s="2418"/>
      <c r="S332" s="72"/>
      <c r="T332" s="72" t="s">
        <v>112</v>
      </c>
      <c r="U332" s="72"/>
      <c r="V332" s="72"/>
      <c r="W332" s="72"/>
      <c r="X332" s="72"/>
      <c r="Y332" s="72"/>
      <c r="Z332" s="18"/>
      <c r="AA332" s="2418"/>
      <c r="AB332" s="2418"/>
      <c r="AC332" s="2418"/>
      <c r="AD332" s="2418"/>
      <c r="AE332" s="2418"/>
      <c r="AF332" s="2418"/>
      <c r="AG332" s="2418"/>
      <c r="AH332" s="2418"/>
      <c r="AI332" s="2418"/>
      <c r="AJ332" s="2418"/>
      <c r="AK332" s="2418"/>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9" t="s">
        <v>408</v>
      </c>
      <c r="AF335" s="2419"/>
      <c r="AG335" s="2419"/>
      <c r="AH335" s="2419"/>
      <c r="AI335" s="2419"/>
      <c r="AJ335" s="2419"/>
      <c r="AK335" s="2419"/>
      <c r="AL335" s="152"/>
      <c r="AM335" s="1418"/>
      <c r="AN335" s="152"/>
    </row>
    <row r="336" spans="1:76" s="46" customFormat="1" ht="12.75" customHeight="1">
      <c r="A336" s="152"/>
      <c r="B336" s="161"/>
      <c r="C336" s="2420" t="s">
        <v>2085</v>
      </c>
      <c r="D336" s="2420"/>
      <c r="E336" s="2420"/>
      <c r="F336" s="2420"/>
      <c r="G336" s="2420"/>
      <c r="H336" s="2420"/>
      <c r="I336" s="2420"/>
      <c r="J336" s="2420"/>
      <c r="K336" s="2420"/>
      <c r="L336" s="2420"/>
      <c r="M336" s="2420"/>
      <c r="N336" s="2420"/>
      <c r="O336" s="2420"/>
      <c r="P336" s="2420"/>
      <c r="Q336" s="2420"/>
      <c r="R336" s="2420"/>
      <c r="S336" s="2420"/>
      <c r="T336" s="2420"/>
      <c r="U336" s="2420"/>
      <c r="V336" s="2420"/>
      <c r="W336" s="2420"/>
      <c r="X336" s="2420"/>
      <c r="Y336" s="2420"/>
      <c r="Z336" s="2420"/>
      <c r="AA336" s="2420"/>
      <c r="AB336" s="2420"/>
      <c r="AC336" s="2420"/>
      <c r="AD336" s="2420"/>
      <c r="AE336" s="2420"/>
      <c r="AF336" s="2420"/>
      <c r="AG336" s="2420"/>
      <c r="AH336" s="2420"/>
      <c r="AI336" s="2420"/>
      <c r="AJ336" s="2420"/>
      <c r="AM336" s="1419"/>
      <c r="AS336" s="1324"/>
      <c r="AT336" s="1324"/>
      <c r="AU336" s="1324"/>
      <c r="AV336" s="1324"/>
      <c r="AW336" s="1324"/>
      <c r="AX336" s="1324"/>
      <c r="AY336" s="1324"/>
      <c r="AZ336" s="1324"/>
      <c r="BA336" s="1324"/>
      <c r="BB336" s="1324"/>
      <c r="BC336" s="1324"/>
      <c r="BD336" s="1324"/>
      <c r="BE336" s="1324"/>
      <c r="BF336" s="1324"/>
      <c r="BG336" s="1324"/>
      <c r="BH336" s="1324"/>
      <c r="BI336" s="1324"/>
      <c r="BJ336" s="1324"/>
      <c r="BK336" s="1324"/>
      <c r="BL336" s="1324"/>
      <c r="BM336" s="1324"/>
      <c r="BN336" s="1324"/>
      <c r="BO336" s="1324"/>
      <c r="BP336" s="1324"/>
      <c r="BQ336" s="1324"/>
      <c r="BR336" s="1324"/>
      <c r="BS336" s="1324"/>
      <c r="BT336" s="1324"/>
      <c r="BU336" s="1324"/>
      <c r="BV336" s="1324"/>
      <c r="BW336" s="1324"/>
      <c r="BX336" s="1324"/>
    </row>
    <row r="337" spans="1:76" s="46" customFormat="1" ht="12.75" customHeight="1">
      <c r="A337" s="16"/>
      <c r="C337" s="2420"/>
      <c r="D337" s="2420"/>
      <c r="E337" s="2420"/>
      <c r="F337" s="2420"/>
      <c r="G337" s="2420"/>
      <c r="H337" s="2420"/>
      <c r="I337" s="2420"/>
      <c r="J337" s="2420"/>
      <c r="K337" s="2420"/>
      <c r="L337" s="2420"/>
      <c r="M337" s="2420"/>
      <c r="N337" s="2420"/>
      <c r="O337" s="2420"/>
      <c r="P337" s="2420"/>
      <c r="Q337" s="2420"/>
      <c r="R337" s="2420"/>
      <c r="S337" s="2420"/>
      <c r="T337" s="2420"/>
      <c r="U337" s="2420"/>
      <c r="V337" s="2420"/>
      <c r="W337" s="2420"/>
      <c r="X337" s="2420"/>
      <c r="Y337" s="2420"/>
      <c r="Z337" s="2420"/>
      <c r="AA337" s="2420"/>
      <c r="AB337" s="2420"/>
      <c r="AC337" s="2420"/>
      <c r="AD337" s="2420"/>
      <c r="AE337" s="2420"/>
      <c r="AF337" s="2420"/>
      <c r="AG337" s="2420"/>
      <c r="AH337" s="2420"/>
      <c r="AI337" s="2420"/>
      <c r="AJ337" s="2420"/>
      <c r="AK337" s="152"/>
      <c r="AL337" s="152"/>
      <c r="AM337" s="163"/>
      <c r="AN337" s="439"/>
      <c r="AR337" s="1324"/>
      <c r="AS337" s="1324"/>
      <c r="AT337" s="1324"/>
      <c r="AU337" s="1324"/>
      <c r="AV337" s="1324"/>
      <c r="AW337" s="1324"/>
      <c r="AX337" s="1324"/>
      <c r="AY337" s="1324"/>
      <c r="AZ337" s="1324"/>
      <c r="BA337" s="1324"/>
      <c r="BB337" s="1324"/>
      <c r="BC337" s="1324"/>
      <c r="BD337" s="1324"/>
      <c r="BE337" s="1324"/>
      <c r="BF337" s="1324"/>
      <c r="BG337" s="1324"/>
      <c r="BH337" s="1324"/>
      <c r="BI337" s="1324"/>
      <c r="BJ337" s="1324"/>
      <c r="BK337" s="1324"/>
      <c r="BL337" s="1324"/>
      <c r="BM337" s="1324"/>
      <c r="BN337" s="1324"/>
      <c r="BO337" s="1324"/>
      <c r="BP337" s="1324"/>
      <c r="BQ337" s="1324"/>
      <c r="BR337" s="1324"/>
      <c r="BS337" s="1324"/>
      <c r="BT337" s="1324"/>
      <c r="BU337" s="1324"/>
      <c r="BV337" s="1324"/>
      <c r="BW337" s="1324"/>
      <c r="BX337" s="1324"/>
    </row>
    <row r="338" spans="1:76" s="46" customFormat="1" ht="12.75" customHeight="1">
      <c r="A338" s="163"/>
      <c r="B338" s="164"/>
      <c r="C338" s="2420"/>
      <c r="D338" s="2420"/>
      <c r="E338" s="2420"/>
      <c r="F338" s="2420"/>
      <c r="G338" s="2420"/>
      <c r="H338" s="2420"/>
      <c r="I338" s="2420"/>
      <c r="J338" s="2420"/>
      <c r="K338" s="2420"/>
      <c r="L338" s="2420"/>
      <c r="M338" s="2420"/>
      <c r="N338" s="2420"/>
      <c r="O338" s="2420"/>
      <c r="P338" s="2420"/>
      <c r="Q338" s="2420"/>
      <c r="R338" s="2420"/>
      <c r="S338" s="2420"/>
      <c r="T338" s="2420"/>
      <c r="U338" s="2420"/>
      <c r="V338" s="2420"/>
      <c r="W338" s="2420"/>
      <c r="X338" s="2420"/>
      <c r="Y338" s="2420"/>
      <c r="Z338" s="2420"/>
      <c r="AA338" s="2420"/>
      <c r="AB338" s="2420"/>
      <c r="AC338" s="2420"/>
      <c r="AD338" s="2420"/>
      <c r="AE338" s="2420"/>
      <c r="AF338" s="2420"/>
      <c r="AG338" s="2420"/>
      <c r="AH338" s="2420"/>
      <c r="AI338" s="2420"/>
      <c r="AJ338" s="2420"/>
      <c r="AK338" s="163"/>
      <c r="AL338" s="163"/>
      <c r="AM338" s="163"/>
      <c r="AN338" s="439"/>
      <c r="AO338" s="293"/>
      <c r="AR338" s="1324"/>
      <c r="AS338" s="1324"/>
      <c r="AT338" s="1324"/>
      <c r="AU338" s="1324"/>
      <c r="AV338" s="1324"/>
      <c r="AW338" s="1324"/>
      <c r="AX338" s="1324"/>
      <c r="AY338" s="1324"/>
      <c r="AZ338" s="1324"/>
      <c r="BA338" s="1324"/>
      <c r="BB338" s="1324"/>
      <c r="BC338" s="1324"/>
      <c r="BD338" s="1324"/>
      <c r="BE338" s="1324"/>
      <c r="BF338" s="1324"/>
      <c r="BG338" s="1324"/>
      <c r="BH338" s="1324"/>
      <c r="BI338" s="1324"/>
      <c r="BJ338" s="1324"/>
      <c r="BK338" s="1324"/>
      <c r="BL338" s="1324"/>
      <c r="BM338" s="1324"/>
      <c r="BN338" s="1324"/>
      <c r="BO338" s="1324"/>
      <c r="BP338" s="1324"/>
      <c r="BQ338" s="1324"/>
      <c r="BR338" s="1324"/>
      <c r="BS338" s="1324"/>
      <c r="BT338" s="1324"/>
      <c r="BU338" s="1324"/>
      <c r="BV338" s="1324"/>
      <c r="BW338" s="1324"/>
      <c r="BX338" s="1324"/>
    </row>
    <row r="339" spans="1:76" s="46" customFormat="1" ht="12.75" customHeight="1">
      <c r="A339" s="163"/>
      <c r="B339" s="164"/>
      <c r="C339" s="2420"/>
      <c r="D339" s="2420"/>
      <c r="E339" s="2420"/>
      <c r="F339" s="2420"/>
      <c r="G339" s="2420"/>
      <c r="H339" s="2420"/>
      <c r="I339" s="2420"/>
      <c r="J339" s="2420"/>
      <c r="K339" s="2420"/>
      <c r="L339" s="2420"/>
      <c r="M339" s="2420"/>
      <c r="N339" s="2420"/>
      <c r="O339" s="2420"/>
      <c r="P339" s="2420"/>
      <c r="Q339" s="2420"/>
      <c r="R339" s="2420"/>
      <c r="S339" s="2420"/>
      <c r="T339" s="2420"/>
      <c r="U339" s="2420"/>
      <c r="V339" s="2420"/>
      <c r="W339" s="2420"/>
      <c r="X339" s="2420"/>
      <c r="Y339" s="2420"/>
      <c r="Z339" s="2420"/>
      <c r="AA339" s="2420"/>
      <c r="AB339" s="2420"/>
      <c r="AC339" s="2420"/>
      <c r="AD339" s="2420"/>
      <c r="AE339" s="2420"/>
      <c r="AF339" s="2420"/>
      <c r="AG339" s="2420"/>
      <c r="AH339" s="2420"/>
      <c r="AI339" s="2420"/>
      <c r="AJ339" s="2420"/>
      <c r="AK339" s="163"/>
      <c r="AL339" s="163"/>
      <c r="AM339" s="163"/>
      <c r="AN339" s="439"/>
      <c r="AO339" s="293"/>
      <c r="AR339" s="1324"/>
      <c r="AS339" s="1324"/>
      <c r="AT339" s="1324"/>
      <c r="AU339" s="1324"/>
      <c r="AV339" s="1324"/>
      <c r="AW339" s="1324"/>
      <c r="AX339" s="1324"/>
      <c r="AY339" s="1324"/>
      <c r="AZ339" s="1324"/>
      <c r="BA339" s="1324"/>
      <c r="BB339" s="1324"/>
      <c r="BC339" s="1324"/>
      <c r="BD339" s="1324"/>
      <c r="BE339" s="1324"/>
      <c r="BF339" s="1324"/>
      <c r="BG339" s="1324"/>
      <c r="BH339" s="1324"/>
      <c r="BI339" s="1324"/>
      <c r="BJ339" s="1324"/>
      <c r="BK339" s="1324"/>
      <c r="BL339" s="1324"/>
      <c r="BM339" s="1324"/>
      <c r="BN339" s="1324"/>
      <c r="BO339" s="1324"/>
      <c r="BP339" s="1324"/>
      <c r="BQ339" s="1324"/>
      <c r="BR339" s="1324"/>
      <c r="BS339" s="1324"/>
      <c r="BT339" s="1324"/>
      <c r="BU339" s="1324"/>
      <c r="BV339" s="1324"/>
      <c r="BW339" s="1324"/>
      <c r="BX339" s="1324"/>
    </row>
    <row r="340" spans="1:76" s="46" customFormat="1" ht="12.75" customHeight="1">
      <c r="A340" s="163"/>
      <c r="B340" s="164"/>
      <c r="C340" s="2420"/>
      <c r="D340" s="2420"/>
      <c r="E340" s="2420"/>
      <c r="F340" s="2420"/>
      <c r="G340" s="2420"/>
      <c r="H340" s="2420"/>
      <c r="I340" s="2420"/>
      <c r="J340" s="2420"/>
      <c r="K340" s="2420"/>
      <c r="L340" s="2420"/>
      <c r="M340" s="2420"/>
      <c r="N340" s="2420"/>
      <c r="O340" s="2420"/>
      <c r="P340" s="2420"/>
      <c r="Q340" s="2420"/>
      <c r="R340" s="2420"/>
      <c r="S340" s="2420"/>
      <c r="T340" s="2420"/>
      <c r="U340" s="2420"/>
      <c r="V340" s="2420"/>
      <c r="W340" s="2420"/>
      <c r="X340" s="2420"/>
      <c r="Y340" s="2420"/>
      <c r="Z340" s="2420"/>
      <c r="AA340" s="2420"/>
      <c r="AB340" s="2420"/>
      <c r="AC340" s="2420"/>
      <c r="AD340" s="2420"/>
      <c r="AE340" s="2420"/>
      <c r="AF340" s="2420"/>
      <c r="AG340" s="2420"/>
      <c r="AH340" s="2420"/>
      <c r="AI340" s="2420"/>
      <c r="AJ340" s="2420"/>
      <c r="AK340" s="163"/>
      <c r="AL340" s="163"/>
      <c r="AM340" s="163"/>
      <c r="AN340" s="439"/>
      <c r="AO340" s="293"/>
      <c r="AR340" s="1324"/>
      <c r="AS340" s="1324"/>
      <c r="AT340" s="1324"/>
      <c r="AU340" s="1324"/>
      <c r="AV340" s="1324"/>
      <c r="AW340" s="1324"/>
      <c r="AX340" s="1324"/>
      <c r="AY340" s="1324"/>
      <c r="AZ340" s="1324"/>
      <c r="BA340" s="1324"/>
      <c r="BB340" s="1324"/>
      <c r="BC340" s="1324"/>
      <c r="BD340" s="1324"/>
      <c r="BE340" s="1324"/>
      <c r="BF340" s="1324"/>
      <c r="BG340" s="1324"/>
      <c r="BH340" s="1324"/>
      <c r="BI340" s="1324"/>
      <c r="BJ340" s="1324"/>
      <c r="BK340" s="1324"/>
      <c r="BL340" s="1324"/>
      <c r="BM340" s="1324"/>
      <c r="BN340" s="1324"/>
      <c r="BO340" s="1324"/>
      <c r="BP340" s="1324"/>
      <c r="BQ340" s="1324"/>
      <c r="BR340" s="1324"/>
      <c r="BS340" s="1324"/>
      <c r="BT340" s="1324"/>
      <c r="BU340" s="1324"/>
      <c r="BV340" s="1324"/>
      <c r="BW340" s="1324"/>
      <c r="BX340" s="1324"/>
    </row>
    <row r="341" spans="1:76" s="46" customFormat="1" ht="12.75" customHeight="1">
      <c r="A341" s="163"/>
      <c r="B341" s="164"/>
      <c r="C341" s="2420"/>
      <c r="D341" s="2420"/>
      <c r="E341" s="2420"/>
      <c r="F341" s="2420"/>
      <c r="G341" s="2420"/>
      <c r="H341" s="2420"/>
      <c r="I341" s="2420"/>
      <c r="J341" s="2420"/>
      <c r="K341" s="2420"/>
      <c r="L341" s="2420"/>
      <c r="M341" s="2420"/>
      <c r="N341" s="2420"/>
      <c r="O341" s="2420"/>
      <c r="P341" s="2420"/>
      <c r="Q341" s="2420"/>
      <c r="R341" s="2420"/>
      <c r="S341" s="2420"/>
      <c r="T341" s="2420"/>
      <c r="U341" s="2420"/>
      <c r="V341" s="2420"/>
      <c r="W341" s="2420"/>
      <c r="X341" s="2420"/>
      <c r="Y341" s="2420"/>
      <c r="Z341" s="2420"/>
      <c r="AA341" s="2420"/>
      <c r="AB341" s="2420"/>
      <c r="AC341" s="2420"/>
      <c r="AD341" s="2420"/>
      <c r="AE341" s="2420"/>
      <c r="AF341" s="2420"/>
      <c r="AG341" s="2420"/>
      <c r="AH341" s="2420"/>
      <c r="AI341" s="2420"/>
      <c r="AJ341" s="2420"/>
      <c r="AK341" s="163"/>
      <c r="AL341" s="163"/>
      <c r="AM341" s="163"/>
      <c r="AN341" s="439"/>
      <c r="AO341" s="293"/>
      <c r="AR341" s="1324"/>
      <c r="AS341" s="1324"/>
      <c r="AT341" s="1324"/>
      <c r="AU341" s="1324"/>
      <c r="AV341" s="1324"/>
      <c r="AW341" s="1324"/>
      <c r="AX341" s="1324"/>
      <c r="AY341" s="1324"/>
      <c r="AZ341" s="1324"/>
      <c r="BA341" s="1324"/>
      <c r="BB341" s="1324"/>
      <c r="BC341" s="1324"/>
      <c r="BD341" s="1324"/>
      <c r="BE341" s="1324"/>
      <c r="BF341" s="1324"/>
      <c r="BG341" s="1324"/>
      <c r="BH341" s="1324"/>
      <c r="BI341" s="1324"/>
      <c r="BJ341" s="1324"/>
      <c r="BK341" s="1324"/>
      <c r="BL341" s="1324"/>
      <c r="BM341" s="1324"/>
      <c r="BN341" s="1324"/>
      <c r="BO341" s="1324"/>
      <c r="BP341" s="1324"/>
      <c r="BQ341" s="1324"/>
      <c r="BR341" s="1324"/>
      <c r="BS341" s="1324"/>
      <c r="BT341" s="1324"/>
      <c r="BU341" s="1324"/>
      <c r="BV341" s="1324"/>
      <c r="BW341" s="1324"/>
      <c r="BX341" s="1324"/>
    </row>
    <row r="342" spans="1:76" s="46" customFormat="1" ht="12.45" customHeight="1">
      <c r="A342" s="163"/>
      <c r="B342" s="164"/>
      <c r="C342" s="2420"/>
      <c r="D342" s="2420"/>
      <c r="E342" s="2420"/>
      <c r="F342" s="2420"/>
      <c r="G342" s="2420"/>
      <c r="H342" s="2420"/>
      <c r="I342" s="2420"/>
      <c r="J342" s="2420"/>
      <c r="K342" s="2420"/>
      <c r="L342" s="2420"/>
      <c r="M342" s="2420"/>
      <c r="N342" s="2420"/>
      <c r="O342" s="2420"/>
      <c r="P342" s="2420"/>
      <c r="Q342" s="2420"/>
      <c r="R342" s="2420"/>
      <c r="S342" s="2420"/>
      <c r="T342" s="2420"/>
      <c r="U342" s="2420"/>
      <c r="V342" s="2420"/>
      <c r="W342" s="2420"/>
      <c r="X342" s="2420"/>
      <c r="Y342" s="2420"/>
      <c r="Z342" s="2420"/>
      <c r="AA342" s="2420"/>
      <c r="AB342" s="2420"/>
      <c r="AC342" s="2420"/>
      <c r="AD342" s="2420"/>
      <c r="AE342" s="2420"/>
      <c r="AF342" s="2420"/>
      <c r="AG342" s="2420"/>
      <c r="AH342" s="2420"/>
      <c r="AI342" s="2420"/>
      <c r="AJ342" s="2420"/>
      <c r="AK342" s="163"/>
      <c r="AL342" s="163"/>
      <c r="AM342" s="163"/>
      <c r="AN342" s="439"/>
      <c r="AO342" s="293"/>
      <c r="AR342" s="1324"/>
      <c r="AS342" s="1324"/>
      <c r="AT342" s="1324"/>
      <c r="AU342" s="1324"/>
      <c r="AV342" s="1324"/>
      <c r="AW342" s="1324"/>
      <c r="AX342" s="1324"/>
      <c r="AY342" s="1324"/>
      <c r="AZ342" s="1324"/>
      <c r="BA342" s="1324"/>
      <c r="BB342" s="1324"/>
      <c r="BC342" s="1324"/>
      <c r="BD342" s="1324"/>
      <c r="BE342" s="1324"/>
      <c r="BF342" s="1324"/>
      <c r="BG342" s="1324"/>
      <c r="BH342" s="1324"/>
      <c r="BI342" s="1324"/>
      <c r="BJ342" s="1324"/>
      <c r="BK342" s="1324"/>
      <c r="BL342" s="1324"/>
      <c r="BM342" s="1324"/>
      <c r="BN342" s="1324"/>
      <c r="BO342" s="1324"/>
      <c r="BP342" s="1324"/>
      <c r="BQ342" s="1324"/>
      <c r="BR342" s="1324"/>
      <c r="BS342" s="1324"/>
      <c r="BT342" s="1324"/>
      <c r="BU342" s="1324"/>
      <c r="BV342" s="1324"/>
      <c r="BW342" s="1324"/>
      <c r="BX342" s="1324"/>
    </row>
    <row r="343" spans="1:76" s="46" customFormat="1" ht="12.45" customHeight="1">
      <c r="A343" s="163"/>
      <c r="B343" s="164"/>
      <c r="C343" s="2420"/>
      <c r="D343" s="2420"/>
      <c r="E343" s="2420"/>
      <c r="F343" s="2420"/>
      <c r="G343" s="2420"/>
      <c r="H343" s="2420"/>
      <c r="I343" s="2420"/>
      <c r="J343" s="2420"/>
      <c r="K343" s="2420"/>
      <c r="L343" s="2420"/>
      <c r="M343" s="2420"/>
      <c r="N343" s="2420"/>
      <c r="O343" s="2420"/>
      <c r="P343" s="2420"/>
      <c r="Q343" s="2420"/>
      <c r="R343" s="2420"/>
      <c r="S343" s="2420"/>
      <c r="T343" s="2420"/>
      <c r="U343" s="2420"/>
      <c r="V343" s="2420"/>
      <c r="W343" s="2420"/>
      <c r="X343" s="2420"/>
      <c r="Y343" s="2420"/>
      <c r="Z343" s="2420"/>
      <c r="AA343" s="2420"/>
      <c r="AB343" s="2420"/>
      <c r="AC343" s="2420"/>
      <c r="AD343" s="2420"/>
      <c r="AE343" s="2420"/>
      <c r="AF343" s="2420"/>
      <c r="AG343" s="2420"/>
      <c r="AH343" s="2420"/>
      <c r="AI343" s="2420"/>
      <c r="AJ343" s="2420"/>
      <c r="AK343" s="163"/>
      <c r="AL343" s="163"/>
      <c r="AM343" s="163"/>
      <c r="AN343" s="439"/>
      <c r="AO343" s="293"/>
    </row>
    <row r="344" spans="1:76" s="46" customFormat="1" ht="12.75" customHeight="1">
      <c r="A344" s="163"/>
      <c r="B344" s="164"/>
      <c r="C344" s="2420" t="s">
        <v>2086</v>
      </c>
      <c r="D344" s="2420"/>
      <c r="E344" s="2420"/>
      <c r="F344" s="2420"/>
      <c r="G344" s="2420"/>
      <c r="H344" s="2420"/>
      <c r="I344" s="2420"/>
      <c r="J344" s="2420"/>
      <c r="K344" s="2420"/>
      <c r="L344" s="2420"/>
      <c r="M344" s="2420"/>
      <c r="N344" s="2420"/>
      <c r="O344" s="2420"/>
      <c r="P344" s="2420"/>
      <c r="Q344" s="2420"/>
      <c r="R344" s="2420"/>
      <c r="S344" s="2420"/>
      <c r="T344" s="2420"/>
      <c r="U344" s="2420"/>
      <c r="V344" s="2420"/>
      <c r="W344" s="2420"/>
      <c r="X344" s="2420"/>
      <c r="Y344" s="2420"/>
      <c r="Z344" s="2420"/>
      <c r="AA344" s="2420"/>
      <c r="AB344" s="2420"/>
      <c r="AC344" s="2420"/>
      <c r="AD344" s="2420"/>
      <c r="AE344" s="2420"/>
      <c r="AF344" s="2420"/>
      <c r="AG344" s="2420"/>
      <c r="AH344" s="2420"/>
      <c r="AI344" s="2420"/>
      <c r="AJ344" s="2420"/>
      <c r="AK344" s="163"/>
      <c r="AL344" s="163"/>
      <c r="AM344" s="163"/>
      <c r="AN344" s="439"/>
    </row>
    <row r="345" spans="1:76" s="46" customFormat="1" ht="12.75" customHeight="1">
      <c r="A345" s="163"/>
      <c r="B345" s="164"/>
      <c r="C345" s="2420"/>
      <c r="D345" s="2420"/>
      <c r="E345" s="2420"/>
      <c r="F345" s="2420"/>
      <c r="G345" s="2420"/>
      <c r="H345" s="2420"/>
      <c r="I345" s="2420"/>
      <c r="J345" s="2420"/>
      <c r="K345" s="2420"/>
      <c r="L345" s="2420"/>
      <c r="M345" s="2420"/>
      <c r="N345" s="2420"/>
      <c r="O345" s="2420"/>
      <c r="P345" s="2420"/>
      <c r="Q345" s="2420"/>
      <c r="R345" s="2420"/>
      <c r="S345" s="2420"/>
      <c r="T345" s="2420"/>
      <c r="U345" s="2420"/>
      <c r="V345" s="2420"/>
      <c r="W345" s="2420"/>
      <c r="X345" s="2420"/>
      <c r="Y345" s="2420"/>
      <c r="Z345" s="2420"/>
      <c r="AA345" s="2420"/>
      <c r="AB345" s="2420"/>
      <c r="AC345" s="2420"/>
      <c r="AD345" s="2420"/>
      <c r="AE345" s="2420"/>
      <c r="AF345" s="2420"/>
      <c r="AG345" s="2420"/>
      <c r="AH345" s="2420"/>
      <c r="AI345" s="2420"/>
      <c r="AJ345" s="2420"/>
      <c r="AK345" s="163"/>
      <c r="AL345" s="163"/>
      <c r="AM345" s="163"/>
      <c r="AN345" s="439"/>
    </row>
    <row r="346" spans="1:76" s="46" customFormat="1" ht="12.75" customHeight="1">
      <c r="A346" s="163"/>
      <c r="B346" s="164"/>
      <c r="C346" s="2420"/>
      <c r="D346" s="2420"/>
      <c r="E346" s="2420"/>
      <c r="F346" s="2420"/>
      <c r="G346" s="2420"/>
      <c r="H346" s="2420"/>
      <c r="I346" s="2420"/>
      <c r="J346" s="2420"/>
      <c r="K346" s="2420"/>
      <c r="L346" s="2420"/>
      <c r="M346" s="2420"/>
      <c r="N346" s="2420"/>
      <c r="O346" s="2420"/>
      <c r="P346" s="2420"/>
      <c r="Q346" s="2420"/>
      <c r="R346" s="2420"/>
      <c r="S346" s="2420"/>
      <c r="T346" s="2420"/>
      <c r="U346" s="2420"/>
      <c r="V346" s="2420"/>
      <c r="W346" s="2420"/>
      <c r="X346" s="2420"/>
      <c r="Y346" s="2420"/>
      <c r="Z346" s="2420"/>
      <c r="AA346" s="2420"/>
      <c r="AB346" s="2420"/>
      <c r="AC346" s="2420"/>
      <c r="AD346" s="2420"/>
      <c r="AE346" s="2420"/>
      <c r="AF346" s="2420"/>
      <c r="AG346" s="2420"/>
      <c r="AH346" s="2420"/>
      <c r="AI346" s="2420"/>
      <c r="AJ346" s="2420"/>
      <c r="AK346" s="163"/>
      <c r="AL346" s="163"/>
      <c r="AM346" s="163"/>
      <c r="AN346" s="439"/>
      <c r="AQ346" s="50"/>
      <c r="AR346" s="137"/>
    </row>
    <row r="347" spans="1:76" s="46" customFormat="1" ht="12.75" customHeight="1">
      <c r="A347" s="163"/>
      <c r="B347" s="144"/>
      <c r="C347" s="2420"/>
      <c r="D347" s="2420"/>
      <c r="E347" s="2420"/>
      <c r="F347" s="2420"/>
      <c r="G347" s="2420"/>
      <c r="H347" s="2420"/>
      <c r="I347" s="2420"/>
      <c r="J347" s="2420"/>
      <c r="K347" s="2420"/>
      <c r="L347" s="2420"/>
      <c r="M347" s="2420"/>
      <c r="N347" s="2420"/>
      <c r="O347" s="2420"/>
      <c r="P347" s="2420"/>
      <c r="Q347" s="2420"/>
      <c r="R347" s="2420"/>
      <c r="S347" s="2420"/>
      <c r="T347" s="2420"/>
      <c r="U347" s="2420"/>
      <c r="V347" s="2420"/>
      <c r="W347" s="2420"/>
      <c r="X347" s="2420"/>
      <c r="Y347" s="2420"/>
      <c r="Z347" s="2420"/>
      <c r="AA347" s="2420"/>
      <c r="AB347" s="2420"/>
      <c r="AC347" s="2420"/>
      <c r="AD347" s="2420"/>
      <c r="AE347" s="2420"/>
      <c r="AF347" s="2420"/>
      <c r="AG347" s="2420"/>
      <c r="AH347" s="2420"/>
      <c r="AI347" s="2420"/>
      <c r="AJ347" s="2420"/>
      <c r="AK347" s="163"/>
      <c r="AL347" s="163"/>
      <c r="AM347" s="163"/>
      <c r="AN347" s="439"/>
      <c r="AQ347" s="50"/>
      <c r="AR347" s="137"/>
    </row>
    <row r="348" spans="1:76" s="46" customFormat="1" ht="12.45" customHeight="1">
      <c r="A348" s="163"/>
      <c r="B348" s="144"/>
      <c r="C348" s="2420"/>
      <c r="D348" s="2420"/>
      <c r="E348" s="2420"/>
      <c r="F348" s="2420"/>
      <c r="G348" s="2420"/>
      <c r="H348" s="2420"/>
      <c r="I348" s="2420"/>
      <c r="J348" s="2420"/>
      <c r="K348" s="2420"/>
      <c r="L348" s="2420"/>
      <c r="M348" s="2420"/>
      <c r="N348" s="2420"/>
      <c r="O348" s="2420"/>
      <c r="P348" s="2420"/>
      <c r="Q348" s="2420"/>
      <c r="R348" s="2420"/>
      <c r="S348" s="2420"/>
      <c r="T348" s="2420"/>
      <c r="U348" s="2420"/>
      <c r="V348" s="2420"/>
      <c r="W348" s="2420"/>
      <c r="X348" s="2420"/>
      <c r="Y348" s="2420"/>
      <c r="Z348" s="2420"/>
      <c r="AA348" s="2420"/>
      <c r="AB348" s="2420"/>
      <c r="AC348" s="2420"/>
      <c r="AD348" s="2420"/>
      <c r="AE348" s="2420"/>
      <c r="AF348" s="2420"/>
      <c r="AG348" s="2420"/>
      <c r="AH348" s="2420"/>
      <c r="AI348" s="2420"/>
      <c r="AJ348" s="2420"/>
      <c r="AK348" s="163"/>
      <c r="AL348" s="163"/>
      <c r="AM348" s="163"/>
      <c r="AN348" s="439"/>
      <c r="AQ348" s="50"/>
      <c r="AR348" s="50"/>
    </row>
    <row r="349" spans="1:76" s="46" customFormat="1" ht="12.75" customHeight="1">
      <c r="A349" s="163"/>
      <c r="B349" s="144"/>
      <c r="C349" s="2420" t="s">
        <v>2087</v>
      </c>
      <c r="D349" s="2420"/>
      <c r="E349" s="2420"/>
      <c r="F349" s="2420"/>
      <c r="G349" s="2420"/>
      <c r="H349" s="2420"/>
      <c r="I349" s="2420"/>
      <c r="J349" s="2420"/>
      <c r="K349" s="2420"/>
      <c r="L349" s="2420"/>
      <c r="M349" s="2420"/>
      <c r="N349" s="2420"/>
      <c r="O349" s="2420"/>
      <c r="P349" s="2420"/>
      <c r="Q349" s="2420"/>
      <c r="R349" s="2420"/>
      <c r="S349" s="2420"/>
      <c r="T349" s="2420"/>
      <c r="U349" s="2420"/>
      <c r="V349" s="2420"/>
      <c r="W349" s="2420"/>
      <c r="X349" s="2420"/>
      <c r="Y349" s="2420"/>
      <c r="Z349" s="2420"/>
      <c r="AA349" s="2420"/>
      <c r="AB349" s="2420"/>
      <c r="AC349" s="2420"/>
      <c r="AD349" s="2420"/>
      <c r="AE349" s="2420"/>
      <c r="AF349" s="2420"/>
      <c r="AG349" s="2420"/>
      <c r="AH349" s="2420"/>
      <c r="AI349" s="2420"/>
      <c r="AJ349" s="2420"/>
      <c r="AK349" s="163"/>
      <c r="AL349" s="163"/>
      <c r="AM349" s="163"/>
      <c r="AN349" s="439"/>
      <c r="AQ349" s="50"/>
      <c r="AR349" s="50"/>
    </row>
    <row r="350" spans="1:76" s="46" customFormat="1" ht="12.75" customHeight="1">
      <c r="A350" s="163"/>
      <c r="B350" s="144"/>
      <c r="C350" s="2420"/>
      <c r="D350" s="2420"/>
      <c r="E350" s="2420"/>
      <c r="F350" s="2420"/>
      <c r="G350" s="2420"/>
      <c r="H350" s="2420"/>
      <c r="I350" s="2420"/>
      <c r="J350" s="2420"/>
      <c r="K350" s="2420"/>
      <c r="L350" s="2420"/>
      <c r="M350" s="2420"/>
      <c r="N350" s="2420"/>
      <c r="O350" s="2420"/>
      <c r="P350" s="2420"/>
      <c r="Q350" s="2420"/>
      <c r="R350" s="2420"/>
      <c r="S350" s="2420"/>
      <c r="T350" s="2420"/>
      <c r="U350" s="2420"/>
      <c r="V350" s="2420"/>
      <c r="W350" s="2420"/>
      <c r="X350" s="2420"/>
      <c r="Y350" s="2420"/>
      <c r="Z350" s="2420"/>
      <c r="AA350" s="2420"/>
      <c r="AB350" s="2420"/>
      <c r="AC350" s="2420"/>
      <c r="AD350" s="2420"/>
      <c r="AE350" s="2420"/>
      <c r="AF350" s="2420"/>
      <c r="AG350" s="2420"/>
      <c r="AH350" s="2420"/>
      <c r="AI350" s="2420"/>
      <c r="AJ350" s="2420"/>
      <c r="AK350" s="163"/>
      <c r="AL350" s="163"/>
      <c r="AM350" s="163"/>
      <c r="AN350" s="439"/>
      <c r="AQ350" s="137"/>
      <c r="AR350" s="50"/>
    </row>
    <row r="351" spans="1:76" s="46" customFormat="1" ht="12.75" customHeight="1">
      <c r="A351" s="163"/>
      <c r="B351" s="144"/>
      <c r="C351" s="2420"/>
      <c r="D351" s="2420"/>
      <c r="E351" s="2420"/>
      <c r="F351" s="2420"/>
      <c r="G351" s="2420"/>
      <c r="H351" s="2420"/>
      <c r="I351" s="2420"/>
      <c r="J351" s="2420"/>
      <c r="K351" s="2420"/>
      <c r="L351" s="2420"/>
      <c r="M351" s="2420"/>
      <c r="N351" s="2420"/>
      <c r="O351" s="2420"/>
      <c r="P351" s="2420"/>
      <c r="Q351" s="2420"/>
      <c r="R351" s="2420"/>
      <c r="S351" s="2420"/>
      <c r="T351" s="2420"/>
      <c r="U351" s="2420"/>
      <c r="V351" s="2420"/>
      <c r="W351" s="2420"/>
      <c r="X351" s="2420"/>
      <c r="Y351" s="2420"/>
      <c r="Z351" s="2420"/>
      <c r="AA351" s="2420"/>
      <c r="AB351" s="2420"/>
      <c r="AC351" s="2420"/>
      <c r="AD351" s="2420"/>
      <c r="AE351" s="2420"/>
      <c r="AF351" s="2420"/>
      <c r="AG351" s="2420"/>
      <c r="AH351" s="2420"/>
      <c r="AI351" s="2420"/>
      <c r="AJ351" s="2420"/>
      <c r="AK351" s="163"/>
      <c r="AL351" s="163"/>
      <c r="AM351" s="163"/>
      <c r="AN351" s="439"/>
      <c r="AQ351" s="137"/>
      <c r="AR351" s="50"/>
    </row>
    <row r="352" spans="1:76" s="46" customFormat="1" ht="12.75" customHeight="1">
      <c r="A352" s="163"/>
      <c r="B352" s="144"/>
      <c r="C352" s="2420" t="s">
        <v>2088</v>
      </c>
      <c r="D352" s="2420"/>
      <c r="E352" s="2420"/>
      <c r="F352" s="2420"/>
      <c r="G352" s="2420"/>
      <c r="H352" s="2420"/>
      <c r="I352" s="2420"/>
      <c r="J352" s="2420"/>
      <c r="K352" s="2420"/>
      <c r="L352" s="2420"/>
      <c r="M352" s="2420"/>
      <c r="N352" s="2420"/>
      <c r="O352" s="2420"/>
      <c r="P352" s="2420"/>
      <c r="Q352" s="2420"/>
      <c r="R352" s="2420"/>
      <c r="S352" s="2420"/>
      <c r="T352" s="2420"/>
      <c r="U352" s="2420"/>
      <c r="V352" s="2420"/>
      <c r="W352" s="2420"/>
      <c r="X352" s="2420"/>
      <c r="Y352" s="2420"/>
      <c r="Z352" s="2420"/>
      <c r="AA352" s="2420"/>
      <c r="AB352" s="2420"/>
      <c r="AC352" s="2420"/>
      <c r="AD352" s="2420"/>
      <c r="AE352" s="2420"/>
      <c r="AF352" s="2420"/>
      <c r="AG352" s="2420"/>
      <c r="AH352" s="2420"/>
      <c r="AI352" s="2420"/>
      <c r="AJ352" s="2420"/>
      <c r="AK352" s="163"/>
      <c r="AL352" s="163"/>
      <c r="AM352" s="163"/>
      <c r="AN352" s="439"/>
      <c r="AQ352" s="50"/>
      <c r="AR352" s="50"/>
    </row>
    <row r="353" spans="1:46" s="46" customFormat="1" ht="12.75" customHeight="1">
      <c r="A353" s="163"/>
      <c r="B353" s="144"/>
      <c r="C353" s="2420"/>
      <c r="D353" s="2420"/>
      <c r="E353" s="2420"/>
      <c r="F353" s="2420"/>
      <c r="G353" s="2420"/>
      <c r="H353" s="2420"/>
      <c r="I353" s="2420"/>
      <c r="J353" s="2420"/>
      <c r="K353" s="2420"/>
      <c r="L353" s="2420"/>
      <c r="M353" s="2420"/>
      <c r="N353" s="2420"/>
      <c r="O353" s="2420"/>
      <c r="P353" s="2420"/>
      <c r="Q353" s="2420"/>
      <c r="R353" s="2420"/>
      <c r="S353" s="2420"/>
      <c r="T353" s="2420"/>
      <c r="U353" s="2420"/>
      <c r="V353" s="2420"/>
      <c r="W353" s="2420"/>
      <c r="X353" s="2420"/>
      <c r="Y353" s="2420"/>
      <c r="Z353" s="2420"/>
      <c r="AA353" s="2420"/>
      <c r="AB353" s="2420"/>
      <c r="AC353" s="2420"/>
      <c r="AD353" s="2420"/>
      <c r="AE353" s="2420"/>
      <c r="AF353" s="2420"/>
      <c r="AG353" s="2420"/>
      <c r="AH353" s="2420"/>
      <c r="AI353" s="2420"/>
      <c r="AJ353" s="2420"/>
      <c r="AK353" s="163"/>
      <c r="AL353" s="163"/>
      <c r="AM353" s="163"/>
      <c r="AN353" s="439"/>
      <c r="AQ353" s="50"/>
      <c r="AR353" s="50"/>
    </row>
    <row r="354" spans="1:46" s="46" customFormat="1" ht="13.2" customHeight="1">
      <c r="A354" s="163"/>
      <c r="B354" s="144"/>
      <c r="C354" s="2420"/>
      <c r="D354" s="2420"/>
      <c r="E354" s="2420"/>
      <c r="F354" s="2420"/>
      <c r="G354" s="2420"/>
      <c r="H354" s="2420"/>
      <c r="I354" s="2420"/>
      <c r="J354" s="2420"/>
      <c r="K354" s="2420"/>
      <c r="L354" s="2420"/>
      <c r="M354" s="2420"/>
      <c r="N354" s="2420"/>
      <c r="O354" s="2420"/>
      <c r="P354" s="2420"/>
      <c r="Q354" s="2420"/>
      <c r="R354" s="2420"/>
      <c r="S354" s="2420"/>
      <c r="T354" s="2420"/>
      <c r="U354" s="2420"/>
      <c r="V354" s="2420"/>
      <c r="W354" s="2420"/>
      <c r="X354" s="2420"/>
      <c r="Y354" s="2420"/>
      <c r="Z354" s="2420"/>
      <c r="AA354" s="2420"/>
      <c r="AB354" s="2420"/>
      <c r="AC354" s="2420"/>
      <c r="AD354" s="2420"/>
      <c r="AE354" s="2420"/>
      <c r="AF354" s="2420"/>
      <c r="AG354" s="2420"/>
      <c r="AH354" s="2420"/>
      <c r="AI354" s="2420"/>
      <c r="AJ354" s="2420"/>
      <c r="AK354" s="163"/>
      <c r="AL354" s="163"/>
      <c r="AM354" s="163"/>
      <c r="AN354" s="439"/>
      <c r="AQ354" s="50"/>
      <c r="AR354" s="50"/>
    </row>
    <row r="355" spans="1:46" s="46" customFormat="1" ht="12.75" customHeight="1">
      <c r="A355" s="163"/>
      <c r="B355" s="144"/>
      <c r="C355" s="2420"/>
      <c r="D355" s="2420"/>
      <c r="E355" s="2420"/>
      <c r="F355" s="2420"/>
      <c r="G355" s="2420"/>
      <c r="H355" s="2420"/>
      <c r="I355" s="2420"/>
      <c r="J355" s="2420"/>
      <c r="K355" s="2420"/>
      <c r="L355" s="2420"/>
      <c r="M355" s="2420"/>
      <c r="N355" s="2420"/>
      <c r="O355" s="2420"/>
      <c r="P355" s="2420"/>
      <c r="Q355" s="2420"/>
      <c r="R355" s="2420"/>
      <c r="S355" s="2420"/>
      <c r="T355" s="2420"/>
      <c r="U355" s="2420"/>
      <c r="V355" s="2420"/>
      <c r="W355" s="2420"/>
      <c r="X355" s="2420"/>
      <c r="Y355" s="2420"/>
      <c r="Z355" s="2420"/>
      <c r="AA355" s="2420"/>
      <c r="AB355" s="2420"/>
      <c r="AC355" s="2420"/>
      <c r="AD355" s="2420"/>
      <c r="AE355" s="2420"/>
      <c r="AF355" s="2420"/>
      <c r="AG355" s="2420"/>
      <c r="AH355" s="2420"/>
      <c r="AI355" s="2420"/>
      <c r="AJ355" s="2420"/>
      <c r="AK355" s="163"/>
      <c r="AL355" s="163"/>
      <c r="AM355" s="163"/>
      <c r="AN355" s="439"/>
      <c r="AO355" s="257"/>
      <c r="AP355" s="257"/>
      <c r="AQ355" s="50"/>
      <c r="AR355" s="137"/>
    </row>
    <row r="356" spans="1:46" s="46" customFormat="1" ht="11.7" customHeight="1">
      <c r="A356" s="163"/>
      <c r="B356" s="144"/>
      <c r="C356" s="2420"/>
      <c r="D356" s="2420"/>
      <c r="E356" s="2420"/>
      <c r="F356" s="2420"/>
      <c r="G356" s="2420"/>
      <c r="H356" s="2420"/>
      <c r="I356" s="2420"/>
      <c r="J356" s="2420"/>
      <c r="K356" s="2420"/>
      <c r="L356" s="2420"/>
      <c r="M356" s="2420"/>
      <c r="N356" s="2420"/>
      <c r="O356" s="2420"/>
      <c r="P356" s="2420"/>
      <c r="Q356" s="2420"/>
      <c r="R356" s="2420"/>
      <c r="S356" s="2420"/>
      <c r="T356" s="2420"/>
      <c r="U356" s="2420"/>
      <c r="V356" s="2420"/>
      <c r="W356" s="2420"/>
      <c r="X356" s="2420"/>
      <c r="Y356" s="2420"/>
      <c r="Z356" s="2420"/>
      <c r="AA356" s="2420"/>
      <c r="AB356" s="2420"/>
      <c r="AC356" s="2420"/>
      <c r="AD356" s="2420"/>
      <c r="AE356" s="2420"/>
      <c r="AF356" s="2420"/>
      <c r="AG356" s="2420"/>
      <c r="AH356" s="2420"/>
      <c r="AI356" s="2420"/>
      <c r="AJ356" s="2420"/>
      <c r="AK356" s="163"/>
      <c r="AL356" s="163"/>
      <c r="AM356" s="163"/>
      <c r="AN356" s="439"/>
      <c r="AO356" s="1166" t="s">
        <v>1004</v>
      </c>
      <c r="AP356" s="1167">
        <f>IF(C381="Yes",5,0)</f>
        <v>5</v>
      </c>
      <c r="AQ356" s="137"/>
      <c r="AR356" s="137"/>
      <c r="AS356" s="63" t="s">
        <v>2007</v>
      </c>
    </row>
    <row r="357" spans="1:46" s="46" customFormat="1" ht="12.75" customHeight="1">
      <c r="A357" s="163"/>
      <c r="B357" s="144"/>
      <c r="C357" s="2420"/>
      <c r="D357" s="2420"/>
      <c r="E357" s="2420"/>
      <c r="F357" s="2420"/>
      <c r="G357" s="2420"/>
      <c r="H357" s="2420"/>
      <c r="I357" s="2420"/>
      <c r="J357" s="2420"/>
      <c r="K357" s="2420"/>
      <c r="L357" s="2420"/>
      <c r="M357" s="2420"/>
      <c r="N357" s="2420"/>
      <c r="O357" s="2420"/>
      <c r="P357" s="2420"/>
      <c r="Q357" s="2420"/>
      <c r="R357" s="2420"/>
      <c r="S357" s="2420"/>
      <c r="T357" s="2420"/>
      <c r="U357" s="2420"/>
      <c r="V357" s="2420"/>
      <c r="W357" s="2420"/>
      <c r="X357" s="2420"/>
      <c r="Y357" s="2420"/>
      <c r="Z357" s="2420"/>
      <c r="AA357" s="2420"/>
      <c r="AB357" s="2420"/>
      <c r="AC357" s="2420"/>
      <c r="AD357" s="2420"/>
      <c r="AE357" s="2420"/>
      <c r="AF357" s="2420"/>
      <c r="AG357" s="2420"/>
      <c r="AH357" s="2420"/>
      <c r="AI357" s="2420"/>
      <c r="AJ357" s="2420"/>
      <c r="AK357" s="163"/>
      <c r="AL357" s="163"/>
      <c r="AM357" s="163"/>
      <c r="AN357" s="439"/>
      <c r="AO357" s="1166"/>
      <c r="AP357" s="1167"/>
      <c r="AQ357" s="137"/>
      <c r="AR357" s="137"/>
      <c r="AS357" s="2417">
        <f>IF(AQ370=0,AQ383,AQ370)</f>
        <v>17</v>
      </c>
      <c r="AT357" s="2417"/>
    </row>
    <row r="358" spans="1:46" s="46" customFormat="1" ht="12.75" customHeight="1">
      <c r="A358" s="163"/>
      <c r="B358" s="144"/>
      <c r="C358" s="2420"/>
      <c r="D358" s="2420"/>
      <c r="E358" s="2420"/>
      <c r="F358" s="2420"/>
      <c r="G358" s="2420"/>
      <c r="H358" s="2420"/>
      <c r="I358" s="2420"/>
      <c r="J358" s="2420"/>
      <c r="K358" s="2420"/>
      <c r="L358" s="2420"/>
      <c r="M358" s="2420"/>
      <c r="N358" s="2420"/>
      <c r="O358" s="2420"/>
      <c r="P358" s="2420"/>
      <c r="Q358" s="2420"/>
      <c r="R358" s="2420"/>
      <c r="S358" s="2420"/>
      <c r="T358" s="2420"/>
      <c r="U358" s="2420"/>
      <c r="V358" s="2420"/>
      <c r="W358" s="2420"/>
      <c r="X358" s="2420"/>
      <c r="Y358" s="2420"/>
      <c r="Z358" s="2420"/>
      <c r="AA358" s="2420"/>
      <c r="AB358" s="2420"/>
      <c r="AC358" s="2420"/>
      <c r="AD358" s="2420"/>
      <c r="AE358" s="2420"/>
      <c r="AF358" s="2420"/>
      <c r="AG358" s="2420"/>
      <c r="AH358" s="2420"/>
      <c r="AI358" s="2420"/>
      <c r="AJ358" s="2420"/>
      <c r="AK358" s="163"/>
      <c r="AL358" s="163"/>
      <c r="AM358" s="163"/>
      <c r="AN358" s="439"/>
      <c r="AO358" s="1166" t="s">
        <v>1005</v>
      </c>
      <c r="AP358" s="1167">
        <f>IF(C391="Yes",5,0)</f>
        <v>5</v>
      </c>
      <c r="AS358" s="63" t="s">
        <v>2041</v>
      </c>
    </row>
    <row r="359" spans="1:46" s="46" customFormat="1" ht="12.75" customHeight="1">
      <c r="A359" s="163"/>
      <c r="B359" s="144"/>
      <c r="C359" s="2420"/>
      <c r="D359" s="2420"/>
      <c r="E359" s="2420"/>
      <c r="F359" s="2420"/>
      <c r="G359" s="2420"/>
      <c r="H359" s="2420"/>
      <c r="I359" s="2420"/>
      <c r="J359" s="2420"/>
      <c r="K359" s="2420"/>
      <c r="L359" s="2420"/>
      <c r="M359" s="2420"/>
      <c r="N359" s="2420"/>
      <c r="O359" s="2420"/>
      <c r="P359" s="2420"/>
      <c r="Q359" s="2420"/>
      <c r="R359" s="2420"/>
      <c r="S359" s="2420"/>
      <c r="T359" s="2420"/>
      <c r="U359" s="2420"/>
      <c r="V359" s="2420"/>
      <c r="W359" s="2420"/>
      <c r="X359" s="2420"/>
      <c r="Y359" s="2420"/>
      <c r="Z359" s="2420"/>
      <c r="AA359" s="2420"/>
      <c r="AB359" s="2420"/>
      <c r="AC359" s="2420"/>
      <c r="AD359" s="2420"/>
      <c r="AE359" s="2420"/>
      <c r="AF359" s="2420"/>
      <c r="AG359" s="2420"/>
      <c r="AH359" s="2420"/>
      <c r="AI359" s="2420"/>
      <c r="AJ359" s="2420"/>
      <c r="AK359" s="163"/>
      <c r="AL359" s="163"/>
      <c r="AM359" s="163"/>
      <c r="AN359" s="439"/>
      <c r="AO359" s="1166"/>
      <c r="AP359" s="1167"/>
      <c r="AS359" s="2417">
        <f>IF(AND(AQ370&gt;0,AQ383&gt;0),(AQ370+AQ383)/2,0)</f>
        <v>16</v>
      </c>
      <c r="AT359" s="2417"/>
    </row>
    <row r="360" spans="1:46" s="46" customFormat="1" ht="12.75" customHeight="1">
      <c r="A360" s="163"/>
      <c r="B360" s="144"/>
      <c r="C360" s="2420"/>
      <c r="D360" s="2420"/>
      <c r="E360" s="2420"/>
      <c r="F360" s="2420"/>
      <c r="G360" s="2420"/>
      <c r="H360" s="2420"/>
      <c r="I360" s="2420"/>
      <c r="J360" s="2420"/>
      <c r="K360" s="2420"/>
      <c r="L360" s="2420"/>
      <c r="M360" s="2420"/>
      <c r="N360" s="2420"/>
      <c r="O360" s="2420"/>
      <c r="P360" s="2420"/>
      <c r="Q360" s="2420"/>
      <c r="R360" s="2420"/>
      <c r="S360" s="2420"/>
      <c r="T360" s="2420"/>
      <c r="U360" s="2420"/>
      <c r="V360" s="2420"/>
      <c r="W360" s="2420"/>
      <c r="X360" s="2420"/>
      <c r="Y360" s="2420"/>
      <c r="Z360" s="2420"/>
      <c r="AA360" s="2420"/>
      <c r="AB360" s="2420"/>
      <c r="AC360" s="2420"/>
      <c r="AD360" s="2420"/>
      <c r="AE360" s="2420"/>
      <c r="AF360" s="2420"/>
      <c r="AG360" s="2420"/>
      <c r="AH360" s="2420"/>
      <c r="AI360" s="2420"/>
      <c r="AJ360" s="2420"/>
      <c r="AK360" s="163"/>
      <c r="AL360" s="163"/>
      <c r="AM360" s="163"/>
      <c r="AN360" s="439"/>
      <c r="AO360" s="1166" t="s">
        <v>1011</v>
      </c>
      <c r="AP360" s="1167">
        <f>IF(C401="Yes",7,0)</f>
        <v>7</v>
      </c>
      <c r="AQ360" s="137"/>
      <c r="AR360" s="137"/>
    </row>
    <row r="361" spans="1:46" s="46" customFormat="1" ht="12.75" customHeight="1">
      <c r="A361" s="163"/>
      <c r="B361" s="144"/>
      <c r="C361" s="2420" t="s">
        <v>2089</v>
      </c>
      <c r="D361" s="2420"/>
      <c r="E361" s="2420"/>
      <c r="F361" s="2420"/>
      <c r="G361" s="2420"/>
      <c r="H361" s="2420"/>
      <c r="I361" s="2420"/>
      <c r="J361" s="2420"/>
      <c r="K361" s="2420"/>
      <c r="L361" s="2420"/>
      <c r="M361" s="2420"/>
      <c r="N361" s="2420"/>
      <c r="O361" s="2420"/>
      <c r="P361" s="2420"/>
      <c r="Q361" s="2420"/>
      <c r="R361" s="2420"/>
      <c r="S361" s="2420"/>
      <c r="T361" s="2420"/>
      <c r="U361" s="2420"/>
      <c r="V361" s="2420"/>
      <c r="W361" s="2420"/>
      <c r="X361" s="2420"/>
      <c r="Y361" s="2420"/>
      <c r="Z361" s="2420"/>
      <c r="AA361" s="2420"/>
      <c r="AB361" s="2420"/>
      <c r="AC361" s="2420"/>
      <c r="AD361" s="2420"/>
      <c r="AE361" s="2420"/>
      <c r="AF361" s="2420"/>
      <c r="AG361" s="2420"/>
      <c r="AH361" s="2420"/>
      <c r="AI361" s="2420"/>
      <c r="AJ361" s="2420"/>
      <c r="AK361" s="163"/>
      <c r="AL361" s="163"/>
      <c r="AM361" s="163"/>
      <c r="AN361" s="439"/>
      <c r="AO361" s="439"/>
      <c r="AP361" s="1167">
        <f>IF(C403="Yes",5,0)</f>
        <v>0</v>
      </c>
    </row>
    <row r="362" spans="1:46" s="46" customFormat="1" ht="12.75" customHeight="1">
      <c r="A362" s="163"/>
      <c r="B362" s="144"/>
      <c r="C362" s="2420"/>
      <c r="D362" s="2420"/>
      <c r="E362" s="2420"/>
      <c r="F362" s="2420"/>
      <c r="G362" s="2420"/>
      <c r="H362" s="2420"/>
      <c r="I362" s="2420"/>
      <c r="J362" s="2420"/>
      <c r="K362" s="2420"/>
      <c r="L362" s="2420"/>
      <c r="M362" s="2420"/>
      <c r="N362" s="2420"/>
      <c r="O362" s="2420"/>
      <c r="P362" s="2420"/>
      <c r="Q362" s="2420"/>
      <c r="R362" s="2420"/>
      <c r="S362" s="2420"/>
      <c r="T362" s="2420"/>
      <c r="U362" s="2420"/>
      <c r="V362" s="2420"/>
      <c r="W362" s="2420"/>
      <c r="X362" s="2420"/>
      <c r="Y362" s="2420"/>
      <c r="Z362" s="2420"/>
      <c r="AA362" s="2420"/>
      <c r="AB362" s="2420"/>
      <c r="AC362" s="2420"/>
      <c r="AD362" s="2420"/>
      <c r="AE362" s="2420"/>
      <c r="AF362" s="2420"/>
      <c r="AG362" s="2420"/>
      <c r="AH362" s="2420"/>
      <c r="AI362" s="2420"/>
      <c r="AJ362" s="2420"/>
      <c r="AK362" s="163"/>
      <c r="AL362" s="163"/>
      <c r="AM362" s="163"/>
      <c r="AN362" s="439"/>
      <c r="AO362" s="439"/>
      <c r="AP362" s="1167"/>
    </row>
    <row r="363" spans="1:46" s="46" customFormat="1" ht="12.75" customHeight="1">
      <c r="A363" s="163"/>
      <c r="B363" s="144"/>
      <c r="C363" s="2420"/>
      <c r="D363" s="2420"/>
      <c r="E363" s="2420"/>
      <c r="F363" s="2420"/>
      <c r="G363" s="2420"/>
      <c r="H363" s="2420"/>
      <c r="I363" s="2420"/>
      <c r="J363" s="2420"/>
      <c r="K363" s="2420"/>
      <c r="L363" s="2420"/>
      <c r="M363" s="2420"/>
      <c r="N363" s="2420"/>
      <c r="O363" s="2420"/>
      <c r="P363" s="2420"/>
      <c r="Q363" s="2420"/>
      <c r="R363" s="2420"/>
      <c r="S363" s="2420"/>
      <c r="T363" s="2420"/>
      <c r="U363" s="2420"/>
      <c r="V363" s="2420"/>
      <c r="W363" s="2420"/>
      <c r="X363" s="2420"/>
      <c r="Y363" s="2420"/>
      <c r="Z363" s="2420"/>
      <c r="AA363" s="2420"/>
      <c r="AB363" s="2420"/>
      <c r="AC363" s="2420"/>
      <c r="AD363" s="2420"/>
      <c r="AE363" s="2420"/>
      <c r="AF363" s="2420"/>
      <c r="AG363" s="2420"/>
      <c r="AH363" s="2420"/>
      <c r="AI363" s="2420"/>
      <c r="AJ363" s="2420"/>
      <c r="AK363" s="163"/>
      <c r="AL363" s="163"/>
      <c r="AM363" s="163"/>
      <c r="AN363" s="439"/>
      <c r="AO363" s="1166" t="s">
        <v>480</v>
      </c>
      <c r="AP363" s="1167">
        <f>IF(C411="Yes",5,0)</f>
        <v>0</v>
      </c>
    </row>
    <row r="364" spans="1:46" s="46" customFormat="1" ht="11.7" customHeight="1">
      <c r="A364" s="163"/>
      <c r="B364" s="144"/>
      <c r="C364" s="2420"/>
      <c r="D364" s="2420"/>
      <c r="E364" s="2420"/>
      <c r="F364" s="2420"/>
      <c r="G364" s="2420"/>
      <c r="H364" s="2420"/>
      <c r="I364" s="2420"/>
      <c r="J364" s="2420"/>
      <c r="K364" s="2420"/>
      <c r="L364" s="2420"/>
      <c r="M364" s="2420"/>
      <c r="N364" s="2420"/>
      <c r="O364" s="2420"/>
      <c r="P364" s="2420"/>
      <c r="Q364" s="2420"/>
      <c r="R364" s="2420"/>
      <c r="S364" s="2420"/>
      <c r="T364" s="2420"/>
      <c r="U364" s="2420"/>
      <c r="V364" s="2420"/>
      <c r="W364" s="2420"/>
      <c r="X364" s="2420"/>
      <c r="Y364" s="2420"/>
      <c r="Z364" s="2420"/>
      <c r="AA364" s="2420"/>
      <c r="AB364" s="2420"/>
      <c r="AC364" s="2420"/>
      <c r="AD364" s="2420"/>
      <c r="AE364" s="2420"/>
      <c r="AF364" s="2420"/>
      <c r="AG364" s="2420"/>
      <c r="AH364" s="2420"/>
      <c r="AI364" s="2420"/>
      <c r="AJ364" s="2420"/>
      <c r="AK364" s="163"/>
      <c r="AL364" s="163"/>
      <c r="AM364" s="163"/>
      <c r="AN364" s="439"/>
      <c r="AO364" s="439"/>
      <c r="AP364" s="1167">
        <f>IF(C413="Yes",3,0)</f>
        <v>0</v>
      </c>
    </row>
    <row r="365" spans="1:46" s="46" customFormat="1" ht="12.45" customHeight="1">
      <c r="A365" s="163"/>
      <c r="B365" s="144"/>
      <c r="C365" s="2420"/>
      <c r="D365" s="2420"/>
      <c r="E365" s="2420"/>
      <c r="F365" s="2420"/>
      <c r="G365" s="2420"/>
      <c r="H365" s="2420"/>
      <c r="I365" s="2420"/>
      <c r="J365" s="2420"/>
      <c r="K365" s="2420"/>
      <c r="L365" s="2420"/>
      <c r="M365" s="2420"/>
      <c r="N365" s="2420"/>
      <c r="O365" s="2420"/>
      <c r="P365" s="2420"/>
      <c r="Q365" s="2420"/>
      <c r="R365" s="2420"/>
      <c r="S365" s="2420"/>
      <c r="T365" s="2420"/>
      <c r="U365" s="2420"/>
      <c r="V365" s="2420"/>
      <c r="W365" s="2420"/>
      <c r="X365" s="2420"/>
      <c r="Y365" s="2420"/>
      <c r="Z365" s="2420"/>
      <c r="AA365" s="2420"/>
      <c r="AB365" s="2420"/>
      <c r="AC365" s="2420"/>
      <c r="AD365" s="2420"/>
      <c r="AE365" s="2420"/>
      <c r="AF365" s="2420"/>
      <c r="AG365" s="2420"/>
      <c r="AH365" s="2420"/>
      <c r="AI365" s="2420"/>
      <c r="AJ365" s="2420"/>
      <c r="AK365" s="163"/>
      <c r="AL365" s="163"/>
      <c r="AM365" s="163"/>
      <c r="AN365" s="439"/>
      <c r="AO365" s="439"/>
      <c r="AP365" s="1167"/>
    </row>
    <row r="366" spans="1:46" s="46" customFormat="1" ht="12.75" customHeight="1">
      <c r="A366" s="163"/>
      <c r="B366" s="144"/>
      <c r="C366" s="2420"/>
      <c r="D366" s="2420"/>
      <c r="E366" s="2420"/>
      <c r="F366" s="2420"/>
      <c r="G366" s="2420"/>
      <c r="H366" s="2420"/>
      <c r="I366" s="2420"/>
      <c r="J366" s="2420"/>
      <c r="K366" s="2420"/>
      <c r="L366" s="2420"/>
      <c r="M366" s="2420"/>
      <c r="N366" s="2420"/>
      <c r="O366" s="2420"/>
      <c r="P366" s="2420"/>
      <c r="Q366" s="2420"/>
      <c r="R366" s="2420"/>
      <c r="S366" s="2420"/>
      <c r="T366" s="2420"/>
      <c r="U366" s="2420"/>
      <c r="V366" s="2420"/>
      <c r="W366" s="2420"/>
      <c r="X366" s="2420"/>
      <c r="Y366" s="2420"/>
      <c r="Z366" s="2420"/>
      <c r="AA366" s="2420"/>
      <c r="AB366" s="2420"/>
      <c r="AC366" s="2420"/>
      <c r="AD366" s="2420"/>
      <c r="AE366" s="2420"/>
      <c r="AF366" s="2420"/>
      <c r="AG366" s="2420"/>
      <c r="AH366" s="2420"/>
      <c r="AI366" s="2420"/>
      <c r="AJ366" s="2420"/>
      <c r="AK366" s="163"/>
      <c r="AL366" s="163"/>
      <c r="AM366" s="163"/>
      <c r="AN366" s="439"/>
      <c r="AO366" s="1166" t="s">
        <v>188</v>
      </c>
      <c r="AP366" s="1167">
        <f>IF(C416="Yes",5,0)</f>
        <v>0</v>
      </c>
    </row>
    <row r="367" spans="1:46" s="46" customFormat="1" ht="12.75" customHeight="1">
      <c r="A367" s="163"/>
      <c r="B367" s="144"/>
      <c r="C367" s="2420"/>
      <c r="D367" s="2420"/>
      <c r="E367" s="2420"/>
      <c r="F367" s="2420"/>
      <c r="G367" s="2420"/>
      <c r="H367" s="2420"/>
      <c r="I367" s="2420"/>
      <c r="J367" s="2420"/>
      <c r="K367" s="2420"/>
      <c r="L367" s="2420"/>
      <c r="M367" s="2420"/>
      <c r="N367" s="2420"/>
      <c r="O367" s="2420"/>
      <c r="P367" s="2420"/>
      <c r="Q367" s="2420"/>
      <c r="R367" s="2420"/>
      <c r="S367" s="2420"/>
      <c r="T367" s="2420"/>
      <c r="U367" s="2420"/>
      <c r="V367" s="2420"/>
      <c r="W367" s="2420"/>
      <c r="X367" s="2420"/>
      <c r="Y367" s="2420"/>
      <c r="Z367" s="2420"/>
      <c r="AA367" s="2420"/>
      <c r="AB367" s="2420"/>
      <c r="AC367" s="2420"/>
      <c r="AD367" s="2420"/>
      <c r="AE367" s="2420"/>
      <c r="AF367" s="2420"/>
      <c r="AG367" s="2420"/>
      <c r="AH367" s="2420"/>
      <c r="AI367" s="2420"/>
      <c r="AJ367" s="2420"/>
      <c r="AK367" s="163"/>
      <c r="AL367" s="163"/>
      <c r="AM367" s="163"/>
      <c r="AN367" s="439"/>
      <c r="AO367" s="1166" t="s">
        <v>483</v>
      </c>
      <c r="AP367" s="1167">
        <f>IF(C425="Yes",5,0)</f>
        <v>0</v>
      </c>
    </row>
    <row r="368" spans="1:46" s="46" customFormat="1" ht="12.75" customHeight="1">
      <c r="A368" s="163"/>
      <c r="B368" s="144"/>
      <c r="C368" s="2420" t="s">
        <v>2090</v>
      </c>
      <c r="D368" s="2420"/>
      <c r="E368" s="2420"/>
      <c r="F368" s="2420"/>
      <c r="G368" s="2420"/>
      <c r="H368" s="2420"/>
      <c r="I368" s="2420"/>
      <c r="J368" s="2420"/>
      <c r="K368" s="2420"/>
      <c r="L368" s="2420"/>
      <c r="M368" s="2420"/>
      <c r="N368" s="2420"/>
      <c r="O368" s="2420"/>
      <c r="P368" s="2420"/>
      <c r="Q368" s="2420"/>
      <c r="R368" s="2420"/>
      <c r="S368" s="2420"/>
      <c r="T368" s="2420"/>
      <c r="U368" s="2420"/>
      <c r="V368" s="2420"/>
      <c r="W368" s="2420"/>
      <c r="X368" s="2420"/>
      <c r="Y368" s="2420"/>
      <c r="Z368" s="2420"/>
      <c r="AA368" s="2420"/>
      <c r="AB368" s="2420"/>
      <c r="AC368" s="2420"/>
      <c r="AD368" s="2420"/>
      <c r="AE368" s="2420"/>
      <c r="AF368" s="2420"/>
      <c r="AG368" s="2420"/>
      <c r="AH368" s="2420"/>
      <c r="AI368" s="2420"/>
      <c r="AJ368" s="2420"/>
      <c r="AK368" s="163"/>
      <c r="AL368" s="163"/>
      <c r="AM368" s="163"/>
      <c r="AN368" s="439"/>
      <c r="AO368" s="439"/>
      <c r="AP368" s="1167">
        <f>IF(C427="Yes",3,0)</f>
        <v>0</v>
      </c>
    </row>
    <row r="369" spans="1:153" s="46" customFormat="1" ht="12.75" customHeight="1">
      <c r="A369" s="163"/>
      <c r="B369" s="144"/>
      <c r="C369" s="2420"/>
      <c r="D369" s="2420"/>
      <c r="E369" s="2420"/>
      <c r="F369" s="2420"/>
      <c r="G369" s="2420"/>
      <c r="H369" s="2420"/>
      <c r="I369" s="2420"/>
      <c r="J369" s="2420"/>
      <c r="K369" s="2420"/>
      <c r="L369" s="2420"/>
      <c r="M369" s="2420"/>
      <c r="N369" s="2420"/>
      <c r="O369" s="2420"/>
      <c r="P369" s="2420"/>
      <c r="Q369" s="2420"/>
      <c r="R369" s="2420"/>
      <c r="S369" s="2420"/>
      <c r="T369" s="2420"/>
      <c r="U369" s="2420"/>
      <c r="V369" s="2420"/>
      <c r="W369" s="2420"/>
      <c r="X369" s="2420"/>
      <c r="Y369" s="2420"/>
      <c r="Z369" s="2420"/>
      <c r="AA369" s="2420"/>
      <c r="AB369" s="2420"/>
      <c r="AC369" s="2420"/>
      <c r="AD369" s="2420"/>
      <c r="AE369" s="2420"/>
      <c r="AF369" s="2420"/>
      <c r="AG369" s="2420"/>
      <c r="AH369" s="2420"/>
      <c r="AI369" s="2420"/>
      <c r="AJ369" s="2420"/>
      <c r="AK369" s="163"/>
      <c r="AL369" s="163"/>
      <c r="AM369" s="163"/>
      <c r="AN369" s="439"/>
      <c r="AO369" s="1168"/>
      <c r="AP369" s="1169"/>
    </row>
    <row r="370" spans="1:153" s="46" customFormat="1" ht="67.95" customHeight="1">
      <c r="A370" s="163"/>
      <c r="B370" s="144"/>
      <c r="C370" s="2420"/>
      <c r="D370" s="2420"/>
      <c r="E370" s="2420"/>
      <c r="F370" s="2420"/>
      <c r="G370" s="2420"/>
      <c r="H370" s="2420"/>
      <c r="I370" s="2420"/>
      <c r="J370" s="2420"/>
      <c r="K370" s="2420"/>
      <c r="L370" s="2420"/>
      <c r="M370" s="2420"/>
      <c r="N370" s="2420"/>
      <c r="O370" s="2420"/>
      <c r="P370" s="2420"/>
      <c r="Q370" s="2420"/>
      <c r="R370" s="2420"/>
      <c r="S370" s="2420"/>
      <c r="T370" s="2420"/>
      <c r="U370" s="2420"/>
      <c r="V370" s="2420"/>
      <c r="W370" s="2420"/>
      <c r="X370" s="2420"/>
      <c r="Y370" s="2420"/>
      <c r="Z370" s="2420"/>
      <c r="AA370" s="2420"/>
      <c r="AB370" s="2420"/>
      <c r="AC370" s="2420"/>
      <c r="AD370" s="2420"/>
      <c r="AE370" s="2420"/>
      <c r="AF370" s="2420"/>
      <c r="AG370" s="2420"/>
      <c r="AH370" s="2420"/>
      <c r="AI370" s="2420"/>
      <c r="AJ370" s="2420"/>
      <c r="AK370" s="163"/>
      <c r="AL370" s="163"/>
      <c r="AM370" s="163"/>
      <c r="AN370" s="439"/>
      <c r="AO370" s="1170" t="s">
        <v>676</v>
      </c>
      <c r="AP370" s="1171">
        <f>SUM(AP356:AP369)</f>
        <v>17</v>
      </c>
      <c r="AQ370" s="2406">
        <f>IF(AP370&gt;0,AP370,0)</f>
        <v>17</v>
      </c>
      <c r="AR370" s="2406"/>
    </row>
    <row r="371" spans="1:153" s="46" customFormat="1" ht="12.45" customHeight="1">
      <c r="A371" s="163"/>
      <c r="B371" s="144"/>
      <c r="C371" s="435" t="s">
        <v>1669</v>
      </c>
      <c r="AF371" s="163"/>
      <c r="AG371" s="163"/>
      <c r="AH371" s="163"/>
      <c r="AI371" s="163"/>
      <c r="AJ371" s="163"/>
      <c r="AK371" s="163"/>
      <c r="AL371" s="163"/>
      <c r="AM371" s="163"/>
      <c r="AN371" s="439"/>
      <c r="AO371" s="1166" t="s">
        <v>810</v>
      </c>
      <c r="AP371" s="1167">
        <f>IF(C434="Yes",5,0)</f>
        <v>5</v>
      </c>
    </row>
    <row r="372" spans="1:153" s="46" customFormat="1" ht="12.75" customHeight="1">
      <c r="A372" s="163"/>
      <c r="B372" s="144"/>
      <c r="C372" s="1172" t="s">
        <v>2209</v>
      </c>
      <c r="D372" s="1173"/>
      <c r="E372" s="1173"/>
      <c r="F372" s="1173"/>
      <c r="G372" s="1173"/>
      <c r="H372" s="1173"/>
      <c r="I372" s="1173"/>
      <c r="J372" s="1173"/>
      <c r="K372" s="1173"/>
      <c r="L372" s="1173"/>
      <c r="M372" s="342"/>
      <c r="N372" s="342"/>
      <c r="O372" s="1174"/>
      <c r="P372" s="1173"/>
      <c r="Q372" s="1173"/>
      <c r="R372" s="342"/>
      <c r="S372" s="342"/>
      <c r="T372" s="1173"/>
      <c r="U372" s="2415">
        <f>'Service Amenities Budget'!J10</f>
        <v>60</v>
      </c>
      <c r="V372" s="2415"/>
      <c r="W372" s="2415"/>
      <c r="X372" s="1173"/>
      <c r="Y372" s="1173"/>
      <c r="Z372" s="1173"/>
      <c r="AA372" s="1175"/>
      <c r="AB372" s="434"/>
      <c r="AC372" s="434"/>
      <c r="AD372" s="434"/>
      <c r="AE372" s="163"/>
      <c r="AF372" s="163"/>
      <c r="AG372" s="163"/>
      <c r="AH372" s="163"/>
      <c r="AI372" s="163"/>
      <c r="AJ372" s="163"/>
      <c r="AK372" s="163"/>
      <c r="AL372" s="163"/>
      <c r="AM372" s="163"/>
      <c r="AN372" s="439"/>
      <c r="AO372" s="439"/>
      <c r="AP372" s="1167"/>
    </row>
    <row r="373" spans="1:153" s="46" customFormat="1" ht="12.75" customHeight="1">
      <c r="A373" s="163"/>
      <c r="B373" s="144"/>
      <c r="C373" s="1178" t="s">
        <v>2006</v>
      </c>
      <c r="D373" s="1176"/>
      <c r="E373" s="1176"/>
      <c r="F373" s="1176"/>
      <c r="G373" s="1176"/>
      <c r="H373" s="1176"/>
      <c r="I373" s="1176"/>
      <c r="J373" s="1176"/>
      <c r="K373" s="1176"/>
      <c r="L373" s="1176"/>
      <c r="M373" s="257"/>
      <c r="N373" s="257"/>
      <c r="O373" s="1176"/>
      <c r="P373" s="1176"/>
      <c r="Q373" s="1176"/>
      <c r="R373" s="1176"/>
      <c r="S373" s="1176"/>
      <c r="T373" s="1176"/>
      <c r="U373" s="2416">
        <f>'Service Amenities Budget'!J9</f>
        <v>44</v>
      </c>
      <c r="V373" s="2416"/>
      <c r="W373" s="2416"/>
      <c r="X373" s="1176"/>
      <c r="Y373" s="1176"/>
      <c r="Z373" s="1176"/>
      <c r="AA373" s="1177"/>
      <c r="AB373" s="435"/>
      <c r="AC373" s="433"/>
      <c r="AD373" s="433"/>
      <c r="AE373" s="163"/>
      <c r="AF373" s="163"/>
      <c r="AG373" s="163"/>
      <c r="AH373" s="163"/>
      <c r="AI373" s="163"/>
      <c r="AJ373" s="163"/>
      <c r="AK373" s="163"/>
      <c r="AL373" s="163"/>
      <c r="AM373" s="163"/>
      <c r="AN373" s="439"/>
      <c r="AO373" s="1166" t="s">
        <v>811</v>
      </c>
      <c r="AP373" s="1167">
        <f>IF(C446="Yes",5,0)</f>
        <v>5</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7"/>
      <c r="AO374" s="439"/>
      <c r="AP374" s="1167"/>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6" t="s">
        <v>606</v>
      </c>
      <c r="AP375" s="1167">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7"/>
      <c r="AP376" s="1167"/>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3"/>
      <c r="D377" s="1184"/>
      <c r="E377" s="1185" t="s">
        <v>795</v>
      </c>
      <c r="F377" s="2391" t="s">
        <v>2016</v>
      </c>
      <c r="G377" s="2391"/>
      <c r="H377" s="2391"/>
      <c r="I377" s="2391"/>
      <c r="J377" s="2391"/>
      <c r="K377" s="2391"/>
      <c r="L377" s="2391"/>
      <c r="M377" s="2391"/>
      <c r="N377" s="2391"/>
      <c r="O377" s="2391"/>
      <c r="P377" s="2391"/>
      <c r="Q377" s="2391"/>
      <c r="R377" s="2391"/>
      <c r="S377" s="2391"/>
      <c r="T377" s="2391"/>
      <c r="U377" s="2391"/>
      <c r="V377" s="2391"/>
      <c r="W377" s="2391"/>
      <c r="X377" s="2391"/>
      <c r="Y377" s="2391"/>
      <c r="Z377" s="2391"/>
      <c r="AA377" s="2391"/>
      <c r="AB377" s="2391"/>
      <c r="AC377" s="2391"/>
      <c r="AD377" s="2391"/>
      <c r="AE377" s="2391"/>
      <c r="AF377" s="2391"/>
      <c r="AG377" s="1326"/>
      <c r="AH377" s="1326"/>
      <c r="AI377" s="1326"/>
      <c r="AJ377" s="1326"/>
      <c r="AK377" s="1326"/>
      <c r="AL377" s="1322"/>
      <c r="AM377" s="16"/>
      <c r="AN377" s="439"/>
      <c r="AO377" s="439"/>
      <c r="AP377" s="1167"/>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6"/>
      <c r="D378" s="71"/>
      <c r="E378" s="350"/>
      <c r="F378" s="2392"/>
      <c r="G378" s="2392"/>
      <c r="H378" s="2392"/>
      <c r="I378" s="2392"/>
      <c r="J378" s="2392"/>
      <c r="K378" s="2392"/>
      <c r="L378" s="2392"/>
      <c r="M378" s="2392"/>
      <c r="N378" s="2392"/>
      <c r="O378" s="2392"/>
      <c r="P378" s="2392"/>
      <c r="Q378" s="2392"/>
      <c r="R378" s="2392"/>
      <c r="S378" s="2392"/>
      <c r="T378" s="2392"/>
      <c r="U378" s="2392"/>
      <c r="V378" s="2392"/>
      <c r="W378" s="2392"/>
      <c r="X378" s="2392"/>
      <c r="Y378" s="2392"/>
      <c r="Z378" s="2392"/>
      <c r="AA378" s="2392"/>
      <c r="AB378" s="2392"/>
      <c r="AC378" s="2392"/>
      <c r="AD378" s="2392"/>
      <c r="AE378" s="2392"/>
      <c r="AF378" s="2392"/>
      <c r="AG378" s="679"/>
      <c r="AH378" s="679"/>
      <c r="AI378" s="679"/>
      <c r="AJ378" s="679"/>
      <c r="AK378" s="679"/>
      <c r="AL378" s="1386"/>
      <c r="AM378" s="16"/>
      <c r="AN378" s="439"/>
      <c r="AO378" s="1166" t="s">
        <v>191</v>
      </c>
      <c r="AP378" s="1167">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6"/>
      <c r="D379" s="71"/>
      <c r="E379" s="350"/>
      <c r="F379" s="2392"/>
      <c r="G379" s="2392"/>
      <c r="H379" s="2392"/>
      <c r="I379" s="2392"/>
      <c r="J379" s="2392"/>
      <c r="K379" s="2392"/>
      <c r="L379" s="2392"/>
      <c r="M379" s="2392"/>
      <c r="N379" s="2392"/>
      <c r="O379" s="2392"/>
      <c r="P379" s="2392"/>
      <c r="Q379" s="2392"/>
      <c r="R379" s="2392"/>
      <c r="S379" s="2392"/>
      <c r="T379" s="2392"/>
      <c r="U379" s="2392"/>
      <c r="V379" s="2392"/>
      <c r="W379" s="2392"/>
      <c r="X379" s="2392"/>
      <c r="Y379" s="2392"/>
      <c r="Z379" s="2392"/>
      <c r="AA379" s="2392"/>
      <c r="AB379" s="2392"/>
      <c r="AC379" s="2392"/>
      <c r="AD379" s="2392"/>
      <c r="AE379" s="2392"/>
      <c r="AF379" s="2392"/>
      <c r="AG379" s="679"/>
      <c r="AH379" s="679"/>
      <c r="AI379" s="679"/>
      <c r="AJ379" s="679"/>
      <c r="AK379" s="679"/>
      <c r="AL379" s="1386"/>
      <c r="AM379" s="16"/>
      <c r="AN379" s="439"/>
      <c r="AO379" s="1166" t="s">
        <v>37</v>
      </c>
      <c r="AP379" s="1167">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6"/>
      <c r="D380" s="71"/>
      <c r="E380" s="350"/>
      <c r="F380" s="2392"/>
      <c r="G380" s="2392"/>
      <c r="H380" s="2392"/>
      <c r="I380" s="2392"/>
      <c r="J380" s="2392"/>
      <c r="K380" s="2392"/>
      <c r="L380" s="2392"/>
      <c r="M380" s="2392"/>
      <c r="N380" s="2392"/>
      <c r="O380" s="2392"/>
      <c r="P380" s="2392"/>
      <c r="Q380" s="2392"/>
      <c r="R380" s="2392"/>
      <c r="S380" s="2392"/>
      <c r="T380" s="2392"/>
      <c r="U380" s="2392"/>
      <c r="V380" s="2392"/>
      <c r="W380" s="2392"/>
      <c r="X380" s="2392"/>
      <c r="Y380" s="2392"/>
      <c r="Z380" s="2392"/>
      <c r="AA380" s="2392"/>
      <c r="AB380" s="2392"/>
      <c r="AC380" s="2392"/>
      <c r="AD380" s="2392"/>
      <c r="AE380" s="2392"/>
      <c r="AF380" s="2392"/>
      <c r="AG380" s="679"/>
      <c r="AH380" s="679"/>
      <c r="AI380" s="679"/>
      <c r="AJ380" s="679"/>
      <c r="AK380" s="679"/>
      <c r="AL380" s="1386"/>
      <c r="AM380" s="16"/>
      <c r="AN380" s="439"/>
      <c r="AO380" s="1166" t="s">
        <v>38</v>
      </c>
      <c r="AP380" s="1167">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4" t="s">
        <v>119</v>
      </c>
      <c r="D381" s="1696"/>
      <c r="E381" s="350"/>
      <c r="F381" s="1181" t="s">
        <v>2008</v>
      </c>
      <c r="G381" s="1182"/>
      <c r="H381" s="1182"/>
      <c r="I381" s="1182"/>
      <c r="J381" s="1182"/>
      <c r="K381" s="1182"/>
      <c r="L381" s="1182"/>
      <c r="M381" s="1182"/>
      <c r="N381" s="1182"/>
      <c r="O381" s="1182"/>
      <c r="P381" s="1182"/>
      <c r="Q381" s="1182"/>
      <c r="R381" s="1182"/>
      <c r="S381" s="1182"/>
      <c r="T381" s="1182"/>
      <c r="U381" s="1182"/>
      <c r="V381" s="1182"/>
      <c r="W381" s="1182"/>
      <c r="X381" s="1182"/>
      <c r="Y381" s="1182"/>
      <c r="Z381" s="1182"/>
      <c r="AA381" s="1182"/>
      <c r="AB381" s="1182"/>
      <c r="AC381" s="1182"/>
      <c r="AD381" s="1182"/>
      <c r="AE381" s="162"/>
      <c r="AF381" s="2407" t="s">
        <v>355</v>
      </c>
      <c r="AG381" s="2407"/>
      <c r="AH381" s="2407"/>
      <c r="AI381" s="2407"/>
      <c r="AJ381" s="2407"/>
      <c r="AK381" s="2407"/>
      <c r="AL381" s="2408"/>
      <c r="AM381" s="1420"/>
      <c r="AO381" s="439"/>
      <c r="AP381" s="1167"/>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2"/>
      <c r="D382" s="1200"/>
      <c r="E382" s="1189"/>
      <c r="F382" s="1384"/>
      <c r="G382" s="1384"/>
      <c r="H382" s="1384"/>
      <c r="I382" s="1384"/>
      <c r="J382" s="1384"/>
      <c r="K382" s="1384"/>
      <c r="L382" s="1384"/>
      <c r="M382" s="1384"/>
      <c r="N382" s="1384"/>
      <c r="O382" s="1384"/>
      <c r="P382" s="1384"/>
      <c r="Q382" s="1384"/>
      <c r="R382" s="1384"/>
      <c r="S382" s="1384"/>
      <c r="T382" s="1384"/>
      <c r="U382" s="1384"/>
      <c r="V382" s="1384"/>
      <c r="W382" s="1384"/>
      <c r="X382" s="1384"/>
      <c r="Y382" s="1384"/>
      <c r="Z382" s="1384"/>
      <c r="AA382" s="1384"/>
      <c r="AB382" s="1384"/>
      <c r="AC382" s="1384"/>
      <c r="AD382" s="1384"/>
      <c r="AE382" s="1388"/>
      <c r="AF382" s="1388"/>
      <c r="AG382" s="1388"/>
      <c r="AH382" s="1388"/>
      <c r="AI382" s="1388"/>
      <c r="AJ382" s="1388"/>
      <c r="AK382" s="1388"/>
      <c r="AL382" s="1389"/>
      <c r="AM382" s="16"/>
      <c r="AN382" s="439"/>
      <c r="AO382" s="1168"/>
      <c r="AP382" s="1169"/>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1"/>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15</v>
      </c>
      <c r="AQ383" s="2406">
        <f>IF(AP383&gt;0,AP383,0)</f>
        <v>15</v>
      </c>
      <c r="AR383" s="2406"/>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9"/>
      <c r="D384" s="1159"/>
      <c r="E384" s="350"/>
      <c r="F384" s="1181"/>
      <c r="G384" s="1182"/>
      <c r="H384" s="1182"/>
      <c r="I384" s="1182"/>
      <c r="J384" s="1182"/>
      <c r="K384" s="1182"/>
      <c r="L384" s="1182"/>
      <c r="M384" s="1182"/>
      <c r="N384" s="1182"/>
      <c r="O384" s="1182"/>
      <c r="P384" s="1182"/>
      <c r="Q384" s="1182"/>
      <c r="R384" s="1182"/>
      <c r="S384" s="1182"/>
      <c r="T384" s="1182"/>
      <c r="U384" s="1182"/>
      <c r="V384" s="1182"/>
      <c r="W384" s="1182"/>
      <c r="X384" s="1182"/>
      <c r="Y384" s="1182"/>
      <c r="Z384" s="1182"/>
      <c r="AA384" s="1182"/>
      <c r="AB384" s="1182"/>
      <c r="AC384" s="1182"/>
      <c r="AD384" s="1182"/>
      <c r="AL384" s="1299"/>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2"/>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3"/>
      <c r="D386" s="1184"/>
      <c r="E386" s="1185" t="s">
        <v>207</v>
      </c>
      <c r="F386" s="2391" t="s">
        <v>2015</v>
      </c>
      <c r="G386" s="2391"/>
      <c r="H386" s="2391"/>
      <c r="I386" s="2391"/>
      <c r="J386" s="2391"/>
      <c r="K386" s="2391"/>
      <c r="L386" s="2391"/>
      <c r="M386" s="2391"/>
      <c r="N386" s="2391"/>
      <c r="O386" s="2391"/>
      <c r="P386" s="2391"/>
      <c r="Q386" s="2391"/>
      <c r="R386" s="2391"/>
      <c r="S386" s="2391"/>
      <c r="T386" s="2391"/>
      <c r="U386" s="2391"/>
      <c r="V386" s="2391"/>
      <c r="W386" s="2391"/>
      <c r="X386" s="2391"/>
      <c r="Y386" s="2391"/>
      <c r="Z386" s="2391"/>
      <c r="AA386" s="2391"/>
      <c r="AB386" s="2391"/>
      <c r="AC386" s="2391"/>
      <c r="AD386" s="2391"/>
      <c r="AE386" s="2391"/>
      <c r="AF386" s="2391"/>
      <c r="AG386" s="1326"/>
      <c r="AH386" s="1326"/>
      <c r="AI386" s="1326"/>
      <c r="AJ386" s="1326"/>
      <c r="AK386" s="1326"/>
      <c r="AL386" s="1322"/>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1"/>
      <c r="D387" s="125"/>
      <c r="E387" s="306"/>
      <c r="F387" s="2392"/>
      <c r="G387" s="2392"/>
      <c r="H387" s="2392"/>
      <c r="I387" s="2392"/>
      <c r="J387" s="2392"/>
      <c r="K387" s="2392"/>
      <c r="L387" s="2392"/>
      <c r="M387" s="2392"/>
      <c r="N387" s="2392"/>
      <c r="O387" s="2392"/>
      <c r="P387" s="2392"/>
      <c r="Q387" s="2392"/>
      <c r="R387" s="2392"/>
      <c r="S387" s="2392"/>
      <c r="T387" s="2392"/>
      <c r="U387" s="2392"/>
      <c r="V387" s="2392"/>
      <c r="W387" s="2392"/>
      <c r="X387" s="2392"/>
      <c r="Y387" s="2392"/>
      <c r="Z387" s="2392"/>
      <c r="AA387" s="2392"/>
      <c r="AB387" s="2392"/>
      <c r="AC387" s="2392"/>
      <c r="AD387" s="2392"/>
      <c r="AE387" s="2392"/>
      <c r="AF387" s="2392"/>
      <c r="AG387" s="679"/>
      <c r="AH387" s="679"/>
      <c r="AI387" s="679"/>
      <c r="AJ387" s="679"/>
      <c r="AK387" s="679"/>
      <c r="AL387" s="1316"/>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1"/>
      <c r="D388" s="125"/>
      <c r="E388" s="306"/>
      <c r="F388" s="2392"/>
      <c r="G388" s="2392"/>
      <c r="H388" s="2392"/>
      <c r="I388" s="2392"/>
      <c r="J388" s="2392"/>
      <c r="K388" s="2392"/>
      <c r="L388" s="2392"/>
      <c r="M388" s="2392"/>
      <c r="N388" s="2392"/>
      <c r="O388" s="2392"/>
      <c r="P388" s="2392"/>
      <c r="Q388" s="2392"/>
      <c r="R388" s="2392"/>
      <c r="S388" s="2392"/>
      <c r="T388" s="2392"/>
      <c r="U388" s="2392"/>
      <c r="V388" s="2392"/>
      <c r="W388" s="2392"/>
      <c r="X388" s="2392"/>
      <c r="Y388" s="2392"/>
      <c r="Z388" s="2392"/>
      <c r="AA388" s="2392"/>
      <c r="AB388" s="2392"/>
      <c r="AC388" s="2392"/>
      <c r="AD388" s="2392"/>
      <c r="AE388" s="2392"/>
      <c r="AF388" s="2392"/>
      <c r="AG388" s="679"/>
      <c r="AH388" s="679"/>
      <c r="AI388" s="679"/>
      <c r="AJ388" s="679"/>
      <c r="AK388" s="679"/>
      <c r="AL388" s="1316"/>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1"/>
      <c r="D389" s="125"/>
      <c r="E389" s="306"/>
      <c r="F389" s="2392"/>
      <c r="G389" s="2392"/>
      <c r="H389" s="2392"/>
      <c r="I389" s="2392"/>
      <c r="J389" s="2392"/>
      <c r="K389" s="2392"/>
      <c r="L389" s="2392"/>
      <c r="M389" s="2392"/>
      <c r="N389" s="2392"/>
      <c r="O389" s="2392"/>
      <c r="P389" s="2392"/>
      <c r="Q389" s="2392"/>
      <c r="R389" s="2392"/>
      <c r="S389" s="2392"/>
      <c r="T389" s="2392"/>
      <c r="U389" s="2392"/>
      <c r="V389" s="2392"/>
      <c r="W389" s="2392"/>
      <c r="X389" s="2392"/>
      <c r="Y389" s="2392"/>
      <c r="Z389" s="2392"/>
      <c r="AA389" s="2392"/>
      <c r="AB389" s="2392"/>
      <c r="AC389" s="2392"/>
      <c r="AD389" s="2392"/>
      <c r="AE389" s="2392"/>
      <c r="AF389" s="2392"/>
      <c r="AG389" s="679"/>
      <c r="AH389" s="679"/>
      <c r="AI389" s="679"/>
      <c r="AJ389" s="679"/>
      <c r="AK389" s="679"/>
      <c r="AL389" s="1316"/>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1"/>
      <c r="D390" s="125"/>
      <c r="E390" s="306"/>
      <c r="F390" s="2392"/>
      <c r="G390" s="2392"/>
      <c r="H390" s="2392"/>
      <c r="I390" s="2392"/>
      <c r="J390" s="2392"/>
      <c r="K390" s="2392"/>
      <c r="L390" s="2392"/>
      <c r="M390" s="2392"/>
      <c r="N390" s="2392"/>
      <c r="O390" s="2392"/>
      <c r="P390" s="2392"/>
      <c r="Q390" s="2392"/>
      <c r="R390" s="2392"/>
      <c r="S390" s="2392"/>
      <c r="T390" s="2392"/>
      <c r="U390" s="2392"/>
      <c r="V390" s="2392"/>
      <c r="W390" s="2392"/>
      <c r="X390" s="2392"/>
      <c r="Y390" s="2392"/>
      <c r="Z390" s="2392"/>
      <c r="AA390" s="2392"/>
      <c r="AB390" s="2392"/>
      <c r="AC390" s="2392"/>
      <c r="AD390" s="2392"/>
      <c r="AE390" s="2392"/>
      <c r="AF390" s="2392"/>
      <c r="AG390" s="162"/>
      <c r="AH390" s="162"/>
      <c r="AI390" s="162"/>
      <c r="AJ390" s="162"/>
      <c r="AK390" s="162"/>
      <c r="AL390" s="1192"/>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4" t="s">
        <v>119</v>
      </c>
      <c r="D391" s="1696"/>
      <c r="E391" s="306"/>
      <c r="F391" s="1181" t="s">
        <v>2009</v>
      </c>
      <c r="G391" s="1182"/>
      <c r="H391" s="1182"/>
      <c r="I391" s="1182"/>
      <c r="J391" s="1182"/>
      <c r="K391" s="1182"/>
      <c r="L391" s="1182"/>
      <c r="M391" s="1182"/>
      <c r="N391" s="1182"/>
      <c r="O391" s="1182"/>
      <c r="P391" s="1182"/>
      <c r="Q391" s="1182"/>
      <c r="R391" s="1182"/>
      <c r="S391" s="1182"/>
      <c r="T391" s="1182"/>
      <c r="U391" s="1182"/>
      <c r="V391" s="1182"/>
      <c r="W391" s="1182"/>
      <c r="X391" s="1182"/>
      <c r="Y391" s="1182"/>
      <c r="Z391" s="1182"/>
      <c r="AA391" s="1182"/>
      <c r="AB391" s="1182"/>
      <c r="AC391" s="1182"/>
      <c r="AD391" s="1182"/>
      <c r="AE391" s="162"/>
      <c r="AF391" s="2407" t="s">
        <v>355</v>
      </c>
      <c r="AG391" s="2407"/>
      <c r="AH391" s="2407"/>
      <c r="AI391" s="2407"/>
      <c r="AJ391" s="2407"/>
      <c r="AK391" s="2407"/>
      <c r="AL391" s="240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2"/>
      <c r="D392" s="1200"/>
      <c r="E392" s="1189"/>
      <c r="F392" s="1384"/>
      <c r="G392" s="1384"/>
      <c r="H392" s="1384"/>
      <c r="I392" s="1384"/>
      <c r="J392" s="1384"/>
      <c r="K392" s="1384"/>
      <c r="L392" s="1384"/>
      <c r="M392" s="1384"/>
      <c r="N392" s="1384"/>
      <c r="O392" s="1384"/>
      <c r="P392" s="1384"/>
      <c r="Q392" s="1384"/>
      <c r="R392" s="1384"/>
      <c r="S392" s="1384"/>
      <c r="T392" s="1384"/>
      <c r="U392" s="1384"/>
      <c r="V392" s="1384"/>
      <c r="W392" s="1384"/>
      <c r="X392" s="1384"/>
      <c r="Y392" s="1384"/>
      <c r="Z392" s="1384"/>
      <c r="AA392" s="1384"/>
      <c r="AB392" s="1384"/>
      <c r="AC392" s="1384"/>
      <c r="AD392" s="1384"/>
      <c r="AE392" s="1388"/>
      <c r="AF392" s="1388"/>
      <c r="AG392" s="1388"/>
      <c r="AH392" s="1388"/>
      <c r="AI392" s="1388"/>
      <c r="AJ392" s="1388"/>
      <c r="AK392" s="1388"/>
      <c r="AL392" s="1389"/>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7"/>
      <c r="D393" s="1847"/>
      <c r="E393" s="350"/>
      <c r="F393" s="1423"/>
      <c r="G393" s="1424"/>
      <c r="H393" s="1424"/>
      <c r="I393" s="1424"/>
      <c r="J393" s="1424"/>
      <c r="K393" s="1424"/>
      <c r="L393" s="1424"/>
      <c r="M393" s="1424"/>
      <c r="N393" s="1424"/>
      <c r="O393" s="1424"/>
      <c r="P393" s="1424"/>
      <c r="Q393" s="1424"/>
      <c r="R393" s="1424"/>
      <c r="S393" s="1424"/>
      <c r="T393" s="1424"/>
      <c r="U393" s="1424"/>
      <c r="V393" s="1424"/>
      <c r="W393" s="1424"/>
      <c r="X393" s="1424"/>
      <c r="Y393" s="1424"/>
      <c r="Z393" s="1424"/>
      <c r="AA393" s="1424"/>
      <c r="AB393" s="1424"/>
      <c r="AC393" s="1424"/>
      <c r="AD393" s="1424"/>
      <c r="AE393" s="203"/>
      <c r="AF393" s="2441"/>
      <c r="AG393" s="2441"/>
      <c r="AH393" s="2441"/>
      <c r="AI393" s="2441"/>
      <c r="AJ393" s="2441"/>
      <c r="AK393" s="2441"/>
      <c r="AL393" s="2441"/>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3"/>
      <c r="D396" s="1184"/>
      <c r="E396" s="1185" t="s">
        <v>208</v>
      </c>
      <c r="F396" s="2605" t="s">
        <v>2231</v>
      </c>
      <c r="G396" s="2605"/>
      <c r="H396" s="2605"/>
      <c r="I396" s="2605"/>
      <c r="J396" s="2605"/>
      <c r="K396" s="2605"/>
      <c r="L396" s="2605"/>
      <c r="M396" s="2605"/>
      <c r="N396" s="2605"/>
      <c r="O396" s="2605"/>
      <c r="P396" s="2605"/>
      <c r="Q396" s="2605"/>
      <c r="R396" s="2605"/>
      <c r="S396" s="2605"/>
      <c r="T396" s="2605"/>
      <c r="U396" s="2605"/>
      <c r="V396" s="2605"/>
      <c r="W396" s="2605"/>
      <c r="X396" s="2605"/>
      <c r="Y396" s="2605"/>
      <c r="Z396" s="2605"/>
      <c r="AA396" s="2605"/>
      <c r="AB396" s="2605"/>
      <c r="AC396" s="2605"/>
      <c r="AD396" s="2605"/>
      <c r="AE396" s="2605"/>
      <c r="AF396" s="2605"/>
      <c r="AG396" s="1326"/>
      <c r="AH396" s="1326"/>
      <c r="AI396" s="1326"/>
      <c r="AJ396" s="1326"/>
      <c r="AK396" s="1326"/>
      <c r="AL396" s="1322"/>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1"/>
      <c r="D397" s="125"/>
      <c r="E397" s="306"/>
      <c r="F397" s="2606"/>
      <c r="G397" s="2606"/>
      <c r="H397" s="2606"/>
      <c r="I397" s="2606"/>
      <c r="J397" s="2606"/>
      <c r="K397" s="2606"/>
      <c r="L397" s="2606"/>
      <c r="M397" s="2606"/>
      <c r="N397" s="2606"/>
      <c r="O397" s="2606"/>
      <c r="P397" s="2606"/>
      <c r="Q397" s="2606"/>
      <c r="R397" s="2606"/>
      <c r="S397" s="2606"/>
      <c r="T397" s="2606"/>
      <c r="U397" s="2606"/>
      <c r="V397" s="2606"/>
      <c r="W397" s="2606"/>
      <c r="X397" s="2606"/>
      <c r="Y397" s="2606"/>
      <c r="Z397" s="2606"/>
      <c r="AA397" s="2606"/>
      <c r="AB397" s="2606"/>
      <c r="AC397" s="2606"/>
      <c r="AD397" s="2606"/>
      <c r="AE397" s="2606"/>
      <c r="AF397" s="2606"/>
      <c r="AG397" s="679"/>
      <c r="AH397" s="679"/>
      <c r="AI397" s="679"/>
      <c r="AJ397" s="679"/>
      <c r="AK397" s="679"/>
      <c r="AL397" s="1316"/>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1"/>
      <c r="D398" s="125"/>
      <c r="E398" s="306"/>
      <c r="F398" s="2606"/>
      <c r="G398" s="2606"/>
      <c r="H398" s="2606"/>
      <c r="I398" s="2606"/>
      <c r="J398" s="2606"/>
      <c r="K398" s="2606"/>
      <c r="L398" s="2606"/>
      <c r="M398" s="2606"/>
      <c r="N398" s="2606"/>
      <c r="O398" s="2606"/>
      <c r="P398" s="2606"/>
      <c r="Q398" s="2606"/>
      <c r="R398" s="2606"/>
      <c r="S398" s="2606"/>
      <c r="T398" s="2606"/>
      <c r="U398" s="2606"/>
      <c r="V398" s="2606"/>
      <c r="W398" s="2606"/>
      <c r="X398" s="2606"/>
      <c r="Y398" s="2606"/>
      <c r="Z398" s="2606"/>
      <c r="AA398" s="2606"/>
      <c r="AB398" s="2606"/>
      <c r="AC398" s="2606"/>
      <c r="AD398" s="2606"/>
      <c r="AE398" s="2606"/>
      <c r="AF398" s="2606"/>
      <c r="AG398" s="679"/>
      <c r="AH398" s="679"/>
      <c r="AI398" s="679"/>
      <c r="AJ398" s="679"/>
      <c r="AK398" s="679"/>
      <c r="AL398" s="1386"/>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1"/>
      <c r="D399" s="125"/>
      <c r="E399" s="306"/>
      <c r="F399" s="2606"/>
      <c r="G399" s="2606"/>
      <c r="H399" s="2606"/>
      <c r="I399" s="2606"/>
      <c r="J399" s="2606"/>
      <c r="K399" s="2606"/>
      <c r="L399" s="2606"/>
      <c r="M399" s="2606"/>
      <c r="N399" s="2606"/>
      <c r="O399" s="2606"/>
      <c r="P399" s="2606"/>
      <c r="Q399" s="2606"/>
      <c r="R399" s="2606"/>
      <c r="S399" s="2606"/>
      <c r="T399" s="2606"/>
      <c r="U399" s="2606"/>
      <c r="V399" s="2606"/>
      <c r="W399" s="2606"/>
      <c r="X399" s="2606"/>
      <c r="Y399" s="2606"/>
      <c r="Z399" s="2606"/>
      <c r="AA399" s="2606"/>
      <c r="AB399" s="2606"/>
      <c r="AC399" s="2606"/>
      <c r="AD399" s="2606"/>
      <c r="AE399" s="2606"/>
      <c r="AF399" s="2606"/>
      <c r="AG399" s="679"/>
      <c r="AH399" s="679"/>
      <c r="AI399" s="679"/>
      <c r="AJ399" s="679"/>
      <c r="AK399" s="679"/>
      <c r="AL399" s="1316"/>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1"/>
      <c r="D400" s="125"/>
      <c r="E400" s="306"/>
      <c r="F400" s="2606"/>
      <c r="G400" s="2606"/>
      <c r="H400" s="2606"/>
      <c r="I400" s="2606"/>
      <c r="J400" s="2606"/>
      <c r="K400" s="2606"/>
      <c r="L400" s="2606"/>
      <c r="M400" s="2606"/>
      <c r="N400" s="2606"/>
      <c r="O400" s="2606"/>
      <c r="P400" s="2606"/>
      <c r="Q400" s="2606"/>
      <c r="R400" s="2606"/>
      <c r="S400" s="2606"/>
      <c r="T400" s="2606"/>
      <c r="U400" s="2606"/>
      <c r="V400" s="2606"/>
      <c r="W400" s="2606"/>
      <c r="X400" s="2606"/>
      <c r="Y400" s="2606"/>
      <c r="Z400" s="2606"/>
      <c r="AA400" s="2606"/>
      <c r="AB400" s="2606"/>
      <c r="AC400" s="2606"/>
      <c r="AD400" s="2606"/>
      <c r="AE400" s="2606"/>
      <c r="AF400" s="2606"/>
      <c r="AG400" s="679"/>
      <c r="AH400" s="679"/>
      <c r="AI400" s="679"/>
      <c r="AJ400" s="679"/>
      <c r="AK400" s="679"/>
      <c r="AL400" s="1316"/>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4" t="s">
        <v>119</v>
      </c>
      <c r="D401" s="1696"/>
      <c r="E401" s="306"/>
      <c r="F401" s="1181" t="s">
        <v>2011</v>
      </c>
      <c r="G401" s="1182"/>
      <c r="H401" s="1182"/>
      <c r="I401" s="1182"/>
      <c r="J401" s="1182"/>
      <c r="K401" s="1182"/>
      <c r="L401" s="1182"/>
      <c r="M401" s="1182"/>
      <c r="N401" s="1182"/>
      <c r="O401" s="1182"/>
      <c r="P401" s="1182"/>
      <c r="Q401" s="1182"/>
      <c r="R401" s="1182"/>
      <c r="S401" s="1182"/>
      <c r="T401" s="1182"/>
      <c r="U401" s="1182"/>
      <c r="V401" s="1182"/>
      <c r="W401" s="1182"/>
      <c r="X401" s="1182"/>
      <c r="Y401" s="1182"/>
      <c r="Z401" s="1182"/>
      <c r="AA401" s="1182"/>
      <c r="AB401" s="1182"/>
      <c r="AC401" s="1182"/>
      <c r="AD401" s="1182"/>
      <c r="AE401" s="162"/>
      <c r="AF401" s="2407" t="s">
        <v>1067</v>
      </c>
      <c r="AG401" s="2407"/>
      <c r="AH401" s="2407"/>
      <c r="AI401" s="2407"/>
      <c r="AJ401" s="2407"/>
      <c r="AK401" s="2407"/>
      <c r="AL401" s="2408"/>
      <c r="AM401" s="1420"/>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1"/>
      <c r="D402" s="125"/>
      <c r="E402" s="306"/>
      <c r="F402" s="1317"/>
      <c r="G402" s="1317"/>
      <c r="H402" s="1317"/>
      <c r="I402" s="1317"/>
      <c r="J402" s="1317"/>
      <c r="K402" s="1317"/>
      <c r="L402" s="1317"/>
      <c r="M402" s="1317"/>
      <c r="N402" s="1317"/>
      <c r="O402" s="1317"/>
      <c r="P402" s="1317"/>
      <c r="Q402" s="1317"/>
      <c r="R402" s="1317"/>
      <c r="S402" s="1317"/>
      <c r="T402" s="1317"/>
      <c r="U402" s="1317"/>
      <c r="V402" s="1317"/>
      <c r="W402" s="1317"/>
      <c r="X402" s="1317"/>
      <c r="Y402" s="1317"/>
      <c r="Z402" s="1317"/>
      <c r="AA402" s="1317"/>
      <c r="AB402" s="1317"/>
      <c r="AC402" s="1317"/>
      <c r="AD402" s="1317"/>
      <c r="AE402" s="162"/>
      <c r="AF402" s="162"/>
      <c r="AG402" s="162"/>
      <c r="AH402" s="162"/>
      <c r="AI402" s="162"/>
      <c r="AJ402" s="162"/>
      <c r="AK402" s="162"/>
      <c r="AL402" s="1192"/>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4" t="s">
        <v>136</v>
      </c>
      <c r="D403" s="1696"/>
      <c r="E403" s="306"/>
      <c r="F403" s="1194" t="s">
        <v>2012</v>
      </c>
      <c r="G403" s="1317"/>
      <c r="H403" s="1317"/>
      <c r="I403" s="1317"/>
      <c r="J403" s="1317"/>
      <c r="K403" s="1317"/>
      <c r="L403" s="1317"/>
      <c r="M403" s="1317"/>
      <c r="N403" s="1317"/>
      <c r="O403" s="1317"/>
      <c r="P403" s="1317"/>
      <c r="Q403" s="1317"/>
      <c r="R403" s="1317"/>
      <c r="S403" s="1317"/>
      <c r="T403" s="1317"/>
      <c r="U403" s="1317"/>
      <c r="V403" s="1317"/>
      <c r="W403" s="1317"/>
      <c r="X403" s="1317"/>
      <c r="Y403" s="1317"/>
      <c r="Z403" s="1317"/>
      <c r="AA403" s="1317"/>
      <c r="AB403" s="1317"/>
      <c r="AC403" s="1317"/>
      <c r="AD403" s="1317"/>
      <c r="AE403" s="162"/>
      <c r="AF403" s="2407" t="s">
        <v>355</v>
      </c>
      <c r="AG403" s="2407"/>
      <c r="AH403" s="2407"/>
      <c r="AI403" s="2407"/>
      <c r="AJ403" s="2407"/>
      <c r="AK403" s="2407"/>
      <c r="AL403" s="240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1"/>
      <c r="D404" s="125"/>
      <c r="E404" s="306"/>
      <c r="F404" s="1194"/>
      <c r="G404" s="1194"/>
      <c r="H404" s="1194"/>
      <c r="I404" s="1194"/>
      <c r="J404" s="1194"/>
      <c r="K404" s="1194"/>
      <c r="L404" s="1194"/>
      <c r="M404" s="1194"/>
      <c r="N404" s="1194"/>
      <c r="O404" s="1194"/>
      <c r="P404" s="1194"/>
      <c r="Q404" s="1194"/>
      <c r="R404" s="1194"/>
      <c r="S404" s="1194"/>
      <c r="T404" s="1194"/>
      <c r="U404" s="1194"/>
      <c r="V404" s="1194"/>
      <c r="W404" s="1194"/>
      <c r="X404" s="1194"/>
      <c r="Y404" s="1194"/>
      <c r="Z404" s="1194"/>
      <c r="AA404" s="1194"/>
      <c r="AB404" s="1194"/>
      <c r="AC404" s="1194"/>
      <c r="AD404" s="1194"/>
      <c r="AE404" s="71"/>
      <c r="AF404" s="162"/>
      <c r="AG404" s="162"/>
      <c r="AH404" s="162"/>
      <c r="AI404" s="162"/>
      <c r="AJ404" s="162"/>
      <c r="AK404" s="162"/>
      <c r="AL404" s="1192"/>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6"/>
      <c r="D405" s="1197"/>
      <c r="E405" s="1198"/>
      <c r="F405" s="1199" t="s">
        <v>2010</v>
      </c>
      <c r="G405" s="1193"/>
      <c r="H405" s="1193"/>
      <c r="I405" s="1193"/>
      <c r="J405" s="1193"/>
      <c r="K405" s="1193"/>
      <c r="L405" s="1193"/>
      <c r="M405" s="1193"/>
      <c r="N405" s="1193"/>
      <c r="O405" s="1193"/>
      <c r="P405" s="1193"/>
      <c r="Q405" s="1193"/>
      <c r="R405" s="1193"/>
      <c r="S405" s="1193"/>
      <c r="T405" s="1193"/>
      <c r="U405" s="1193"/>
      <c r="V405" s="1193"/>
      <c r="W405" s="1193"/>
      <c r="X405" s="1193"/>
      <c r="Y405" s="1193"/>
      <c r="Z405" s="1193"/>
      <c r="AA405" s="1193"/>
      <c r="AB405" s="1193"/>
      <c r="AC405" s="1193"/>
      <c r="AD405" s="1193"/>
      <c r="AE405" s="1200"/>
      <c r="AF405" s="1201"/>
      <c r="AG405" s="1200"/>
      <c r="AH405" s="1202"/>
      <c r="AI405" s="1202"/>
      <c r="AJ405" s="1202"/>
      <c r="AK405" s="1202"/>
      <c r="AL405" s="1203"/>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3"/>
      <c r="D407" s="1184"/>
      <c r="E407" s="1185" t="s">
        <v>209</v>
      </c>
      <c r="F407" s="2391" t="s">
        <v>2014</v>
      </c>
      <c r="G407" s="2391"/>
      <c r="H407" s="2391"/>
      <c r="I407" s="2391"/>
      <c r="J407" s="2391"/>
      <c r="K407" s="2391"/>
      <c r="L407" s="2391"/>
      <c r="M407" s="2391"/>
      <c r="N407" s="2391"/>
      <c r="O407" s="2391"/>
      <c r="P407" s="2391"/>
      <c r="Q407" s="2391"/>
      <c r="R407" s="2391"/>
      <c r="S407" s="2391"/>
      <c r="T407" s="2391"/>
      <c r="U407" s="2391"/>
      <c r="V407" s="2391"/>
      <c r="W407" s="2391"/>
      <c r="X407" s="2391"/>
      <c r="Y407" s="2391"/>
      <c r="Z407" s="2391"/>
      <c r="AA407" s="2391"/>
      <c r="AB407" s="2391"/>
      <c r="AC407" s="2391"/>
      <c r="AD407" s="2391"/>
      <c r="AE407" s="2391"/>
      <c r="AF407" s="2391"/>
      <c r="AG407" s="1326"/>
      <c r="AH407" s="1326"/>
      <c r="AI407" s="1326"/>
      <c r="AJ407" s="1326"/>
      <c r="AK407" s="1326"/>
      <c r="AL407" s="1322"/>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1"/>
      <c r="D408" s="125"/>
      <c r="E408" s="306"/>
      <c r="F408" s="2392"/>
      <c r="G408" s="2392"/>
      <c r="H408" s="2392"/>
      <c r="I408" s="2392"/>
      <c r="J408" s="2392"/>
      <c r="K408" s="2392"/>
      <c r="L408" s="2392"/>
      <c r="M408" s="2392"/>
      <c r="N408" s="2392"/>
      <c r="O408" s="2392"/>
      <c r="P408" s="2392"/>
      <c r="Q408" s="2392"/>
      <c r="R408" s="2392"/>
      <c r="S408" s="2392"/>
      <c r="T408" s="2392"/>
      <c r="U408" s="2392"/>
      <c r="V408" s="2392"/>
      <c r="W408" s="2392"/>
      <c r="X408" s="2392"/>
      <c r="Y408" s="2392"/>
      <c r="Z408" s="2392"/>
      <c r="AA408" s="2392"/>
      <c r="AB408" s="2392"/>
      <c r="AC408" s="2392"/>
      <c r="AD408" s="2392"/>
      <c r="AE408" s="2392"/>
      <c r="AF408" s="2392"/>
      <c r="AG408" s="679"/>
      <c r="AH408" s="679"/>
      <c r="AI408" s="679"/>
      <c r="AJ408" s="679"/>
      <c r="AK408" s="679"/>
      <c r="AL408" s="1316"/>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1"/>
      <c r="D409" s="125"/>
      <c r="E409" s="306"/>
      <c r="F409" s="2392"/>
      <c r="G409" s="2392"/>
      <c r="H409" s="2392"/>
      <c r="I409" s="2392"/>
      <c r="J409" s="2392"/>
      <c r="K409" s="2392"/>
      <c r="L409" s="2392"/>
      <c r="M409" s="2392"/>
      <c r="N409" s="2392"/>
      <c r="O409" s="2392"/>
      <c r="P409" s="2392"/>
      <c r="Q409" s="2392"/>
      <c r="R409" s="2392"/>
      <c r="S409" s="2392"/>
      <c r="T409" s="2392"/>
      <c r="U409" s="2392"/>
      <c r="V409" s="2392"/>
      <c r="W409" s="2392"/>
      <c r="X409" s="2392"/>
      <c r="Y409" s="2392"/>
      <c r="Z409" s="2392"/>
      <c r="AA409" s="2392"/>
      <c r="AB409" s="2392"/>
      <c r="AC409" s="2392"/>
      <c r="AD409" s="2392"/>
      <c r="AE409" s="2392"/>
      <c r="AF409" s="2392"/>
      <c r="AG409" s="679"/>
      <c r="AH409" s="679"/>
      <c r="AI409" s="679"/>
      <c r="AJ409" s="679"/>
      <c r="AK409" s="679"/>
      <c r="AL409" s="1316"/>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1"/>
      <c r="D410" s="125"/>
      <c r="E410" s="306"/>
      <c r="F410" s="2392"/>
      <c r="G410" s="2392"/>
      <c r="H410" s="2392"/>
      <c r="I410" s="2392"/>
      <c r="J410" s="2392"/>
      <c r="K410" s="2392"/>
      <c r="L410" s="2392"/>
      <c r="M410" s="2392"/>
      <c r="N410" s="2392"/>
      <c r="O410" s="2392"/>
      <c r="P410" s="2392"/>
      <c r="Q410" s="2392"/>
      <c r="R410" s="2392"/>
      <c r="S410" s="2392"/>
      <c r="T410" s="2392"/>
      <c r="U410" s="2392"/>
      <c r="V410" s="2392"/>
      <c r="W410" s="2392"/>
      <c r="X410" s="2392"/>
      <c r="Y410" s="2392"/>
      <c r="Z410" s="2392"/>
      <c r="AA410" s="2392"/>
      <c r="AB410" s="2392"/>
      <c r="AC410" s="2392"/>
      <c r="AD410" s="2392"/>
      <c r="AE410" s="2392"/>
      <c r="AF410" s="2392"/>
      <c r="AG410" s="679"/>
      <c r="AH410" s="679"/>
      <c r="AI410" s="679"/>
      <c r="AJ410" s="679"/>
      <c r="AK410" s="679"/>
      <c r="AL410" s="1316"/>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4" t="s">
        <v>136</v>
      </c>
      <c r="D411" s="1696"/>
      <c r="E411" s="306"/>
      <c r="F411" s="1181" t="s">
        <v>2013</v>
      </c>
      <c r="G411" s="1182"/>
      <c r="H411" s="1182"/>
      <c r="I411" s="1182"/>
      <c r="J411" s="1182"/>
      <c r="K411" s="1182"/>
      <c r="L411" s="1182"/>
      <c r="M411" s="1182"/>
      <c r="N411" s="1182"/>
      <c r="O411" s="1182"/>
      <c r="P411" s="1182"/>
      <c r="Q411" s="1182"/>
      <c r="R411" s="1182"/>
      <c r="S411" s="1182"/>
      <c r="T411" s="1182"/>
      <c r="U411" s="1182"/>
      <c r="V411" s="1182"/>
      <c r="W411" s="1182"/>
      <c r="X411" s="1182"/>
      <c r="Y411" s="1182"/>
      <c r="Z411" s="1182"/>
      <c r="AA411" s="1182"/>
      <c r="AB411" s="1182"/>
      <c r="AC411" s="1182"/>
      <c r="AD411" s="1182"/>
      <c r="AE411" s="162"/>
      <c r="AF411" s="2407" t="s">
        <v>355</v>
      </c>
      <c r="AG411" s="2407"/>
      <c r="AH411" s="2407"/>
      <c r="AI411" s="2407"/>
      <c r="AJ411" s="2407"/>
      <c r="AK411" s="2407"/>
      <c r="AL411" s="240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1"/>
      <c r="D412" s="125"/>
      <c r="E412" s="306"/>
      <c r="F412" s="162"/>
      <c r="G412" s="1182"/>
      <c r="H412" s="1182"/>
      <c r="I412" s="1182"/>
      <c r="J412" s="1182"/>
      <c r="K412" s="1182"/>
      <c r="L412" s="1182"/>
      <c r="M412" s="1182"/>
      <c r="N412" s="1182"/>
      <c r="O412" s="1182"/>
      <c r="P412" s="1182"/>
      <c r="Q412" s="1182"/>
      <c r="R412" s="1182"/>
      <c r="S412" s="1182"/>
      <c r="T412" s="1182"/>
      <c r="U412" s="1182"/>
      <c r="V412" s="1182"/>
      <c r="W412" s="1182"/>
      <c r="X412" s="1182"/>
      <c r="Y412" s="1182"/>
      <c r="Z412" s="1182"/>
      <c r="AA412" s="1182"/>
      <c r="AB412" s="1182"/>
      <c r="AC412" s="1182"/>
      <c r="AD412" s="1182"/>
      <c r="AE412" s="162"/>
      <c r="AF412" s="162"/>
      <c r="AG412" s="162"/>
      <c r="AH412" s="162"/>
      <c r="AI412" s="162"/>
      <c r="AJ412" s="162"/>
      <c r="AK412" s="162"/>
      <c r="AL412" s="1192"/>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4" t="s">
        <v>136</v>
      </c>
      <c r="D413" s="1696"/>
      <c r="E413" s="350"/>
      <c r="F413" s="1181" t="s">
        <v>1068</v>
      </c>
      <c r="G413" s="1182"/>
      <c r="H413" s="1182"/>
      <c r="I413" s="1182"/>
      <c r="J413" s="1182"/>
      <c r="K413" s="1182"/>
      <c r="L413" s="1182"/>
      <c r="M413" s="1182"/>
      <c r="N413" s="1182"/>
      <c r="O413" s="1182"/>
      <c r="P413" s="1182"/>
      <c r="Q413" s="1182"/>
      <c r="R413" s="1182"/>
      <c r="S413" s="1182"/>
      <c r="T413" s="1182"/>
      <c r="U413" s="1182"/>
      <c r="V413" s="1182"/>
      <c r="W413" s="1182"/>
      <c r="X413" s="1182"/>
      <c r="Y413" s="1182"/>
      <c r="Z413" s="1182"/>
      <c r="AA413" s="1182"/>
      <c r="AB413" s="1182"/>
      <c r="AC413" s="1182"/>
      <c r="AD413" s="1182"/>
      <c r="AE413" s="162"/>
      <c r="AF413" s="2407" t="s">
        <v>1066</v>
      </c>
      <c r="AG413" s="2407"/>
      <c r="AH413" s="2407"/>
      <c r="AI413" s="2407"/>
      <c r="AJ413" s="2407"/>
      <c r="AK413" s="2407"/>
      <c r="AL413" s="240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4"/>
      <c r="D414" s="1202"/>
      <c r="E414" s="1189"/>
      <c r="F414" s="1202"/>
      <c r="G414" s="1190"/>
      <c r="H414" s="1190"/>
      <c r="I414" s="1190"/>
      <c r="J414" s="1190"/>
      <c r="K414" s="1190"/>
      <c r="L414" s="1190"/>
      <c r="M414" s="1190"/>
      <c r="N414" s="1190"/>
      <c r="O414" s="1190"/>
      <c r="P414" s="1190"/>
      <c r="Q414" s="1190"/>
      <c r="R414" s="1190"/>
      <c r="S414" s="1190"/>
      <c r="T414" s="1190"/>
      <c r="U414" s="1190"/>
      <c r="V414" s="1190"/>
      <c r="W414" s="1190"/>
      <c r="X414" s="1190"/>
      <c r="Y414" s="1190"/>
      <c r="Z414" s="1190"/>
      <c r="AA414" s="1190"/>
      <c r="AB414" s="1190"/>
      <c r="AC414" s="1190"/>
      <c r="AD414" s="1190"/>
      <c r="AE414" s="1202"/>
      <c r="AF414" s="1202"/>
      <c r="AG414" s="1202"/>
      <c r="AH414" s="1202"/>
      <c r="AI414" s="1202"/>
      <c r="AJ414" s="1202"/>
      <c r="AK414" s="1202"/>
      <c r="AL414" s="1203"/>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4" t="s">
        <v>136</v>
      </c>
      <c r="D416" s="1696"/>
      <c r="E416" s="1185" t="s">
        <v>210</v>
      </c>
      <c r="F416" s="2391" t="s">
        <v>2018</v>
      </c>
      <c r="G416" s="2391"/>
      <c r="H416" s="2391"/>
      <c r="I416" s="2391"/>
      <c r="J416" s="2391"/>
      <c r="K416" s="2391"/>
      <c r="L416" s="2391"/>
      <c r="M416" s="2391"/>
      <c r="N416" s="2391"/>
      <c r="O416" s="2391"/>
      <c r="P416" s="2391"/>
      <c r="Q416" s="2391"/>
      <c r="R416" s="2391"/>
      <c r="S416" s="2391"/>
      <c r="T416" s="2391"/>
      <c r="U416" s="2391"/>
      <c r="V416" s="2391"/>
      <c r="W416" s="2391"/>
      <c r="X416" s="2391"/>
      <c r="Y416" s="2391"/>
      <c r="Z416" s="2391"/>
      <c r="AA416" s="2391"/>
      <c r="AB416" s="2391"/>
      <c r="AC416" s="2391"/>
      <c r="AD416" s="2391"/>
      <c r="AE416" s="2391"/>
      <c r="AF416" s="1239"/>
      <c r="AG416" s="1327"/>
      <c r="AH416" s="1184"/>
      <c r="AI416" s="1184"/>
      <c r="AJ416" s="1184"/>
      <c r="AK416" s="1184"/>
      <c r="AL416" s="1212"/>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5"/>
      <c r="D417" s="162"/>
      <c r="E417" s="162"/>
      <c r="F417" s="2392"/>
      <c r="G417" s="2392"/>
      <c r="H417" s="2392"/>
      <c r="I417" s="2392"/>
      <c r="J417" s="2392"/>
      <c r="K417" s="2392"/>
      <c r="L417" s="2392"/>
      <c r="M417" s="2392"/>
      <c r="N417" s="2392"/>
      <c r="O417" s="2392"/>
      <c r="P417" s="2392"/>
      <c r="Q417" s="2392"/>
      <c r="R417" s="2392"/>
      <c r="S417" s="2392"/>
      <c r="T417" s="2392"/>
      <c r="U417" s="2392"/>
      <c r="V417" s="2392"/>
      <c r="W417" s="2392"/>
      <c r="X417" s="2392"/>
      <c r="Y417" s="2392"/>
      <c r="Z417" s="2392"/>
      <c r="AA417" s="2392"/>
      <c r="AB417" s="2392"/>
      <c r="AC417" s="2392"/>
      <c r="AD417" s="2392"/>
      <c r="AE417" s="2392"/>
      <c r="AF417" s="2409" t="s">
        <v>355</v>
      </c>
      <c r="AG417" s="2409"/>
      <c r="AH417" s="2409"/>
      <c r="AI417" s="2409"/>
      <c r="AJ417" s="2409"/>
      <c r="AK417" s="2409"/>
      <c r="AL417" s="2410"/>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1"/>
      <c r="D418" s="125"/>
      <c r="E418" s="306"/>
      <c r="F418" s="2392"/>
      <c r="G418" s="2392"/>
      <c r="H418" s="2392"/>
      <c r="I418" s="2392"/>
      <c r="J418" s="2392"/>
      <c r="K418" s="2392"/>
      <c r="L418" s="2392"/>
      <c r="M418" s="2392"/>
      <c r="N418" s="2392"/>
      <c r="O418" s="2392"/>
      <c r="P418" s="2392"/>
      <c r="Q418" s="2392"/>
      <c r="R418" s="2392"/>
      <c r="S418" s="2392"/>
      <c r="T418" s="2392"/>
      <c r="U418" s="2392"/>
      <c r="V418" s="2392"/>
      <c r="W418" s="2392"/>
      <c r="X418" s="2392"/>
      <c r="Y418" s="2392"/>
      <c r="Z418" s="2392"/>
      <c r="AA418" s="2392"/>
      <c r="AB418" s="2392"/>
      <c r="AC418" s="2392"/>
      <c r="AD418" s="2392"/>
      <c r="AE418" s="2392"/>
      <c r="AF418" s="162"/>
      <c r="AG418" s="162"/>
      <c r="AH418" s="162"/>
      <c r="AI418" s="162"/>
      <c r="AJ418" s="162"/>
      <c r="AK418" s="162"/>
      <c r="AL418" s="1192"/>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6"/>
      <c r="D419" s="1197"/>
      <c r="E419" s="1198"/>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1201"/>
      <c r="AG419" s="1200"/>
      <c r="AH419" s="1202"/>
      <c r="AI419" s="1202"/>
      <c r="AJ419" s="1202"/>
      <c r="AK419" s="1202"/>
      <c r="AL419" s="1203"/>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5"/>
      <c r="D421" s="1206"/>
      <c r="E421" s="1185" t="s">
        <v>211</v>
      </c>
      <c r="F421" s="2411" t="s">
        <v>2020</v>
      </c>
      <c r="G421" s="2411"/>
      <c r="H421" s="2411"/>
      <c r="I421" s="2411"/>
      <c r="J421" s="2411"/>
      <c r="K421" s="2411"/>
      <c r="L421" s="2411"/>
      <c r="M421" s="2411"/>
      <c r="N421" s="2411"/>
      <c r="O421" s="2411"/>
      <c r="P421" s="2411"/>
      <c r="Q421" s="2411"/>
      <c r="R421" s="2411"/>
      <c r="S421" s="2411"/>
      <c r="T421" s="2411"/>
      <c r="U421" s="2411"/>
      <c r="V421" s="2411"/>
      <c r="W421" s="2411"/>
      <c r="X421" s="2411"/>
      <c r="Y421" s="2411"/>
      <c r="Z421" s="2411"/>
      <c r="AA421" s="2411"/>
      <c r="AB421" s="2411"/>
      <c r="AC421" s="2411"/>
      <c r="AD421" s="2411"/>
      <c r="AE421" s="2411"/>
      <c r="AF421" s="1206"/>
      <c r="AG421" s="1206"/>
      <c r="AH421" s="1206"/>
      <c r="AI421" s="1206"/>
      <c r="AJ421" s="1206"/>
      <c r="AK421" s="1206"/>
      <c r="AL421" s="1207"/>
      <c r="AM421" s="16"/>
    </row>
    <row r="422" spans="1:153">
      <c r="A422" s="8"/>
      <c r="C422" s="1191"/>
      <c r="D422" s="125"/>
      <c r="E422" s="306"/>
      <c r="F422" s="2412"/>
      <c r="G422" s="2412"/>
      <c r="H422" s="2412"/>
      <c r="I422" s="2412"/>
      <c r="J422" s="2412"/>
      <c r="K422" s="2412"/>
      <c r="L422" s="2412"/>
      <c r="M422" s="2412"/>
      <c r="N422" s="2412"/>
      <c r="O422" s="2412"/>
      <c r="P422" s="2412"/>
      <c r="Q422" s="2412"/>
      <c r="R422" s="2412"/>
      <c r="S422" s="2412"/>
      <c r="T422" s="2412"/>
      <c r="U422" s="2412"/>
      <c r="V422" s="2412"/>
      <c r="W422" s="2412"/>
      <c r="X422" s="2412"/>
      <c r="Y422" s="2412"/>
      <c r="Z422" s="2412"/>
      <c r="AA422" s="2412"/>
      <c r="AB422" s="2412"/>
      <c r="AC422" s="2412"/>
      <c r="AD422" s="2412"/>
      <c r="AE422" s="2412"/>
      <c r="AF422" s="62"/>
      <c r="AG422" s="71"/>
      <c r="AH422" s="162"/>
      <c r="AI422" s="162"/>
      <c r="AJ422" s="162"/>
      <c r="AK422" s="162"/>
      <c r="AL422" s="1192"/>
      <c r="AM422" s="16"/>
    </row>
    <row r="423" spans="1:153" s="46" customFormat="1" ht="12.75" customHeight="1">
      <c r="A423" s="8"/>
      <c r="B423" s="65"/>
      <c r="C423" s="1191"/>
      <c r="D423" s="125"/>
      <c r="E423" s="306"/>
      <c r="F423" s="2412"/>
      <c r="G423" s="2412"/>
      <c r="H423" s="2412"/>
      <c r="I423" s="2412"/>
      <c r="J423" s="2412"/>
      <c r="K423" s="2412"/>
      <c r="L423" s="2412"/>
      <c r="M423" s="2412"/>
      <c r="N423" s="2412"/>
      <c r="O423" s="2412"/>
      <c r="P423" s="2412"/>
      <c r="Q423" s="2412"/>
      <c r="R423" s="2412"/>
      <c r="S423" s="2412"/>
      <c r="T423" s="2412"/>
      <c r="U423" s="2412"/>
      <c r="V423" s="2412"/>
      <c r="W423" s="2412"/>
      <c r="X423" s="2412"/>
      <c r="Y423" s="2412"/>
      <c r="Z423" s="2412"/>
      <c r="AA423" s="2412"/>
      <c r="AB423" s="2412"/>
      <c r="AC423" s="2412"/>
      <c r="AD423" s="2412"/>
      <c r="AE423" s="2412"/>
      <c r="AF423" s="162"/>
      <c r="AG423" s="162"/>
      <c r="AH423" s="162"/>
      <c r="AI423" s="162"/>
      <c r="AJ423" s="162"/>
      <c r="AK423" s="162"/>
      <c r="AL423" s="1192"/>
      <c r="AM423" s="16"/>
      <c r="AN423" s="439"/>
    </row>
    <row r="424" spans="1:153" s="46" customFormat="1" ht="12.75" customHeight="1">
      <c r="A424" s="8"/>
      <c r="B424" s="65"/>
      <c r="C424" s="1195"/>
      <c r="D424" s="162"/>
      <c r="E424" s="162"/>
      <c r="F424" s="2412"/>
      <c r="G424" s="2412"/>
      <c r="H424" s="2412"/>
      <c r="I424" s="2412"/>
      <c r="J424" s="2412"/>
      <c r="K424" s="2412"/>
      <c r="L424" s="2412"/>
      <c r="M424" s="2412"/>
      <c r="N424" s="2412"/>
      <c r="O424" s="2412"/>
      <c r="P424" s="2412"/>
      <c r="Q424" s="2412"/>
      <c r="R424" s="2412"/>
      <c r="S424" s="2412"/>
      <c r="T424" s="2412"/>
      <c r="U424" s="2412"/>
      <c r="V424" s="2412"/>
      <c r="W424" s="2412"/>
      <c r="X424" s="2412"/>
      <c r="Y424" s="2412"/>
      <c r="Z424" s="2412"/>
      <c r="AA424" s="2412"/>
      <c r="AB424" s="2412"/>
      <c r="AC424" s="2412"/>
      <c r="AD424" s="2412"/>
      <c r="AE424" s="2412"/>
      <c r="AF424" s="162"/>
      <c r="AG424" s="162"/>
      <c r="AH424" s="162"/>
      <c r="AI424" s="162"/>
      <c r="AJ424" s="162"/>
      <c r="AK424" s="162"/>
      <c r="AL424" s="1192"/>
      <c r="AM424" s="16"/>
      <c r="AN424" s="439"/>
    </row>
    <row r="425" spans="1:153" s="46" customFormat="1" ht="12.75" customHeight="1">
      <c r="A425" s="8"/>
      <c r="B425" s="65"/>
      <c r="C425" s="2394" t="s">
        <v>136</v>
      </c>
      <c r="D425" s="1696"/>
      <c r="E425" s="306"/>
      <c r="F425" s="1208" t="s">
        <v>2017</v>
      </c>
      <c r="G425" s="1209"/>
      <c r="H425" s="1209"/>
      <c r="I425" s="1209"/>
      <c r="J425" s="1209"/>
      <c r="K425" s="1209"/>
      <c r="L425" s="1209"/>
      <c r="M425" s="1209"/>
      <c r="N425" s="1209"/>
      <c r="O425" s="1209"/>
      <c r="P425" s="1209"/>
      <c r="Q425" s="1209"/>
      <c r="R425" s="1209"/>
      <c r="S425" s="1209"/>
      <c r="T425" s="1209"/>
      <c r="U425" s="1209"/>
      <c r="V425" s="1209"/>
      <c r="W425" s="1209"/>
      <c r="X425" s="1209"/>
      <c r="Y425" s="1209"/>
      <c r="Z425" s="1209"/>
      <c r="AA425" s="1209"/>
      <c r="AB425" s="1209"/>
      <c r="AC425" s="1209"/>
      <c r="AD425" s="1209"/>
      <c r="AE425" s="162"/>
      <c r="AF425" s="2409" t="s">
        <v>355</v>
      </c>
      <c r="AG425" s="2409"/>
      <c r="AH425" s="2409"/>
      <c r="AI425" s="2409"/>
      <c r="AJ425" s="2409"/>
      <c r="AK425" s="2409"/>
      <c r="AL425" s="2410"/>
      <c r="AM425" s="16"/>
      <c r="AN425" s="439"/>
      <c r="AO425" s="162"/>
      <c r="AP425" s="162"/>
    </row>
    <row r="426" spans="1:153" s="46" customFormat="1" ht="12.75" customHeight="1">
      <c r="A426" s="8"/>
      <c r="B426" s="65"/>
      <c r="C426" s="1195"/>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2"/>
      <c r="AM426" s="16"/>
      <c r="AN426" s="439"/>
      <c r="AO426" s="162"/>
      <c r="AP426" s="162"/>
    </row>
    <row r="427" spans="1:153" s="46" customFormat="1" ht="12.75" customHeight="1">
      <c r="A427" s="8"/>
      <c r="B427" s="65"/>
      <c r="C427" s="2394" t="s">
        <v>136</v>
      </c>
      <c r="D427" s="1696"/>
      <c r="E427" s="350"/>
      <c r="F427" s="1208" t="s">
        <v>1069</v>
      </c>
      <c r="G427" s="1209"/>
      <c r="H427" s="1209"/>
      <c r="I427" s="1209"/>
      <c r="J427" s="1209"/>
      <c r="K427" s="1209"/>
      <c r="L427" s="1209"/>
      <c r="M427" s="1209"/>
      <c r="N427" s="1209"/>
      <c r="O427" s="1209"/>
      <c r="P427" s="1209"/>
      <c r="Q427" s="1209"/>
      <c r="R427" s="1209"/>
      <c r="S427" s="1209"/>
      <c r="T427" s="1209"/>
      <c r="U427" s="1209"/>
      <c r="V427" s="1209"/>
      <c r="W427" s="1209"/>
      <c r="X427" s="1209"/>
      <c r="Y427" s="1209"/>
      <c r="Z427" s="1209"/>
      <c r="AA427" s="1209"/>
      <c r="AB427" s="1209"/>
      <c r="AC427" s="1209"/>
      <c r="AD427" s="1209"/>
      <c r="AE427" s="162"/>
      <c r="AF427" s="2409" t="s">
        <v>1066</v>
      </c>
      <c r="AG427" s="2409"/>
      <c r="AH427" s="2409"/>
      <c r="AI427" s="2409"/>
      <c r="AJ427" s="2409"/>
      <c r="AK427" s="2409"/>
      <c r="AL427" s="2410"/>
      <c r="AM427" s="16"/>
      <c r="AN427" s="439"/>
      <c r="AO427" s="474"/>
      <c r="AP427" s="474"/>
      <c r="BC427" s="65"/>
    </row>
    <row r="428" spans="1:153" s="46" customFormat="1" ht="12.75" customHeight="1">
      <c r="A428" s="8"/>
      <c r="B428" s="65"/>
      <c r="C428" s="1196"/>
      <c r="D428" s="1197"/>
      <c r="E428" s="1198"/>
      <c r="F428" s="1210"/>
      <c r="G428" s="1211"/>
      <c r="H428" s="1211"/>
      <c r="I428" s="1211"/>
      <c r="J428" s="1211"/>
      <c r="K428" s="1211"/>
      <c r="L428" s="1211"/>
      <c r="M428" s="1211"/>
      <c r="N428" s="1211"/>
      <c r="O428" s="1211"/>
      <c r="P428" s="1211"/>
      <c r="Q428" s="1211"/>
      <c r="R428" s="1211"/>
      <c r="S428" s="1211"/>
      <c r="T428" s="1211"/>
      <c r="U428" s="1211"/>
      <c r="V428" s="1211"/>
      <c r="W428" s="1211"/>
      <c r="X428" s="1211"/>
      <c r="Y428" s="1211"/>
      <c r="Z428" s="1211"/>
      <c r="AA428" s="1211"/>
      <c r="AB428" s="1211"/>
      <c r="AC428" s="1211"/>
      <c r="AD428" s="1211"/>
      <c r="AE428" s="1200"/>
      <c r="AF428" s="1201"/>
      <c r="AG428" s="1200"/>
      <c r="AH428" s="1202"/>
      <c r="AI428" s="1202"/>
      <c r="AJ428" s="1202"/>
      <c r="AK428" s="1202"/>
      <c r="AL428" s="1203"/>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3"/>
      <c r="D431" s="1184"/>
      <c r="E431" s="1185" t="s">
        <v>736</v>
      </c>
      <c r="F431" s="2391" t="s">
        <v>2021</v>
      </c>
      <c r="G431" s="2391"/>
      <c r="H431" s="2391"/>
      <c r="I431" s="2391"/>
      <c r="J431" s="2391"/>
      <c r="K431" s="2391"/>
      <c r="L431" s="2391"/>
      <c r="M431" s="2391"/>
      <c r="N431" s="2391"/>
      <c r="O431" s="2391"/>
      <c r="P431" s="2391"/>
      <c r="Q431" s="2391"/>
      <c r="R431" s="2391"/>
      <c r="S431" s="2391"/>
      <c r="T431" s="2391"/>
      <c r="U431" s="2391"/>
      <c r="V431" s="2391"/>
      <c r="W431" s="2391"/>
      <c r="X431" s="2391"/>
      <c r="Y431" s="2391"/>
      <c r="Z431" s="2391"/>
      <c r="AA431" s="2391"/>
      <c r="AB431" s="2391"/>
      <c r="AC431" s="2391"/>
      <c r="AD431" s="2391"/>
      <c r="AE431" s="2391"/>
      <c r="AF431" s="1184"/>
      <c r="AG431" s="1184"/>
      <c r="AH431" s="1184"/>
      <c r="AI431" s="1184"/>
      <c r="AJ431" s="1184"/>
      <c r="AK431" s="1184"/>
      <c r="AL431" s="1212"/>
      <c r="AM431" s="16"/>
      <c r="AN431" s="439"/>
      <c r="AO431" s="162"/>
      <c r="AP431" s="162"/>
    </row>
    <row r="432" spans="1:153" s="137" customFormat="1" ht="12.75" customHeight="1">
      <c r="A432" s="8"/>
      <c r="B432" s="118"/>
      <c r="C432" s="1213"/>
      <c r="D432" s="1214"/>
      <c r="E432" s="306"/>
      <c r="F432" s="2392"/>
      <c r="G432" s="2392"/>
      <c r="H432" s="2392"/>
      <c r="I432" s="2392"/>
      <c r="J432" s="2392"/>
      <c r="K432" s="2392"/>
      <c r="L432" s="2392"/>
      <c r="M432" s="2392"/>
      <c r="N432" s="2392"/>
      <c r="O432" s="2392"/>
      <c r="P432" s="2392"/>
      <c r="Q432" s="2392"/>
      <c r="R432" s="2392"/>
      <c r="S432" s="2392"/>
      <c r="T432" s="2392"/>
      <c r="U432" s="2392"/>
      <c r="V432" s="2392"/>
      <c r="W432" s="2392"/>
      <c r="X432" s="2392"/>
      <c r="Y432" s="2392"/>
      <c r="Z432" s="2392"/>
      <c r="AA432" s="2392"/>
      <c r="AB432" s="2392"/>
      <c r="AC432" s="2392"/>
      <c r="AD432" s="2392"/>
      <c r="AE432" s="2392"/>
      <c r="AF432" s="62"/>
      <c r="AG432" s="71"/>
      <c r="AH432" s="162"/>
      <c r="AI432" s="162"/>
      <c r="AJ432" s="162"/>
      <c r="AK432" s="162"/>
      <c r="AL432" s="1192"/>
      <c r="AM432" s="16"/>
      <c r="AN432" s="1137"/>
      <c r="AO432" s="162"/>
      <c r="AP432" s="162"/>
    </row>
    <row r="433" spans="1:60" s="46" customFormat="1" ht="12.45" customHeight="1">
      <c r="A433" s="8"/>
      <c r="B433" s="118"/>
      <c r="C433" s="1213"/>
      <c r="D433" s="1214"/>
      <c r="E433" s="306"/>
      <c r="F433" s="2392"/>
      <c r="G433" s="2392"/>
      <c r="H433" s="2392"/>
      <c r="I433" s="2392"/>
      <c r="J433" s="2392"/>
      <c r="K433" s="2392"/>
      <c r="L433" s="2392"/>
      <c r="M433" s="2392"/>
      <c r="N433" s="2392"/>
      <c r="O433" s="2392"/>
      <c r="P433" s="2392"/>
      <c r="Q433" s="2392"/>
      <c r="R433" s="2392"/>
      <c r="S433" s="2392"/>
      <c r="T433" s="2392"/>
      <c r="U433" s="2392"/>
      <c r="V433" s="2392"/>
      <c r="W433" s="2392"/>
      <c r="X433" s="2392"/>
      <c r="Y433" s="2392"/>
      <c r="Z433" s="2392"/>
      <c r="AA433" s="2392"/>
      <c r="AB433" s="2392"/>
      <c r="AC433" s="2392"/>
      <c r="AD433" s="2392"/>
      <c r="AE433" s="2392"/>
      <c r="AF433" s="162"/>
      <c r="AG433" s="162"/>
      <c r="AH433" s="162"/>
      <c r="AI433" s="162"/>
      <c r="AJ433" s="162"/>
      <c r="AK433" s="162"/>
      <c r="AL433" s="1192"/>
      <c r="AM433" s="16"/>
      <c r="AN433" s="439"/>
      <c r="AO433" s="162"/>
      <c r="AP433" s="162"/>
    </row>
    <row r="434" spans="1:60" s="46" customFormat="1" ht="12.75" customHeight="1">
      <c r="A434" s="8"/>
      <c r="B434" s="118"/>
      <c r="C434" s="2394" t="s">
        <v>119</v>
      </c>
      <c r="D434" s="1696"/>
      <c r="E434" s="306"/>
      <c r="F434" s="1181" t="s">
        <v>2019</v>
      </c>
      <c r="G434" s="1215"/>
      <c r="H434" s="1215"/>
      <c r="I434" s="1215"/>
      <c r="J434" s="1215"/>
      <c r="K434" s="1215"/>
      <c r="L434" s="1215"/>
      <c r="M434" s="1215"/>
      <c r="N434" s="1215"/>
      <c r="O434" s="1215"/>
      <c r="P434" s="1215"/>
      <c r="Q434" s="1215"/>
      <c r="R434" s="1215"/>
      <c r="S434" s="1215"/>
      <c r="T434" s="1215"/>
      <c r="U434" s="1215"/>
      <c r="V434" s="1215"/>
      <c r="W434" s="1215"/>
      <c r="X434" s="1215"/>
      <c r="Y434" s="1215"/>
      <c r="Z434" s="1215"/>
      <c r="AA434" s="1215"/>
      <c r="AB434" s="1215"/>
      <c r="AC434" s="1215"/>
      <c r="AD434" s="1215"/>
      <c r="AE434" s="162"/>
      <c r="AF434" s="2409" t="s">
        <v>355</v>
      </c>
      <c r="AG434" s="2409"/>
      <c r="AH434" s="2409"/>
      <c r="AI434" s="2409"/>
      <c r="AJ434" s="2409"/>
      <c r="AK434" s="2409"/>
      <c r="AL434" s="2410"/>
      <c r="AM434" s="16"/>
      <c r="AN434" s="439"/>
      <c r="AO434" s="162"/>
      <c r="AP434" s="162"/>
    </row>
    <row r="435" spans="1:60" s="46" customFormat="1" ht="12.75" customHeight="1">
      <c r="A435" s="8"/>
      <c r="B435" s="118"/>
      <c r="C435" s="1426"/>
      <c r="D435" s="1223"/>
      <c r="E435" s="1189"/>
      <c r="F435" s="1427"/>
      <c r="G435" s="1248"/>
      <c r="H435" s="1248"/>
      <c r="I435" s="1248"/>
      <c r="J435" s="1248"/>
      <c r="K435" s="1248"/>
      <c r="L435" s="1248"/>
      <c r="M435" s="1248"/>
      <c r="N435" s="1248"/>
      <c r="O435" s="1248"/>
      <c r="P435" s="1248"/>
      <c r="Q435" s="1248"/>
      <c r="R435" s="1248"/>
      <c r="S435" s="1248"/>
      <c r="T435" s="1248"/>
      <c r="U435" s="1248"/>
      <c r="V435" s="1248"/>
      <c r="W435" s="1248"/>
      <c r="X435" s="1248"/>
      <c r="Y435" s="1248"/>
      <c r="Z435" s="1248"/>
      <c r="AA435" s="1248"/>
      <c r="AB435" s="1248"/>
      <c r="AC435" s="1248"/>
      <c r="AD435" s="1248"/>
      <c r="AE435" s="1240"/>
      <c r="AF435" s="1225"/>
      <c r="AG435" s="1225"/>
      <c r="AH435" s="1225"/>
      <c r="AI435" s="1225"/>
      <c r="AJ435" s="1225"/>
      <c r="AK435" s="1225"/>
      <c r="AL435" s="1425"/>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5"/>
      <c r="D437" s="1206"/>
      <c r="E437" s="1185" t="s">
        <v>733</v>
      </c>
      <c r="F437" s="2391" t="s">
        <v>2022</v>
      </c>
      <c r="G437" s="2391"/>
      <c r="H437" s="2391"/>
      <c r="I437" s="2391"/>
      <c r="J437" s="2391"/>
      <c r="K437" s="2391"/>
      <c r="L437" s="2391"/>
      <c r="M437" s="2391"/>
      <c r="N437" s="2391"/>
      <c r="O437" s="2391"/>
      <c r="P437" s="2391"/>
      <c r="Q437" s="2391"/>
      <c r="R437" s="2391"/>
      <c r="S437" s="2391"/>
      <c r="T437" s="2391"/>
      <c r="U437" s="2391"/>
      <c r="V437" s="2391"/>
      <c r="W437" s="2391"/>
      <c r="X437" s="2391"/>
      <c r="Y437" s="2391"/>
      <c r="Z437" s="2391"/>
      <c r="AA437" s="2391"/>
      <c r="AB437" s="2391"/>
      <c r="AC437" s="2391"/>
      <c r="AD437" s="2391"/>
      <c r="AE437" s="2391"/>
      <c r="AF437" s="1206"/>
      <c r="AG437" s="1206"/>
      <c r="AH437" s="1206"/>
      <c r="AI437" s="1206"/>
      <c r="AJ437" s="1206"/>
      <c r="AK437" s="1206"/>
      <c r="AL437" s="1207"/>
      <c r="AM437" s="16"/>
      <c r="AO437" s="162"/>
      <c r="AP437" s="162"/>
      <c r="BD437" s="65"/>
      <c r="BE437" s="65"/>
      <c r="BF437" s="65"/>
      <c r="BG437" s="65"/>
      <c r="BH437" s="65"/>
    </row>
    <row r="438" spans="1:60">
      <c r="A438" s="8"/>
      <c r="B438" s="118"/>
      <c r="C438" s="1213"/>
      <c r="D438" s="1214"/>
      <c r="E438" s="306"/>
      <c r="F438" s="2392"/>
      <c r="G438" s="2392"/>
      <c r="H438" s="2392"/>
      <c r="I438" s="2392"/>
      <c r="J438" s="2392"/>
      <c r="K438" s="2392"/>
      <c r="L438" s="2392"/>
      <c r="M438" s="2392"/>
      <c r="N438" s="2392"/>
      <c r="O438" s="2392"/>
      <c r="P438" s="2392"/>
      <c r="Q438" s="2392"/>
      <c r="R438" s="2392"/>
      <c r="S438" s="2392"/>
      <c r="T438" s="2392"/>
      <c r="U438" s="2392"/>
      <c r="V438" s="2392"/>
      <c r="W438" s="2392"/>
      <c r="X438" s="2392"/>
      <c r="Y438" s="2392"/>
      <c r="Z438" s="2392"/>
      <c r="AA438" s="2392"/>
      <c r="AB438" s="2392"/>
      <c r="AC438" s="2392"/>
      <c r="AD438" s="2392"/>
      <c r="AE438" s="2392"/>
      <c r="AF438" s="1313"/>
      <c r="AG438" s="1313"/>
      <c r="AH438" s="1313"/>
      <c r="AI438" s="1313"/>
      <c r="AJ438" s="1313"/>
      <c r="AK438" s="1313"/>
      <c r="AL438" s="1320"/>
      <c r="AM438" s="16"/>
      <c r="AO438" s="162"/>
      <c r="AP438" s="162"/>
    </row>
    <row r="439" spans="1:60" s="46" customFormat="1" ht="12.75" customHeight="1">
      <c r="A439" s="8"/>
      <c r="B439" s="118"/>
      <c r="C439" s="1213"/>
      <c r="D439" s="1214"/>
      <c r="E439" s="306"/>
      <c r="F439" s="2392"/>
      <c r="G439" s="2392"/>
      <c r="H439" s="2392"/>
      <c r="I439" s="2392"/>
      <c r="J439" s="2392"/>
      <c r="K439" s="2392"/>
      <c r="L439" s="2392"/>
      <c r="M439" s="2392"/>
      <c r="N439" s="2392"/>
      <c r="O439" s="2392"/>
      <c r="P439" s="2392"/>
      <c r="Q439" s="2392"/>
      <c r="R439" s="2392"/>
      <c r="S439" s="2392"/>
      <c r="T439" s="2392"/>
      <c r="U439" s="2392"/>
      <c r="V439" s="2392"/>
      <c r="W439" s="2392"/>
      <c r="X439" s="2392"/>
      <c r="Y439" s="2392"/>
      <c r="Z439" s="2392"/>
      <c r="AA439" s="2392"/>
      <c r="AB439" s="2392"/>
      <c r="AC439" s="2392"/>
      <c r="AD439" s="2392"/>
      <c r="AE439" s="2392"/>
      <c r="AF439" s="1313"/>
      <c r="AG439" s="1313"/>
      <c r="AH439" s="1313"/>
      <c r="AI439" s="1313"/>
      <c r="AJ439" s="1313"/>
      <c r="AK439" s="1313"/>
      <c r="AL439" s="1320"/>
      <c r="AM439" s="16"/>
      <c r="AN439" s="439"/>
      <c r="AO439" s="162"/>
      <c r="AP439" s="162"/>
    </row>
    <row r="440" spans="1:60" s="46" customFormat="1" ht="12.75" customHeight="1">
      <c r="A440" s="8"/>
      <c r="B440" s="118"/>
      <c r="C440" s="1321"/>
      <c r="D440" s="1314"/>
      <c r="E440" s="350"/>
      <c r="F440" s="2392"/>
      <c r="G440" s="2392"/>
      <c r="H440" s="2392"/>
      <c r="I440" s="2392"/>
      <c r="J440" s="2392"/>
      <c r="K440" s="2392"/>
      <c r="L440" s="2392"/>
      <c r="M440" s="2392"/>
      <c r="N440" s="2392"/>
      <c r="O440" s="2392"/>
      <c r="P440" s="2392"/>
      <c r="Q440" s="2392"/>
      <c r="R440" s="2392"/>
      <c r="S440" s="2392"/>
      <c r="T440" s="2392"/>
      <c r="U440" s="2392"/>
      <c r="V440" s="2392"/>
      <c r="W440" s="2392"/>
      <c r="X440" s="2392"/>
      <c r="Y440" s="2392"/>
      <c r="Z440" s="2392"/>
      <c r="AA440" s="2392"/>
      <c r="AB440" s="2392"/>
      <c r="AC440" s="2392"/>
      <c r="AD440" s="2392"/>
      <c r="AE440" s="2392"/>
      <c r="AF440" s="1313"/>
      <c r="AG440" s="1313"/>
      <c r="AH440" s="1313"/>
      <c r="AI440" s="1313"/>
      <c r="AJ440" s="1313"/>
      <c r="AK440" s="1313"/>
      <c r="AL440" s="1320"/>
      <c r="AM440" s="16"/>
      <c r="AN440" s="439"/>
      <c r="AO440" s="554"/>
      <c r="AP440" s="125"/>
    </row>
    <row r="441" spans="1:60" s="46" customFormat="1" ht="12.75" customHeight="1">
      <c r="A441" s="8"/>
      <c r="B441" s="118"/>
      <c r="C441" s="1321"/>
      <c r="D441" s="1314"/>
      <c r="E441" s="350"/>
      <c r="F441" s="2392"/>
      <c r="G441" s="2392"/>
      <c r="H441" s="2392"/>
      <c r="I441" s="2392"/>
      <c r="J441" s="2392"/>
      <c r="K441" s="2392"/>
      <c r="L441" s="2392"/>
      <c r="M441" s="2392"/>
      <c r="N441" s="2392"/>
      <c r="O441" s="2392"/>
      <c r="P441" s="2392"/>
      <c r="Q441" s="2392"/>
      <c r="R441" s="2392"/>
      <c r="S441" s="2392"/>
      <c r="T441" s="2392"/>
      <c r="U441" s="2392"/>
      <c r="V441" s="2392"/>
      <c r="W441" s="2392"/>
      <c r="X441" s="2392"/>
      <c r="Y441" s="2392"/>
      <c r="Z441" s="2392"/>
      <c r="AA441" s="2392"/>
      <c r="AB441" s="2392"/>
      <c r="AC441" s="2392"/>
      <c r="AD441" s="2392"/>
      <c r="AE441" s="2392"/>
      <c r="AF441" s="1313"/>
      <c r="AG441" s="1313"/>
      <c r="AH441" s="1313"/>
      <c r="AI441" s="1313"/>
      <c r="AJ441" s="1313"/>
      <c r="AK441" s="1313"/>
      <c r="AL441" s="1320"/>
      <c r="AM441" s="16"/>
      <c r="AN441" s="439"/>
      <c r="AO441" s="162"/>
      <c r="AP441" s="162"/>
    </row>
    <row r="442" spans="1:60" s="46" customFormat="1" ht="12.75" customHeight="1">
      <c r="A442" s="8"/>
      <c r="B442" s="118"/>
      <c r="C442" s="1321"/>
      <c r="D442" s="1314"/>
      <c r="E442" s="350"/>
      <c r="F442" s="2392"/>
      <c r="G442" s="2392"/>
      <c r="H442" s="2392"/>
      <c r="I442" s="2392"/>
      <c r="J442" s="2392"/>
      <c r="K442" s="2392"/>
      <c r="L442" s="2392"/>
      <c r="M442" s="2392"/>
      <c r="N442" s="2392"/>
      <c r="O442" s="2392"/>
      <c r="P442" s="2392"/>
      <c r="Q442" s="2392"/>
      <c r="R442" s="2392"/>
      <c r="S442" s="2392"/>
      <c r="T442" s="2392"/>
      <c r="U442" s="2392"/>
      <c r="V442" s="2392"/>
      <c r="W442" s="2392"/>
      <c r="X442" s="2392"/>
      <c r="Y442" s="2392"/>
      <c r="Z442" s="2392"/>
      <c r="AA442" s="2392"/>
      <c r="AB442" s="2392"/>
      <c r="AC442" s="2392"/>
      <c r="AD442" s="2392"/>
      <c r="AE442" s="2392"/>
      <c r="AF442" s="1313"/>
      <c r="AG442" s="1313"/>
      <c r="AH442" s="1313"/>
      <c r="AI442" s="1313"/>
      <c r="AJ442" s="1313"/>
      <c r="AK442" s="1313"/>
      <c r="AL442" s="1320"/>
      <c r="AM442" s="16"/>
      <c r="AN442" s="439"/>
    </row>
    <row r="443" spans="1:60" s="46" customFormat="1" ht="12.75" customHeight="1">
      <c r="A443" s="8"/>
      <c r="B443" s="118"/>
      <c r="C443" s="1321"/>
      <c r="D443" s="1314"/>
      <c r="E443" s="350"/>
      <c r="F443" s="2392"/>
      <c r="G443" s="2392"/>
      <c r="H443" s="2392"/>
      <c r="I443" s="2392"/>
      <c r="J443" s="2392"/>
      <c r="K443" s="2392"/>
      <c r="L443" s="2392"/>
      <c r="M443" s="2392"/>
      <c r="N443" s="2392"/>
      <c r="O443" s="2392"/>
      <c r="P443" s="2392"/>
      <c r="Q443" s="2392"/>
      <c r="R443" s="2392"/>
      <c r="S443" s="2392"/>
      <c r="T443" s="2392"/>
      <c r="U443" s="2392"/>
      <c r="V443" s="2392"/>
      <c r="W443" s="2392"/>
      <c r="X443" s="2392"/>
      <c r="Y443" s="2392"/>
      <c r="Z443" s="2392"/>
      <c r="AA443" s="2392"/>
      <c r="AB443" s="2392"/>
      <c r="AC443" s="2392"/>
      <c r="AD443" s="2392"/>
      <c r="AE443" s="2392"/>
      <c r="AF443" s="1313"/>
      <c r="AG443" s="1313"/>
      <c r="AH443" s="1313"/>
      <c r="AI443" s="1313"/>
      <c r="AJ443" s="1313"/>
      <c r="AK443" s="1313"/>
      <c r="AL443" s="1320"/>
      <c r="AM443" s="16"/>
      <c r="AN443" s="439"/>
    </row>
    <row r="444" spans="1:60" s="46" customFormat="1" ht="12.75" customHeight="1">
      <c r="A444" s="8"/>
      <c r="B444" s="118"/>
      <c r="C444" s="1321"/>
      <c r="D444" s="1314"/>
      <c r="E444" s="350"/>
      <c r="F444" s="2392"/>
      <c r="G444" s="2392"/>
      <c r="H444" s="2392"/>
      <c r="I444" s="2392"/>
      <c r="J444" s="2392"/>
      <c r="K444" s="2392"/>
      <c r="L444" s="2392"/>
      <c r="M444" s="2392"/>
      <c r="N444" s="2392"/>
      <c r="O444" s="2392"/>
      <c r="P444" s="2392"/>
      <c r="Q444" s="2392"/>
      <c r="R444" s="2392"/>
      <c r="S444" s="2392"/>
      <c r="T444" s="2392"/>
      <c r="U444" s="2392"/>
      <c r="V444" s="2392"/>
      <c r="W444" s="2392"/>
      <c r="X444" s="2392"/>
      <c r="Y444" s="2392"/>
      <c r="Z444" s="2392"/>
      <c r="AA444" s="2392"/>
      <c r="AB444" s="2392"/>
      <c r="AC444" s="2392"/>
      <c r="AD444" s="2392"/>
      <c r="AE444" s="2392"/>
      <c r="AF444" s="1313"/>
      <c r="AG444" s="1313"/>
      <c r="AH444" s="1313"/>
      <c r="AI444" s="1313"/>
      <c r="AJ444" s="1313"/>
      <c r="AK444" s="1313"/>
      <c r="AL444" s="1320"/>
      <c r="AM444" s="16"/>
      <c r="AN444" s="439"/>
    </row>
    <row r="445" spans="1:60" s="46" customFormat="1" ht="17.25" customHeight="1">
      <c r="A445" s="8"/>
      <c r="B445" s="118"/>
      <c r="C445" s="1321"/>
      <c r="D445" s="1314"/>
      <c r="E445" s="350"/>
      <c r="F445" s="2392"/>
      <c r="G445" s="2392"/>
      <c r="H445" s="2392"/>
      <c r="I445" s="2392"/>
      <c r="J445" s="2392"/>
      <c r="K445" s="2392"/>
      <c r="L445" s="2392"/>
      <c r="M445" s="2392"/>
      <c r="N445" s="2392"/>
      <c r="O445" s="2392"/>
      <c r="P445" s="2392"/>
      <c r="Q445" s="2392"/>
      <c r="R445" s="2392"/>
      <c r="S445" s="2392"/>
      <c r="T445" s="2392"/>
      <c r="U445" s="2392"/>
      <c r="V445" s="2392"/>
      <c r="W445" s="2392"/>
      <c r="X445" s="2392"/>
      <c r="Y445" s="2392"/>
      <c r="Z445" s="2392"/>
      <c r="AA445" s="2392"/>
      <c r="AB445" s="2392"/>
      <c r="AC445" s="2392"/>
      <c r="AD445" s="2392"/>
      <c r="AE445" s="2392"/>
      <c r="AF445" s="162"/>
      <c r="AG445" s="162"/>
      <c r="AH445" s="162"/>
      <c r="AI445" s="162"/>
      <c r="AJ445" s="162"/>
      <c r="AK445" s="162"/>
      <c r="AL445" s="1192"/>
      <c r="AM445" s="16"/>
      <c r="AN445" s="439"/>
    </row>
    <row r="446" spans="1:60" s="46" customFormat="1" ht="12.75" customHeight="1">
      <c r="A446" s="8"/>
      <c r="B446" s="65"/>
      <c r="C446" s="2394" t="s">
        <v>119</v>
      </c>
      <c r="D446" s="1696"/>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9" t="s">
        <v>355</v>
      </c>
      <c r="AG446" s="2409"/>
      <c r="AH446" s="2409"/>
      <c r="AI446" s="2409"/>
      <c r="AJ446" s="2409"/>
      <c r="AK446" s="2409"/>
      <c r="AL446" s="2410"/>
      <c r="AM446" s="16"/>
      <c r="AN446" s="439"/>
    </row>
    <row r="447" spans="1:60" s="46" customFormat="1" ht="12.75" customHeight="1">
      <c r="A447" s="8"/>
      <c r="B447" s="118"/>
      <c r="C447" s="1204"/>
      <c r="D447" s="1202"/>
      <c r="E447" s="1189"/>
      <c r="F447" s="1199"/>
      <c r="G447" s="1190"/>
      <c r="H447" s="1190"/>
      <c r="I447" s="1190"/>
      <c r="J447" s="1190"/>
      <c r="K447" s="1190"/>
      <c r="L447" s="1190"/>
      <c r="M447" s="1190"/>
      <c r="N447" s="1190"/>
      <c r="O447" s="1190"/>
      <c r="P447" s="1190"/>
      <c r="Q447" s="1190"/>
      <c r="R447" s="1190"/>
      <c r="S447" s="1190"/>
      <c r="T447" s="1190"/>
      <c r="U447" s="1190"/>
      <c r="V447" s="1190"/>
      <c r="W447" s="1190"/>
      <c r="X447" s="1190"/>
      <c r="Y447" s="1190"/>
      <c r="Z447" s="1190"/>
      <c r="AA447" s="1190"/>
      <c r="AB447" s="1190"/>
      <c r="AC447" s="1190"/>
      <c r="AD447" s="1190"/>
      <c r="AE447" s="1202"/>
      <c r="AF447" s="1202"/>
      <c r="AG447" s="1202"/>
      <c r="AH447" s="1202"/>
      <c r="AI447" s="1202"/>
      <c r="AJ447" s="1202"/>
      <c r="AK447" s="1202"/>
      <c r="AL447" s="1203"/>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2"/>
      <c r="AM448" s="16"/>
      <c r="AN448" s="439"/>
    </row>
    <row r="449" spans="1:49" s="46" customFormat="1" ht="12.75" customHeight="1">
      <c r="A449" s="8"/>
      <c r="B449" s="118"/>
      <c r="C449" s="1183"/>
      <c r="D449" s="1184"/>
      <c r="E449" s="1185" t="s">
        <v>734</v>
      </c>
      <c r="F449" s="2391" t="s">
        <v>2025</v>
      </c>
      <c r="G449" s="2391"/>
      <c r="H449" s="2391"/>
      <c r="I449" s="2391"/>
      <c r="J449" s="2391"/>
      <c r="K449" s="2391"/>
      <c r="L449" s="2391"/>
      <c r="M449" s="2391"/>
      <c r="N449" s="2391"/>
      <c r="O449" s="2391"/>
      <c r="P449" s="2391"/>
      <c r="Q449" s="2391"/>
      <c r="R449" s="2391"/>
      <c r="S449" s="2391"/>
      <c r="T449" s="2391"/>
      <c r="U449" s="2391"/>
      <c r="V449" s="2391"/>
      <c r="W449" s="2391"/>
      <c r="X449" s="2391"/>
      <c r="Y449" s="2391"/>
      <c r="Z449" s="2391"/>
      <c r="AA449" s="2391"/>
      <c r="AB449" s="2391"/>
      <c r="AC449" s="2391"/>
      <c r="AD449" s="2391"/>
      <c r="AE449" s="2391"/>
      <c r="AF449" s="1184"/>
      <c r="AG449" s="1184"/>
      <c r="AH449" s="1184"/>
      <c r="AI449" s="1184"/>
      <c r="AJ449" s="1184"/>
      <c r="AK449" s="1184"/>
      <c r="AL449" s="1212"/>
      <c r="AM449" s="16"/>
      <c r="AN449" s="439"/>
    </row>
    <row r="450" spans="1:49" s="46" customFormat="1" ht="12.75" customHeight="1">
      <c r="A450" s="8"/>
      <c r="B450" s="118"/>
      <c r="C450" s="1321"/>
      <c r="D450" s="1314"/>
      <c r="E450" s="350"/>
      <c r="F450" s="2392"/>
      <c r="G450" s="2392"/>
      <c r="H450" s="2392"/>
      <c r="I450" s="2392"/>
      <c r="J450" s="2392"/>
      <c r="K450" s="2392"/>
      <c r="L450" s="2392"/>
      <c r="M450" s="2392"/>
      <c r="N450" s="2392"/>
      <c r="O450" s="2392"/>
      <c r="P450" s="2392"/>
      <c r="Q450" s="2392"/>
      <c r="R450" s="2392"/>
      <c r="S450" s="2392"/>
      <c r="T450" s="2392"/>
      <c r="U450" s="2392"/>
      <c r="V450" s="2392"/>
      <c r="W450" s="2392"/>
      <c r="X450" s="2392"/>
      <c r="Y450" s="2392"/>
      <c r="Z450" s="2392"/>
      <c r="AA450" s="2392"/>
      <c r="AB450" s="2392"/>
      <c r="AC450" s="2392"/>
      <c r="AD450" s="2392"/>
      <c r="AE450" s="2392"/>
      <c r="AF450" s="1385"/>
      <c r="AG450" s="1315"/>
      <c r="AH450" s="1315"/>
      <c r="AI450" s="1315"/>
      <c r="AJ450" s="1315"/>
      <c r="AK450" s="1315"/>
      <c r="AL450" s="1316"/>
      <c r="AM450" s="16"/>
      <c r="AN450" s="439"/>
    </row>
    <row r="451" spans="1:49" s="46" customFormat="1" ht="12.75" customHeight="1">
      <c r="A451" s="8"/>
      <c r="B451" s="118"/>
      <c r="C451" s="1321"/>
      <c r="D451" s="1314"/>
      <c r="E451" s="350"/>
      <c r="F451" s="2392"/>
      <c r="G451" s="2392"/>
      <c r="H451" s="2392"/>
      <c r="I451" s="2392"/>
      <c r="J451" s="2392"/>
      <c r="K451" s="2392"/>
      <c r="L451" s="2392"/>
      <c r="M451" s="2392"/>
      <c r="N451" s="2392"/>
      <c r="O451" s="2392"/>
      <c r="P451" s="2392"/>
      <c r="Q451" s="2392"/>
      <c r="R451" s="2392"/>
      <c r="S451" s="2392"/>
      <c r="T451" s="2392"/>
      <c r="U451" s="2392"/>
      <c r="V451" s="2392"/>
      <c r="W451" s="2392"/>
      <c r="X451" s="2392"/>
      <c r="Y451" s="2392"/>
      <c r="Z451" s="2392"/>
      <c r="AA451" s="2392"/>
      <c r="AB451" s="2392"/>
      <c r="AC451" s="2392"/>
      <c r="AD451" s="2392"/>
      <c r="AE451" s="2392"/>
      <c r="AF451" s="1385"/>
      <c r="AG451" s="1315"/>
      <c r="AH451" s="1315"/>
      <c r="AI451" s="1315"/>
      <c r="AJ451" s="1315"/>
      <c r="AK451" s="1315"/>
      <c r="AL451" s="1316"/>
      <c r="AM451" s="16"/>
      <c r="AN451" s="439"/>
    </row>
    <row r="452" spans="1:49" s="46" customFormat="1" ht="12.75" customHeight="1">
      <c r="A452" s="8"/>
      <c r="B452" s="118"/>
      <c r="C452" s="1321"/>
      <c r="D452" s="1314"/>
      <c r="E452" s="350"/>
      <c r="F452" s="2392"/>
      <c r="G452" s="2392"/>
      <c r="H452" s="2392"/>
      <c r="I452" s="2392"/>
      <c r="J452" s="2392"/>
      <c r="K452" s="2392"/>
      <c r="L452" s="2392"/>
      <c r="M452" s="2392"/>
      <c r="N452" s="2392"/>
      <c r="O452" s="2392"/>
      <c r="P452" s="2392"/>
      <c r="Q452" s="2392"/>
      <c r="R452" s="2392"/>
      <c r="S452" s="2392"/>
      <c r="T452" s="2392"/>
      <c r="U452" s="2392"/>
      <c r="V452" s="2392"/>
      <c r="W452" s="2392"/>
      <c r="X452" s="2392"/>
      <c r="Y452" s="2392"/>
      <c r="Z452" s="2392"/>
      <c r="AA452" s="2392"/>
      <c r="AB452" s="2392"/>
      <c r="AC452" s="2392"/>
      <c r="AD452" s="2392"/>
      <c r="AE452" s="2392"/>
      <c r="AF452" s="162"/>
      <c r="AG452" s="162"/>
      <c r="AH452" s="162"/>
      <c r="AI452" s="162"/>
      <c r="AJ452" s="162"/>
      <c r="AK452" s="162"/>
      <c r="AL452" s="1192"/>
      <c r="AM452" s="16"/>
      <c r="AN452" s="439"/>
    </row>
    <row r="453" spans="1:49" s="162" customFormat="1" ht="12.75" customHeight="1">
      <c r="A453" s="8"/>
      <c r="B453" s="118"/>
      <c r="C453" s="2394" t="s">
        <v>119</v>
      </c>
      <c r="D453" s="1696"/>
      <c r="E453" s="350"/>
      <c r="F453" s="1181" t="s">
        <v>2024</v>
      </c>
      <c r="G453" s="1182"/>
      <c r="H453" s="1182"/>
      <c r="I453" s="1182"/>
      <c r="J453" s="1182"/>
      <c r="K453" s="1182"/>
      <c r="L453" s="1182"/>
      <c r="M453" s="1182"/>
      <c r="N453" s="1182"/>
      <c r="O453" s="1182"/>
      <c r="P453" s="1182"/>
      <c r="Q453" s="1182"/>
      <c r="R453" s="1182"/>
      <c r="S453" s="1182"/>
      <c r="T453" s="1182"/>
      <c r="U453" s="1182"/>
      <c r="V453" s="1182"/>
      <c r="W453" s="1182"/>
      <c r="X453" s="1182"/>
      <c r="Y453" s="1182"/>
      <c r="Z453" s="1182"/>
      <c r="AA453" s="1182"/>
      <c r="AB453" s="1182"/>
      <c r="AC453" s="1182"/>
      <c r="AD453" s="1182"/>
      <c r="AF453" s="2409" t="s">
        <v>355</v>
      </c>
      <c r="AG453" s="2409"/>
      <c r="AH453" s="2409"/>
      <c r="AI453" s="2409"/>
      <c r="AJ453" s="2409"/>
      <c r="AK453" s="2409"/>
      <c r="AL453" s="2410"/>
      <c r="AM453" s="16"/>
      <c r="AN453" s="1142"/>
      <c r="AP453" s="125"/>
      <c r="AQ453" s="249"/>
      <c r="AR453" s="249"/>
      <c r="AS453" s="249"/>
      <c r="AT453" s="249"/>
      <c r="AU453" s="249"/>
      <c r="AV453" s="249"/>
      <c r="AW453" s="249"/>
    </row>
    <row r="454" spans="1:49" s="46" customFormat="1" ht="12.75" customHeight="1">
      <c r="A454" s="8"/>
      <c r="B454" s="118"/>
      <c r="C454" s="1195"/>
      <c r="D454" s="162"/>
      <c r="E454" s="306"/>
      <c r="F454" s="1217"/>
      <c r="G454" s="1317"/>
      <c r="H454" s="1317"/>
      <c r="I454" s="1317"/>
      <c r="J454" s="1317"/>
      <c r="K454" s="1317"/>
      <c r="L454" s="1317"/>
      <c r="M454" s="1317"/>
      <c r="N454" s="1317"/>
      <c r="O454" s="1317"/>
      <c r="P454" s="1317"/>
      <c r="Q454" s="1317"/>
      <c r="R454" s="1317"/>
      <c r="S454" s="1317"/>
      <c r="T454" s="1317"/>
      <c r="U454" s="1317"/>
      <c r="V454" s="1317"/>
      <c r="W454" s="1317"/>
      <c r="X454" s="1317"/>
      <c r="Y454" s="1317"/>
      <c r="Z454" s="1317"/>
      <c r="AA454" s="1317"/>
      <c r="AB454" s="1317"/>
      <c r="AC454" s="1317"/>
      <c r="AD454" s="1317"/>
      <c r="AE454" s="162"/>
      <c r="AF454" s="162"/>
      <c r="AG454" s="162"/>
      <c r="AH454" s="162"/>
      <c r="AI454" s="162"/>
      <c r="AJ454" s="162"/>
      <c r="AK454" s="162"/>
      <c r="AL454" s="1192"/>
      <c r="AM454" s="16"/>
      <c r="AN454" s="1142"/>
      <c r="AO454" s="162"/>
      <c r="AP454" s="162"/>
      <c r="AQ454" s="249"/>
      <c r="AR454" s="249"/>
      <c r="AS454" s="249"/>
      <c r="AT454" s="249"/>
      <c r="AU454" s="249"/>
      <c r="AV454" s="249"/>
      <c r="AW454" s="249"/>
    </row>
    <row r="455" spans="1:49" s="46" customFormat="1" ht="12.75" customHeight="1">
      <c r="A455" s="8"/>
      <c r="B455" s="118"/>
      <c r="C455" s="1218"/>
      <c r="D455" s="1219"/>
      <c r="E455" s="1198"/>
      <c r="F455" s="1202" t="s">
        <v>2010</v>
      </c>
      <c r="G455" s="1193"/>
      <c r="H455" s="1193"/>
      <c r="I455" s="1193"/>
      <c r="J455" s="1193"/>
      <c r="K455" s="1193"/>
      <c r="L455" s="1193"/>
      <c r="M455" s="1193"/>
      <c r="N455" s="1193"/>
      <c r="O455" s="1193"/>
      <c r="P455" s="1193"/>
      <c r="Q455" s="1193"/>
      <c r="R455" s="1193"/>
      <c r="S455" s="1193"/>
      <c r="T455" s="1193"/>
      <c r="U455" s="1193"/>
      <c r="V455" s="1193"/>
      <c r="W455" s="1193"/>
      <c r="X455" s="1193"/>
      <c r="Y455" s="1193"/>
      <c r="Z455" s="1193"/>
      <c r="AA455" s="1193"/>
      <c r="AB455" s="1193"/>
      <c r="AC455" s="1193"/>
      <c r="AD455" s="1193"/>
      <c r="AE455" s="1200"/>
      <c r="AF455" s="1201"/>
      <c r="AG455" s="1200"/>
      <c r="AH455" s="1202"/>
      <c r="AI455" s="1202"/>
      <c r="AJ455" s="1202"/>
      <c r="AK455" s="1202"/>
      <c r="AL455" s="1203"/>
      <c r="AM455" s="16"/>
      <c r="AN455" s="1142"/>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2"/>
      <c r="AO456" s="162"/>
      <c r="AP456" s="162"/>
      <c r="AQ456" s="249"/>
      <c r="AR456" s="249"/>
      <c r="AS456" s="249"/>
      <c r="AT456" s="249"/>
      <c r="AU456" s="249"/>
      <c r="AV456" s="249"/>
      <c r="AW456" s="249"/>
    </row>
    <row r="457" spans="1:49" s="137" customFormat="1" ht="12.75" customHeight="1">
      <c r="A457" s="8"/>
      <c r="B457" s="118"/>
      <c r="C457" s="2402" t="s">
        <v>136</v>
      </c>
      <c r="D457" s="2403"/>
      <c r="E457" s="1185" t="s">
        <v>1071</v>
      </c>
      <c r="F457" s="2391" t="s">
        <v>1073</v>
      </c>
      <c r="G457" s="2391"/>
      <c r="H457" s="2391"/>
      <c r="I457" s="2391"/>
      <c r="J457" s="2391"/>
      <c r="K457" s="2391"/>
      <c r="L457" s="2391"/>
      <c r="M457" s="2391"/>
      <c r="N457" s="2391"/>
      <c r="O457" s="2391"/>
      <c r="P457" s="2391"/>
      <c r="Q457" s="2391"/>
      <c r="R457" s="2391"/>
      <c r="S457" s="2391"/>
      <c r="T457" s="2391"/>
      <c r="U457" s="2391"/>
      <c r="V457" s="2391"/>
      <c r="W457" s="2391"/>
      <c r="X457" s="2391"/>
      <c r="Y457" s="2391"/>
      <c r="Z457" s="2391"/>
      <c r="AA457" s="2391"/>
      <c r="AB457" s="2391"/>
      <c r="AC457" s="2391"/>
      <c r="AD457" s="2391"/>
      <c r="AE457" s="2391"/>
      <c r="AF457" s="2413" t="s">
        <v>355</v>
      </c>
      <c r="AG457" s="2413"/>
      <c r="AH457" s="2413"/>
      <c r="AI457" s="2413"/>
      <c r="AJ457" s="2413"/>
      <c r="AK457" s="2413"/>
      <c r="AL457" s="2414"/>
      <c r="AM457" s="16"/>
      <c r="AN457" s="1142"/>
      <c r="AO457" s="162"/>
      <c r="AP457" s="162"/>
      <c r="AQ457" s="249"/>
    </row>
    <row r="458" spans="1:49" s="137" customFormat="1" ht="12.75" customHeight="1">
      <c r="A458" s="8"/>
      <c r="B458" s="118"/>
      <c r="C458" s="1321"/>
      <c r="D458" s="1314"/>
      <c r="E458" s="350"/>
      <c r="F458" s="2392"/>
      <c r="G458" s="2392"/>
      <c r="H458" s="2392"/>
      <c r="I458" s="2392"/>
      <c r="J458" s="2392"/>
      <c r="K458" s="2392"/>
      <c r="L458" s="2392"/>
      <c r="M458" s="2392"/>
      <c r="N458" s="2392"/>
      <c r="O458" s="2392"/>
      <c r="P458" s="2392"/>
      <c r="Q458" s="2392"/>
      <c r="R458" s="2392"/>
      <c r="S458" s="2392"/>
      <c r="T458" s="2392"/>
      <c r="U458" s="2392"/>
      <c r="V458" s="2392"/>
      <c r="W458" s="2392"/>
      <c r="X458" s="2392"/>
      <c r="Y458" s="2392"/>
      <c r="Z458" s="2392"/>
      <c r="AA458" s="2392"/>
      <c r="AB458" s="2392"/>
      <c r="AC458" s="2392"/>
      <c r="AD458" s="2392"/>
      <c r="AE458" s="2392"/>
      <c r="AF458" s="1315"/>
      <c r="AG458" s="1315"/>
      <c r="AH458" s="1315"/>
      <c r="AI458" s="1315"/>
      <c r="AJ458" s="1315"/>
      <c r="AK458" s="1315"/>
      <c r="AL458" s="1316"/>
      <c r="AM458" s="16"/>
      <c r="AN458" s="1143"/>
      <c r="AO458" s="46" t="s">
        <v>136</v>
      </c>
      <c r="AP458" s="162">
        <v>0</v>
      </c>
      <c r="AQ458" s="249"/>
    </row>
    <row r="459" spans="1:49" s="46" customFormat="1" ht="17.7" customHeight="1">
      <c r="A459" s="8"/>
      <c r="B459" s="118"/>
      <c r="C459" s="1187"/>
      <c r="D459" s="1188"/>
      <c r="E459" s="1189"/>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1318"/>
      <c r="AG459" s="1318"/>
      <c r="AH459" s="1318"/>
      <c r="AI459" s="1318"/>
      <c r="AJ459" s="1318"/>
      <c r="AK459" s="1318"/>
      <c r="AL459" s="1319"/>
      <c r="AM459" s="16"/>
      <c r="AN459" s="1144"/>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5"/>
      <c r="AO460" s="46" t="s">
        <v>1075</v>
      </c>
      <c r="AP460" s="46">
        <v>5</v>
      </c>
      <c r="AQ460" s="250"/>
    </row>
    <row r="461" spans="1:49" s="46" customFormat="1" ht="12.75" customHeight="1">
      <c r="A461" s="8"/>
      <c r="B461" s="65"/>
      <c r="C461" s="2402" t="s">
        <v>136</v>
      </c>
      <c r="D461" s="2403"/>
      <c r="E461" s="1185" t="s">
        <v>1072</v>
      </c>
      <c r="F461" s="2391" t="s">
        <v>2072</v>
      </c>
      <c r="G461" s="2391"/>
      <c r="H461" s="2391"/>
      <c r="I461" s="2391"/>
      <c r="J461" s="2391"/>
      <c r="K461" s="2391"/>
      <c r="L461" s="2391"/>
      <c r="M461" s="2391"/>
      <c r="N461" s="2391"/>
      <c r="O461" s="2391"/>
      <c r="P461" s="2391"/>
      <c r="Q461" s="2391"/>
      <c r="R461" s="2391"/>
      <c r="S461" s="2391"/>
      <c r="T461" s="2391"/>
      <c r="U461" s="2391"/>
      <c r="V461" s="2391"/>
      <c r="W461" s="2391"/>
      <c r="X461" s="2391"/>
      <c r="Y461" s="2391"/>
      <c r="Z461" s="2391"/>
      <c r="AA461" s="2391"/>
      <c r="AB461" s="2391"/>
      <c r="AC461" s="2391"/>
      <c r="AD461" s="2391"/>
      <c r="AE461" s="2391"/>
      <c r="AF461" s="2413" t="s">
        <v>355</v>
      </c>
      <c r="AG461" s="2413"/>
      <c r="AH461" s="2413"/>
      <c r="AI461" s="2413"/>
      <c r="AJ461" s="2413"/>
      <c r="AK461" s="2413"/>
      <c r="AL461" s="2414"/>
      <c r="AM461" s="16"/>
      <c r="AN461" s="1145"/>
      <c r="AO461" s="46" t="s">
        <v>1474</v>
      </c>
      <c r="AP461" s="46">
        <v>5</v>
      </c>
      <c r="AQ461" s="251"/>
    </row>
    <row r="462" spans="1:49" s="46" customFormat="1" ht="12.75" customHeight="1">
      <c r="A462" s="8"/>
      <c r="B462" s="65"/>
      <c r="C462" s="1191"/>
      <c r="D462" s="125"/>
      <c r="E462" s="306"/>
      <c r="F462" s="2392"/>
      <c r="G462" s="2392"/>
      <c r="H462" s="2392"/>
      <c r="I462" s="2392"/>
      <c r="J462" s="2392"/>
      <c r="K462" s="2392"/>
      <c r="L462" s="2392"/>
      <c r="M462" s="2392"/>
      <c r="N462" s="2392"/>
      <c r="O462" s="2392"/>
      <c r="P462" s="2392"/>
      <c r="Q462" s="2392"/>
      <c r="R462" s="2392"/>
      <c r="S462" s="2392"/>
      <c r="T462" s="2392"/>
      <c r="U462" s="2392"/>
      <c r="V462" s="2392"/>
      <c r="W462" s="2392"/>
      <c r="X462" s="2392"/>
      <c r="Y462" s="2392"/>
      <c r="Z462" s="2392"/>
      <c r="AA462" s="2392"/>
      <c r="AB462" s="2392"/>
      <c r="AC462" s="2392"/>
      <c r="AD462" s="2392"/>
      <c r="AE462" s="2392"/>
      <c r="AF462" s="62"/>
      <c r="AG462" s="71"/>
      <c r="AH462" s="162"/>
      <c r="AI462" s="162"/>
      <c r="AJ462" s="162"/>
      <c r="AK462" s="162"/>
      <c r="AL462" s="1192"/>
      <c r="AM462" s="16"/>
      <c r="AN462" s="1145"/>
      <c r="AO462" s="46" t="s">
        <v>1470</v>
      </c>
      <c r="AP462" s="46">
        <v>5</v>
      </c>
    </row>
    <row r="463" spans="1:49" s="46" customFormat="1" ht="12.75" customHeight="1">
      <c r="A463" s="8"/>
      <c r="B463" s="65"/>
      <c r="C463" s="1191"/>
      <c r="D463" s="125"/>
      <c r="E463" s="306"/>
      <c r="F463" s="2392"/>
      <c r="G463" s="2392"/>
      <c r="H463" s="2392"/>
      <c r="I463" s="2392"/>
      <c r="J463" s="2392"/>
      <c r="K463" s="2392"/>
      <c r="L463" s="2392"/>
      <c r="M463" s="2392"/>
      <c r="N463" s="2392"/>
      <c r="O463" s="2392"/>
      <c r="P463" s="2392"/>
      <c r="Q463" s="2392"/>
      <c r="R463" s="2392"/>
      <c r="S463" s="2392"/>
      <c r="T463" s="2392"/>
      <c r="U463" s="2392"/>
      <c r="V463" s="2392"/>
      <c r="W463" s="2392"/>
      <c r="X463" s="2392"/>
      <c r="Y463" s="2392"/>
      <c r="Z463" s="2392"/>
      <c r="AA463" s="2392"/>
      <c r="AB463" s="2392"/>
      <c r="AC463" s="2392"/>
      <c r="AD463" s="2392"/>
      <c r="AE463" s="2392"/>
      <c r="AF463" s="62"/>
      <c r="AG463" s="71"/>
      <c r="AH463" s="162"/>
      <c r="AI463" s="162"/>
      <c r="AJ463" s="162"/>
      <c r="AK463" s="162"/>
      <c r="AL463" s="1192"/>
      <c r="AM463" s="16"/>
      <c r="AN463" s="1145"/>
      <c r="AO463" s="46" t="s">
        <v>1471</v>
      </c>
      <c r="AP463" s="46">
        <v>5</v>
      </c>
    </row>
    <row r="464" spans="1:49" s="46" customFormat="1" ht="12.75" customHeight="1">
      <c r="A464" s="8"/>
      <c r="B464" s="118"/>
      <c r="C464" s="1187"/>
      <c r="D464" s="1188"/>
      <c r="E464" s="1189"/>
      <c r="F464" s="2393"/>
      <c r="G464" s="2393"/>
      <c r="H464" s="2393"/>
      <c r="I464" s="2393"/>
      <c r="J464" s="2393"/>
      <c r="K464" s="2393"/>
      <c r="L464" s="2393"/>
      <c r="M464" s="2393"/>
      <c r="N464" s="2393"/>
      <c r="O464" s="2393"/>
      <c r="P464" s="2393"/>
      <c r="Q464" s="2393"/>
      <c r="R464" s="2393"/>
      <c r="S464" s="2393"/>
      <c r="T464" s="2393"/>
      <c r="U464" s="2393"/>
      <c r="V464" s="2393"/>
      <c r="W464" s="2393"/>
      <c r="X464" s="2393"/>
      <c r="Y464" s="2393"/>
      <c r="Z464" s="2393"/>
      <c r="AA464" s="2393"/>
      <c r="AB464" s="2393"/>
      <c r="AC464" s="2393"/>
      <c r="AD464" s="2393"/>
      <c r="AE464" s="2393"/>
      <c r="AF464" s="1318"/>
      <c r="AG464" s="1318"/>
      <c r="AH464" s="1318"/>
      <c r="AI464" s="1318"/>
      <c r="AJ464" s="1318"/>
      <c r="AK464" s="1318"/>
      <c r="AL464" s="1319"/>
      <c r="AM464" s="16"/>
      <c r="AN464" s="439"/>
      <c r="AO464" s="46" t="s">
        <v>1472</v>
      </c>
      <c r="AP464" s="46">
        <v>5</v>
      </c>
    </row>
    <row r="465" spans="1:54" s="46" customFormat="1" ht="12.75" customHeight="1">
      <c r="A465" s="8"/>
      <c r="B465" s="65"/>
      <c r="C465" s="162"/>
      <c r="D465" s="162"/>
      <c r="E465" s="162"/>
      <c r="F465" s="162"/>
      <c r="G465" s="1209"/>
      <c r="H465" s="1209"/>
      <c r="I465" s="1209"/>
      <c r="J465" s="1209"/>
      <c r="K465" s="1209"/>
      <c r="L465" s="1209"/>
      <c r="M465" s="1209"/>
      <c r="N465" s="1209"/>
      <c r="O465" s="1209"/>
      <c r="P465" s="1209"/>
      <c r="Q465" s="1209"/>
      <c r="R465" s="1209"/>
      <c r="S465" s="1209"/>
      <c r="T465" s="1209"/>
      <c r="U465" s="1209"/>
      <c r="V465" s="1209"/>
      <c r="W465" s="1209"/>
      <c r="X465" s="1209"/>
      <c r="Y465" s="1209"/>
      <c r="Z465" s="1209"/>
      <c r="AA465" s="1209"/>
      <c r="AB465" s="1209"/>
      <c r="AC465" s="1209"/>
      <c r="AD465" s="1209"/>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8"/>
      <c r="D466" s="1253"/>
      <c r="E466" s="1185" t="s">
        <v>1070</v>
      </c>
      <c r="F466" s="2411" t="s">
        <v>2073</v>
      </c>
      <c r="G466" s="2411"/>
      <c r="H466" s="2411"/>
      <c r="I466" s="2411"/>
      <c r="J466" s="2411"/>
      <c r="K466" s="2411"/>
      <c r="L466" s="2411"/>
      <c r="M466" s="2411"/>
      <c r="N466" s="2411"/>
      <c r="O466" s="2411"/>
      <c r="P466" s="2411"/>
      <c r="Q466" s="2411"/>
      <c r="R466" s="2411"/>
      <c r="S466" s="2411"/>
      <c r="T466" s="2411"/>
      <c r="U466" s="2411"/>
      <c r="V466" s="2411"/>
      <c r="W466" s="2411"/>
      <c r="X466" s="2411"/>
      <c r="Y466" s="2411"/>
      <c r="Z466" s="2411"/>
      <c r="AA466" s="2411"/>
      <c r="AB466" s="2411"/>
      <c r="AC466" s="2411"/>
      <c r="AD466" s="2411"/>
      <c r="AE466" s="2411"/>
      <c r="AF466" s="2411"/>
      <c r="AG466" s="1327"/>
      <c r="AH466" s="1184"/>
      <c r="AI466" s="1184"/>
      <c r="AJ466" s="1184"/>
      <c r="AK466" s="1184"/>
      <c r="AL466" s="1212"/>
      <c r="AM466" s="16"/>
      <c r="AN466" s="439"/>
      <c r="AO466" s="46" t="s">
        <v>1473</v>
      </c>
      <c r="AP466" s="46">
        <v>1</v>
      </c>
    </row>
    <row r="467" spans="1:54" s="46" customFormat="1" ht="12.75" customHeight="1">
      <c r="A467" s="8"/>
      <c r="B467" s="65"/>
      <c r="C467" s="1191"/>
      <c r="D467" s="125"/>
      <c r="E467" s="306"/>
      <c r="F467" s="2412"/>
      <c r="G467" s="2412"/>
      <c r="H467" s="2412"/>
      <c r="I467" s="2412"/>
      <c r="J467" s="2412"/>
      <c r="K467" s="2412"/>
      <c r="L467" s="2412"/>
      <c r="M467" s="2412"/>
      <c r="N467" s="2412"/>
      <c r="O467" s="2412"/>
      <c r="P467" s="2412"/>
      <c r="Q467" s="2412"/>
      <c r="R467" s="2412"/>
      <c r="S467" s="2412"/>
      <c r="T467" s="2412"/>
      <c r="U467" s="2412"/>
      <c r="V467" s="2412"/>
      <c r="W467" s="2412"/>
      <c r="X467" s="2412"/>
      <c r="Y467" s="2412"/>
      <c r="Z467" s="2412"/>
      <c r="AA467" s="2412"/>
      <c r="AB467" s="2412"/>
      <c r="AC467" s="2412"/>
      <c r="AD467" s="2412"/>
      <c r="AE467" s="2412"/>
      <c r="AF467" s="2412"/>
      <c r="AG467" s="162"/>
      <c r="AH467" s="162"/>
      <c r="AI467" s="162"/>
      <c r="AJ467" s="162"/>
      <c r="AK467" s="162"/>
      <c r="AL467" s="1192"/>
      <c r="AM467" s="16"/>
      <c r="AN467" s="439"/>
      <c r="AS467" s="543"/>
      <c r="AW467" s="543" t="s">
        <v>1079</v>
      </c>
      <c r="BA467" s="543" t="s">
        <v>1080</v>
      </c>
    </row>
    <row r="468" spans="1:54" s="46" customFormat="1" ht="12.75" customHeight="1">
      <c r="A468" s="8"/>
      <c r="B468" s="65"/>
      <c r="C468" s="1195"/>
      <c r="D468" s="162"/>
      <c r="E468" s="162"/>
      <c r="F468" s="2412"/>
      <c r="G468" s="2412"/>
      <c r="H468" s="2412"/>
      <c r="I468" s="2412"/>
      <c r="J468" s="2412"/>
      <c r="K468" s="2412"/>
      <c r="L468" s="2412"/>
      <c r="M468" s="2412"/>
      <c r="N468" s="2412"/>
      <c r="O468" s="2412"/>
      <c r="P468" s="2412"/>
      <c r="Q468" s="2412"/>
      <c r="R468" s="2412"/>
      <c r="S468" s="2412"/>
      <c r="T468" s="2412"/>
      <c r="U468" s="2412"/>
      <c r="V468" s="2412"/>
      <c r="W468" s="2412"/>
      <c r="X468" s="2412"/>
      <c r="Y468" s="2412"/>
      <c r="Z468" s="2412"/>
      <c r="AA468" s="2412"/>
      <c r="AB468" s="2412"/>
      <c r="AC468" s="2412"/>
      <c r="AD468" s="2412"/>
      <c r="AE468" s="2412"/>
      <c r="AF468" s="2412"/>
      <c r="AG468" s="162"/>
      <c r="AH468" s="162"/>
      <c r="AI468" s="162"/>
      <c r="AJ468" s="162"/>
      <c r="AK468" s="162"/>
      <c r="AL468" s="1192"/>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5"/>
      <c r="D469" s="162"/>
      <c r="E469" s="162"/>
      <c r="F469" s="2412"/>
      <c r="G469" s="2412"/>
      <c r="H469" s="2412"/>
      <c r="I469" s="2412"/>
      <c r="J469" s="2412"/>
      <c r="K469" s="2412"/>
      <c r="L469" s="2412"/>
      <c r="M469" s="2412"/>
      <c r="N469" s="2412"/>
      <c r="O469" s="2412"/>
      <c r="P469" s="2412"/>
      <c r="Q469" s="2412"/>
      <c r="R469" s="2412"/>
      <c r="S469" s="2412"/>
      <c r="T469" s="2412"/>
      <c r="U469" s="2412"/>
      <c r="V469" s="2412"/>
      <c r="W469" s="2412"/>
      <c r="X469" s="2412"/>
      <c r="Y469" s="2412"/>
      <c r="Z469" s="2412"/>
      <c r="AA469" s="2412"/>
      <c r="AB469" s="2412"/>
      <c r="AC469" s="2412"/>
      <c r="AD469" s="2412"/>
      <c r="AE469" s="2412"/>
      <c r="AF469" s="2412"/>
      <c r="AG469" s="162"/>
      <c r="AH469" s="162"/>
      <c r="AI469" s="162"/>
      <c r="AJ469" s="162"/>
      <c r="AK469" s="162"/>
      <c r="AL469" s="1192"/>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94" t="s">
        <v>136</v>
      </c>
      <c r="D470" s="1696"/>
      <c r="E470" s="350"/>
      <c r="F470" s="1208" t="s">
        <v>2017</v>
      </c>
      <c r="G470" s="1209"/>
      <c r="H470" s="1209"/>
      <c r="I470" s="1209"/>
      <c r="J470" s="1209"/>
      <c r="K470" s="1209"/>
      <c r="L470" s="1209"/>
      <c r="M470" s="1209"/>
      <c r="N470" s="1209"/>
      <c r="O470" s="1209"/>
      <c r="P470" s="1209"/>
      <c r="Q470" s="1209"/>
      <c r="R470" s="1209"/>
      <c r="S470" s="1209"/>
      <c r="T470" s="1209"/>
      <c r="U470" s="1209"/>
      <c r="V470" s="1209"/>
      <c r="W470" s="1209"/>
      <c r="X470" s="1209"/>
      <c r="Y470" s="1209"/>
      <c r="Z470" s="1209"/>
      <c r="AA470" s="1209"/>
      <c r="AB470" s="1209"/>
      <c r="AC470" s="1209"/>
      <c r="AD470" s="1209"/>
      <c r="AE470" s="162"/>
      <c r="AF470" s="2407" t="s">
        <v>355</v>
      </c>
      <c r="AG470" s="2407"/>
      <c r="AH470" s="2407"/>
      <c r="AI470" s="2407"/>
      <c r="AJ470" s="2407"/>
      <c r="AK470" s="2407"/>
      <c r="AL470" s="2408"/>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6"/>
      <c r="D471" s="1197"/>
      <c r="E471" s="1198"/>
      <c r="F471" s="1202"/>
      <c r="G471" s="1202"/>
      <c r="H471" s="1202"/>
      <c r="I471" s="1202"/>
      <c r="J471" s="1202"/>
      <c r="K471" s="1202"/>
      <c r="L471" s="1202"/>
      <c r="M471" s="1202"/>
      <c r="N471" s="1202"/>
      <c r="O471" s="1202"/>
      <c r="P471" s="1202"/>
      <c r="Q471" s="1202"/>
      <c r="R471" s="1202"/>
      <c r="S471" s="1202"/>
      <c r="T471" s="1202"/>
      <c r="U471" s="1202"/>
      <c r="V471" s="1202"/>
      <c r="W471" s="1202"/>
      <c r="X471" s="1202"/>
      <c r="Y471" s="1202"/>
      <c r="Z471" s="1202"/>
      <c r="AA471" s="1202"/>
      <c r="AB471" s="1202"/>
      <c r="AC471" s="1202"/>
      <c r="AD471" s="1202"/>
      <c r="AE471" s="1202"/>
      <c r="AF471" s="1202"/>
      <c r="AG471" s="1202"/>
      <c r="AH471" s="1202"/>
      <c r="AI471" s="1202"/>
      <c r="AJ471" s="1202"/>
      <c r="AK471" s="1202"/>
      <c r="AL471" s="1203"/>
      <c r="AN471" s="439"/>
      <c r="AO471" s="552"/>
      <c r="AP471" s="43"/>
      <c r="AS471" s="552"/>
      <c r="AT471" s="43"/>
      <c r="AW471" s="552">
        <v>0.8</v>
      </c>
      <c r="AX471" s="43">
        <v>5</v>
      </c>
      <c r="BA471" s="552"/>
      <c r="BB471" s="43"/>
    </row>
    <row r="472" spans="1:54" s="46" customFormat="1" ht="12.75" customHeight="1">
      <c r="A472" s="8"/>
      <c r="B472" s="65"/>
      <c r="C472" s="102"/>
      <c r="D472" s="102"/>
      <c r="E472" s="153"/>
      <c r="F472" s="1428"/>
      <c r="G472" s="976"/>
      <c r="H472" s="976"/>
      <c r="I472" s="976"/>
      <c r="J472" s="976"/>
      <c r="K472" s="976"/>
      <c r="L472" s="976"/>
      <c r="M472" s="976"/>
      <c r="N472" s="976"/>
      <c r="O472" s="976"/>
      <c r="P472" s="976"/>
      <c r="Q472" s="976"/>
      <c r="R472" s="976"/>
      <c r="S472" s="976"/>
      <c r="T472" s="976"/>
      <c r="U472" s="976"/>
      <c r="V472" s="976"/>
      <c r="W472" s="976"/>
      <c r="X472" s="976"/>
      <c r="Y472" s="976"/>
      <c r="Z472" s="976"/>
      <c r="AA472" s="976"/>
      <c r="AB472" s="976"/>
      <c r="AC472" s="976"/>
      <c r="AD472" s="976"/>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6"/>
      <c r="H473" s="976"/>
      <c r="I473" s="976"/>
      <c r="J473" s="976"/>
      <c r="K473" s="976"/>
      <c r="L473" s="976"/>
      <c r="M473" s="976"/>
      <c r="N473" s="976"/>
      <c r="O473" s="976"/>
      <c r="P473" s="976"/>
      <c r="Q473" s="976"/>
      <c r="R473" s="976"/>
      <c r="S473" s="976"/>
      <c r="T473" s="976"/>
      <c r="U473" s="976"/>
      <c r="V473" s="976"/>
      <c r="W473" s="976"/>
      <c r="X473" s="976"/>
      <c r="Y473" s="976"/>
      <c r="Z473" s="976"/>
      <c r="AA473" s="976"/>
      <c r="AB473" s="976"/>
      <c r="AC473" s="976"/>
      <c r="AD473" s="976"/>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8"/>
      <c r="G474" s="976"/>
      <c r="H474" s="976"/>
      <c r="I474" s="976"/>
      <c r="J474" s="976"/>
      <c r="K474" s="976"/>
      <c r="L474" s="976"/>
      <c r="M474" s="976"/>
      <c r="N474" s="976"/>
      <c r="O474" s="976"/>
      <c r="P474" s="976"/>
      <c r="Q474" s="976"/>
      <c r="R474" s="976"/>
      <c r="S474" s="976"/>
      <c r="T474" s="976"/>
      <c r="U474" s="976"/>
      <c r="V474" s="976"/>
      <c r="W474" s="976"/>
      <c r="X474" s="976"/>
      <c r="Y474" s="976"/>
      <c r="Z474" s="976"/>
      <c r="AA474" s="976"/>
      <c r="AB474" s="976"/>
      <c r="AC474" s="976"/>
      <c r="AD474" s="976"/>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69"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6" t="s">
        <v>790</v>
      </c>
      <c r="AK476" s="2364">
        <f>IF(AS359=0,AS357,AS359)</f>
        <v>16</v>
      </c>
      <c r="AL476" s="2365"/>
      <c r="AM476" s="236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41" t="s">
        <v>1390</v>
      </c>
      <c r="AF479" s="2441"/>
      <c r="AG479" s="2441"/>
      <c r="AH479" s="2441"/>
      <c r="AI479" s="2441"/>
      <c r="AJ479" s="2441"/>
      <c r="AK479" s="2441"/>
      <c r="AL479" s="1298"/>
      <c r="AM479" s="153"/>
      <c r="AN479" s="439"/>
      <c r="AO479" s="46" t="s">
        <v>1074</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8"/>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8"/>
      <c r="AM481" s="153"/>
      <c r="AN481" s="439"/>
      <c r="AO481" s="46" t="s">
        <v>1474</v>
      </c>
      <c r="AP481" s="46">
        <v>5</v>
      </c>
      <c r="AQ481" s="679"/>
      <c r="AR481" s="679"/>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8"/>
      <c r="AM482" s="153"/>
      <c r="AN482" s="439"/>
      <c r="AO482" s="46" t="s">
        <v>1470</v>
      </c>
      <c r="AP482" s="46">
        <v>5</v>
      </c>
      <c r="AQ482" s="679"/>
      <c r="AR482" s="679"/>
      <c r="AW482" s="731"/>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8"/>
      <c r="AM483" s="153"/>
      <c r="AN483" s="439"/>
      <c r="AO483" s="46" t="s">
        <v>1471</v>
      </c>
      <c r="AP483" s="46">
        <v>5</v>
      </c>
      <c r="AQ483" s="679"/>
      <c r="AR483" s="679"/>
      <c r="AW483" s="731"/>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1"/>
    </row>
    <row r="485" spans="1:50" s="46" customFormat="1" ht="12.75" hidden="1" customHeight="1">
      <c r="A485" s="152"/>
      <c r="C485" s="2340" t="s">
        <v>136</v>
      </c>
      <c r="D485" s="2341"/>
      <c r="E485" s="1251" t="s">
        <v>212</v>
      </c>
      <c r="F485" s="2371" t="s">
        <v>1076</v>
      </c>
      <c r="G485" s="2371"/>
      <c r="H485" s="2371"/>
      <c r="I485" s="2371"/>
      <c r="J485" s="2371"/>
      <c r="K485" s="2371"/>
      <c r="L485" s="2371"/>
      <c r="M485" s="2371"/>
      <c r="N485" s="2371"/>
      <c r="O485" s="2371"/>
      <c r="P485" s="2371"/>
      <c r="Q485" s="2371"/>
      <c r="R485" s="2371"/>
      <c r="S485" s="2371"/>
      <c r="T485" s="2371"/>
      <c r="U485" s="2371"/>
      <c r="V485" s="2371"/>
      <c r="W485" s="2371"/>
      <c r="X485" s="2371"/>
      <c r="Y485" s="2371"/>
      <c r="Z485" s="2371"/>
      <c r="AA485" s="2371"/>
      <c r="AB485" s="2371"/>
      <c r="AC485" s="2371"/>
      <c r="AD485" s="2371"/>
      <c r="AE485" s="2371"/>
      <c r="AF485" s="1184"/>
      <c r="AG485" s="1184"/>
      <c r="AH485" s="1184"/>
      <c r="AI485" s="1184"/>
      <c r="AJ485" s="1184"/>
      <c r="AK485" s="1212"/>
      <c r="AL485" s="162"/>
      <c r="AN485" s="439"/>
      <c r="AO485" s="46" t="s">
        <v>2184</v>
      </c>
      <c r="AP485" s="46">
        <v>5</v>
      </c>
      <c r="AS485" s="552"/>
      <c r="AT485" s="43"/>
      <c r="AW485" s="731"/>
      <c r="AX485" s="64"/>
    </row>
    <row r="486" spans="1:50" s="46" customFormat="1" ht="12.75" hidden="1" customHeight="1">
      <c r="A486" s="28"/>
      <c r="C486" s="1220"/>
      <c r="D486" s="162"/>
      <c r="E486" s="225"/>
      <c r="F486" s="2372"/>
      <c r="G486" s="2372"/>
      <c r="H486" s="2372"/>
      <c r="I486" s="2372"/>
      <c r="J486" s="2372"/>
      <c r="K486" s="2372"/>
      <c r="L486" s="2372"/>
      <c r="M486" s="2372"/>
      <c r="N486" s="2372"/>
      <c r="O486" s="2372"/>
      <c r="P486" s="2372"/>
      <c r="Q486" s="2372"/>
      <c r="R486" s="2372"/>
      <c r="S486" s="2372"/>
      <c r="T486" s="2372"/>
      <c r="U486" s="2372"/>
      <c r="V486" s="2372"/>
      <c r="W486" s="2372"/>
      <c r="X486" s="2372"/>
      <c r="Y486" s="2372"/>
      <c r="Z486" s="2372"/>
      <c r="AA486" s="2372"/>
      <c r="AB486" s="2372"/>
      <c r="AC486" s="2372"/>
      <c r="AD486" s="2372"/>
      <c r="AE486" s="2372"/>
      <c r="AF486" s="162"/>
      <c r="AG486" s="27"/>
      <c r="AH486" s="27"/>
      <c r="AI486" s="27"/>
      <c r="AJ486" s="27"/>
      <c r="AK486" s="1192"/>
      <c r="AL486" s="162"/>
      <c r="AN486" s="439"/>
      <c r="AO486" s="46" t="s">
        <v>1473</v>
      </c>
      <c r="AP486" s="46">
        <v>1</v>
      </c>
    </row>
    <row r="487" spans="1:50" s="46" customFormat="1" ht="12.75" hidden="1" customHeight="1">
      <c r="A487" s="28"/>
      <c r="C487" s="1221"/>
      <c r="D487" s="1202"/>
      <c r="E487" s="1222"/>
      <c r="F487" s="2345" t="s">
        <v>136</v>
      </c>
      <c r="G487" s="2345"/>
      <c r="H487" s="2345"/>
      <c r="I487" s="2345"/>
      <c r="J487" s="2345"/>
      <c r="K487" s="2345"/>
      <c r="L487" s="2345"/>
      <c r="M487" s="2345"/>
      <c r="N487" s="2345"/>
      <c r="O487" s="2345"/>
      <c r="P487" s="2345"/>
      <c r="Q487" s="2345"/>
      <c r="R487" s="2345"/>
      <c r="S487" s="2345"/>
      <c r="T487" s="2345"/>
      <c r="U487" s="2345"/>
      <c r="V487" s="2345"/>
      <c r="W487" s="2345"/>
      <c r="X487" s="2345"/>
      <c r="Y487" s="2345"/>
      <c r="Z487" s="2345"/>
      <c r="AA487" s="1223"/>
      <c r="AB487" s="1224"/>
      <c r="AC487" s="1224"/>
      <c r="AD487" s="1202"/>
      <c r="AE487" s="1202"/>
      <c r="AF487" s="1202"/>
      <c r="AG487" s="1225">
        <f>IF($C$485="Yes",(VLOOKUP($F$487,$AO$458:$AP$466,2,FALSE)),0)</f>
        <v>0</v>
      </c>
      <c r="AH487" s="1226" t="s">
        <v>1078</v>
      </c>
      <c r="AI487" s="1225"/>
      <c r="AJ487" s="1225"/>
      <c r="AK487" s="1203"/>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402" t="s">
        <v>119</v>
      </c>
      <c r="D489" s="2403"/>
      <c r="E489" s="1251" t="s">
        <v>336</v>
      </c>
      <c r="F489" s="1227" t="s">
        <v>1478</v>
      </c>
      <c r="G489" s="1228"/>
      <c r="H489" s="1228"/>
      <c r="I489" s="1228"/>
      <c r="J489" s="1228"/>
      <c r="K489" s="1228"/>
      <c r="L489" s="1228"/>
      <c r="M489" s="1228"/>
      <c r="N489" s="1228"/>
      <c r="O489" s="1228"/>
      <c r="P489" s="1228"/>
      <c r="Q489" s="1228"/>
      <c r="R489" s="1228"/>
      <c r="S489" s="1228"/>
      <c r="T489" s="1228"/>
      <c r="U489" s="1228"/>
      <c r="V489" s="1228"/>
      <c r="W489" s="1228"/>
      <c r="X489" s="1228"/>
      <c r="Y489" s="1228"/>
      <c r="Z489" s="1228"/>
      <c r="AA489" s="1228"/>
      <c r="AB489" s="1228"/>
      <c r="AC489" s="1228"/>
      <c r="AD489" s="1184"/>
      <c r="AE489" s="1184"/>
      <c r="AF489" s="1184"/>
      <c r="AG489" s="1228"/>
      <c r="AH489" s="1228"/>
      <c r="AI489" s="1228"/>
      <c r="AJ489" s="1228"/>
      <c r="AK489" s="1212"/>
      <c r="AL489" s="162"/>
      <c r="AN489" s="439"/>
      <c r="AO489" s="552">
        <v>0.15</v>
      </c>
      <c r="AP489" s="64">
        <v>3</v>
      </c>
    </row>
    <row r="490" spans="1:50" s="46" customFormat="1" ht="12.75" hidden="1" customHeight="1">
      <c r="A490" s="28"/>
      <c r="C490" s="1229" t="s">
        <v>1351</v>
      </c>
      <c r="D490" s="162"/>
      <c r="E490" s="162"/>
      <c r="F490" s="890"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5"/>
      <c r="AD490" s="162"/>
      <c r="AE490" s="162"/>
      <c r="AF490" s="162"/>
      <c r="AG490" s="175"/>
      <c r="AH490" s="175"/>
      <c r="AI490" s="175"/>
      <c r="AJ490" s="175"/>
      <c r="AK490" s="1192"/>
      <c r="AL490" s="162"/>
      <c r="AN490" s="439"/>
      <c r="AO490" s="552">
        <v>0.2</v>
      </c>
      <c r="AP490" s="64">
        <v>5</v>
      </c>
    </row>
    <row r="491" spans="1:50" s="46" customFormat="1" ht="12.75" hidden="1" customHeight="1">
      <c r="A491" s="28"/>
      <c r="C491" s="1216"/>
      <c r="D491" s="1159"/>
      <c r="E491" s="297"/>
      <c r="F491" s="890" t="s">
        <v>2196</v>
      </c>
      <c r="G491" s="890"/>
      <c r="H491" s="890"/>
      <c r="I491" s="890"/>
      <c r="J491" s="890"/>
      <c r="K491" s="890"/>
      <c r="L491" s="890"/>
      <c r="M491" s="890"/>
      <c r="N491" s="890"/>
      <c r="O491" s="890"/>
      <c r="P491" s="890"/>
      <c r="Q491" s="890"/>
      <c r="R491" s="890"/>
      <c r="S491" s="890"/>
      <c r="T491" s="890"/>
      <c r="U491" s="890"/>
      <c r="V491" s="890"/>
      <c r="W491" s="890"/>
      <c r="X491" s="890"/>
      <c r="Y491" s="890"/>
      <c r="Z491" s="890"/>
      <c r="AA491" s="890"/>
      <c r="AB491" s="890"/>
      <c r="AC491" s="891"/>
      <c r="AD491" s="966"/>
      <c r="AE491" s="966"/>
      <c r="AF491" s="966"/>
      <c r="AG491" s="892"/>
      <c r="AH491" s="175"/>
      <c r="AI491" s="175"/>
      <c r="AJ491" s="175"/>
      <c r="AK491" s="1192"/>
      <c r="AL491" s="162"/>
      <c r="AN491" s="475"/>
      <c r="AO491" s="552"/>
      <c r="AP491" s="43"/>
    </row>
    <row r="492" spans="1:50" s="205" customFormat="1" ht="12.75" hidden="1" customHeight="1">
      <c r="A492" s="57"/>
      <c r="B492" s="46"/>
      <c r="C492" s="1220"/>
      <c r="D492" s="162"/>
      <c r="E492" s="225"/>
      <c r="F492" s="1230" t="s">
        <v>1077</v>
      </c>
      <c r="G492" s="162"/>
      <c r="H492" s="162"/>
      <c r="I492" s="890"/>
      <c r="J492" s="890"/>
      <c r="K492" s="890"/>
      <c r="L492" s="890"/>
      <c r="M492" s="890"/>
      <c r="N492" s="890"/>
      <c r="O492" s="890"/>
      <c r="P492" s="890"/>
      <c r="Q492" s="890"/>
      <c r="R492" s="890"/>
      <c r="S492" s="890"/>
      <c r="T492" s="890"/>
      <c r="U492" s="890"/>
      <c r="V492" s="2342" t="s">
        <v>136</v>
      </c>
      <c r="W492" s="2342"/>
      <c r="X492" s="2342"/>
      <c r="Y492" s="890"/>
      <c r="Z492" s="890"/>
      <c r="AA492" s="890"/>
      <c r="AB492" s="890"/>
      <c r="AC492" s="890"/>
      <c r="AD492" s="966"/>
      <c r="AE492" s="966"/>
      <c r="AF492" s="966"/>
      <c r="AG492" s="175">
        <f>IF(AND($C$489="Yes",$V$494="N/A",$V$499="N/A",$V$503="N/A",$V$505="N/A"),(VLOOKUP(V492,$AR$468:$AS$470,2,FALSE)),0)</f>
        <v>0</v>
      </c>
      <c r="AH492" s="1158" t="s">
        <v>1078</v>
      </c>
      <c r="AI492" s="27"/>
      <c r="AJ492" s="27"/>
      <c r="AK492" s="1192"/>
      <c r="AL492" s="162"/>
      <c r="AM492" s="46"/>
      <c r="AN492" s="439"/>
    </row>
    <row r="493" spans="1:50" s="205" customFormat="1" ht="12.75" hidden="1" customHeight="1">
      <c r="A493" s="57"/>
      <c r="B493" s="46"/>
      <c r="C493" s="1220"/>
      <c r="D493" s="162"/>
      <c r="E493" s="225"/>
      <c r="F493" s="1230"/>
      <c r="G493" s="162"/>
      <c r="H493" s="162"/>
      <c r="I493" s="890"/>
      <c r="J493" s="890"/>
      <c r="K493" s="890"/>
      <c r="L493" s="890"/>
      <c r="M493" s="890"/>
      <c r="N493" s="890"/>
      <c r="O493" s="890"/>
      <c r="P493" s="890"/>
      <c r="Q493" s="890"/>
      <c r="R493" s="890"/>
      <c r="S493" s="890"/>
      <c r="T493" s="890"/>
      <c r="U493" s="890"/>
      <c r="V493" s="890"/>
      <c r="W493" s="890"/>
      <c r="X493" s="890"/>
      <c r="Y493" s="890"/>
      <c r="Z493" s="890"/>
      <c r="AA493" s="890"/>
      <c r="AB493" s="890"/>
      <c r="AC493" s="890"/>
      <c r="AD493" s="966"/>
      <c r="AE493" s="966"/>
      <c r="AF493" s="966"/>
      <c r="AG493" s="175"/>
      <c r="AH493" s="1353"/>
      <c r="AI493" s="27"/>
      <c r="AJ493" s="27"/>
      <c r="AK493" s="1192"/>
      <c r="AL493" s="162"/>
      <c r="AM493" s="46"/>
      <c r="AN493" s="439"/>
    </row>
    <row r="494" spans="1:50" s="205" customFormat="1" ht="12.75" hidden="1" customHeight="1">
      <c r="A494" s="57"/>
      <c r="B494" s="46"/>
      <c r="C494" s="1220"/>
      <c r="D494" s="162"/>
      <c r="E494" s="225"/>
      <c r="F494" s="1230" t="s">
        <v>2202</v>
      </c>
      <c r="G494" s="162"/>
      <c r="H494" s="162"/>
      <c r="I494" s="890"/>
      <c r="J494" s="890"/>
      <c r="K494" s="890"/>
      <c r="L494" s="890"/>
      <c r="M494" s="890"/>
      <c r="N494" s="890"/>
      <c r="O494" s="890"/>
      <c r="P494" s="890"/>
      <c r="Q494" s="890"/>
      <c r="R494" s="890"/>
      <c r="S494" s="890"/>
      <c r="T494" s="890"/>
      <c r="U494" s="890"/>
      <c r="V494" s="2342" t="s">
        <v>136</v>
      </c>
      <c r="W494" s="2342"/>
      <c r="X494" s="2342"/>
      <c r="Y494" s="890"/>
      <c r="Z494" s="890"/>
      <c r="AA494" s="890"/>
      <c r="AB494" s="890"/>
      <c r="AC494" s="890"/>
      <c r="AD494" s="966"/>
      <c r="AE494" s="966"/>
      <c r="AF494" s="966"/>
      <c r="AG494" s="175">
        <f>IF(AND($C$489="Yes",$V$492="N/A", $V$499="N/A",$V$503="N/A",$V$505="N/A"),(VLOOKUP(V494,$AO$468:$AP$470,2,FALSE)),0)</f>
        <v>0</v>
      </c>
      <c r="AH494" s="1353" t="s">
        <v>1078</v>
      </c>
      <c r="AI494" s="27"/>
      <c r="AJ494" s="27"/>
      <c r="AK494" s="1192"/>
      <c r="AL494" s="162"/>
      <c r="AM494" s="46"/>
      <c r="AN494" s="439"/>
    </row>
    <row r="495" spans="1:50" s="46" customFormat="1" ht="12.75" hidden="1" customHeight="1">
      <c r="A495" s="28"/>
      <c r="C495" s="1220"/>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2"/>
      <c r="AL495" s="162"/>
      <c r="AN495" s="439"/>
      <c r="AO495" s="46" t="s">
        <v>136</v>
      </c>
      <c r="AP495" s="46">
        <v>0</v>
      </c>
    </row>
    <row r="496" spans="1:50" s="46" customFormat="1" ht="12.75" hidden="1" customHeight="1">
      <c r="A496" s="28"/>
      <c r="C496" s="1220"/>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2"/>
      <c r="AL496" s="162"/>
      <c r="AN496" s="439"/>
      <c r="AO496" s="46" t="s">
        <v>1480</v>
      </c>
      <c r="AP496" s="64">
        <v>2</v>
      </c>
    </row>
    <row r="497" spans="1:147" s="46" customFormat="1" ht="12.75" hidden="1" customHeight="1">
      <c r="A497" s="28"/>
      <c r="C497" s="1220"/>
      <c r="D497" s="28"/>
      <c r="E497" s="28"/>
      <c r="F497" s="966"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8"/>
      <c r="AI497" s="27"/>
      <c r="AJ497" s="27"/>
      <c r="AK497" s="1192"/>
      <c r="AL497" s="162"/>
      <c r="AN497" s="439"/>
      <c r="AO497" s="46" t="s">
        <v>1085</v>
      </c>
      <c r="AP497" s="46">
        <v>2</v>
      </c>
    </row>
    <row r="498" spans="1:147" s="205" customFormat="1" ht="12.75" hidden="1" customHeight="1">
      <c r="A498" s="28"/>
      <c r="B498" s="46"/>
      <c r="C498" s="1195"/>
      <c r="D498" s="102"/>
      <c r="E498" s="102"/>
      <c r="F498" s="966"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8"/>
      <c r="AI498" s="27"/>
      <c r="AJ498" s="27"/>
      <c r="AK498" s="1192"/>
      <c r="AL498" s="162"/>
      <c r="AM498" s="46"/>
      <c r="AN498" s="475"/>
      <c r="AO498" s="46" t="s">
        <v>1086</v>
      </c>
      <c r="AP498" s="46">
        <v>2</v>
      </c>
    </row>
    <row r="499" spans="1:147" s="46" customFormat="1" ht="12.75" hidden="1" customHeight="1">
      <c r="A499" s="28"/>
      <c r="C499" s="1231"/>
      <c r="D499" s="28"/>
      <c r="E499" s="28"/>
      <c r="F499" s="1230" t="s">
        <v>1479</v>
      </c>
      <c r="G499" s="28"/>
      <c r="H499" s="28"/>
      <c r="I499" s="28"/>
      <c r="J499" s="28"/>
      <c r="K499" s="28"/>
      <c r="L499" s="28"/>
      <c r="M499" s="225"/>
      <c r="N499" s="225"/>
      <c r="O499" s="225"/>
      <c r="P499" s="225"/>
      <c r="Q499" s="27"/>
      <c r="R499" s="27"/>
      <c r="S499" s="27"/>
      <c r="T499" s="27"/>
      <c r="U499" s="27"/>
      <c r="V499" s="2342" t="s">
        <v>136</v>
      </c>
      <c r="W499" s="2342"/>
      <c r="X499" s="2342"/>
      <c r="Y499" s="27"/>
      <c r="Z499" s="27"/>
      <c r="AA499" s="27"/>
      <c r="AB499" s="27"/>
      <c r="AC499" s="27"/>
      <c r="AD499" s="162"/>
      <c r="AE499" s="162"/>
      <c r="AF499" s="162"/>
      <c r="AG499" s="175">
        <f>IF(AND($C$489="Yes",$V$492="N/A",$V$494="N/A", $V$503="N/A",$V$505="N/A"),(VLOOKUP($V$499,$AO$472:$AP$474,2,FALSE)),0)</f>
        <v>0</v>
      </c>
      <c r="AH499" s="1158" t="s">
        <v>1078</v>
      </c>
      <c r="AI499" s="27"/>
      <c r="AJ499" s="27"/>
      <c r="AK499" s="1192"/>
      <c r="AL499" s="162"/>
      <c r="AN499" s="1133"/>
    </row>
    <row r="500" spans="1:147" s="46" customFormat="1" ht="12.75" hidden="1" customHeight="1">
      <c r="A500" s="28"/>
      <c r="C500" s="1220"/>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2"/>
      <c r="AL500" s="162"/>
      <c r="AN500" s="1146"/>
    </row>
    <row r="501" spans="1:147" s="205" customFormat="1" ht="12.75" hidden="1" customHeight="1">
      <c r="A501" s="28"/>
      <c r="B501" s="153"/>
      <c r="C501" s="1235" t="s">
        <v>1352</v>
      </c>
      <c r="D501" s="1236"/>
      <c r="E501" s="1236"/>
      <c r="F501" s="1237" t="s">
        <v>1476</v>
      </c>
      <c r="G501" s="1184"/>
      <c r="H501" s="1184"/>
      <c r="I501" s="1236"/>
      <c r="J501" s="1236"/>
      <c r="K501" s="1236"/>
      <c r="L501" s="1236"/>
      <c r="M501" s="1236"/>
      <c r="N501" s="1236"/>
      <c r="O501" s="1236"/>
      <c r="P501" s="1236"/>
      <c r="Q501" s="1236"/>
      <c r="R501" s="1236"/>
      <c r="S501" s="1236"/>
      <c r="T501" s="1236"/>
      <c r="U501" s="1236"/>
      <c r="V501" s="1236"/>
      <c r="W501" s="1236"/>
      <c r="X501" s="1236"/>
      <c r="Y501" s="1236"/>
      <c r="Z501" s="1236"/>
      <c r="AA501" s="1236"/>
      <c r="AB501" s="1236"/>
      <c r="AC501" s="1236"/>
      <c r="AD501" s="1184"/>
      <c r="AE501" s="1184"/>
      <c r="AF501" s="1184"/>
      <c r="AG501" s="1184"/>
      <c r="AH501" s="1184"/>
      <c r="AI501" s="1184"/>
      <c r="AJ501" s="1236"/>
      <c r="AK501" s="1212"/>
      <c r="AL501" s="162"/>
      <c r="AM501" s="46"/>
      <c r="AN501" s="1134"/>
      <c r="AO501" s="46" t="s">
        <v>136</v>
      </c>
      <c r="AP501" s="46">
        <v>0</v>
      </c>
      <c r="AQ501" s="62"/>
    </row>
    <row r="502" spans="1:147" s="205" customFormat="1" ht="12.75" hidden="1" customHeight="1">
      <c r="A502" s="28"/>
      <c r="B502" s="153"/>
      <c r="C502" s="1232"/>
      <c r="D502" s="2097"/>
      <c r="E502" s="2097"/>
      <c r="F502" s="890"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2"/>
      <c r="AL502" s="162"/>
      <c r="AM502" s="46"/>
      <c r="AN502" s="1134"/>
      <c r="AO502" s="46" t="s">
        <v>1488</v>
      </c>
      <c r="AP502" s="64">
        <v>5</v>
      </c>
      <c r="AQ502" s="63"/>
    </row>
    <row r="503" spans="1:147" s="16" customFormat="1" ht="12.75" hidden="1" customHeight="1">
      <c r="A503" s="195"/>
      <c r="B503" s="153"/>
      <c r="C503" s="1220"/>
      <c r="D503" s="162"/>
      <c r="E503" s="162"/>
      <c r="F503" s="893" t="s">
        <v>1077</v>
      </c>
      <c r="G503" s="162"/>
      <c r="H503" s="162"/>
      <c r="I503" s="162"/>
      <c r="J503" s="162"/>
      <c r="K503" s="162"/>
      <c r="L503" s="162"/>
      <c r="M503" s="162"/>
      <c r="N503" s="162"/>
      <c r="O503" s="162"/>
      <c r="P503" s="162"/>
      <c r="Q503" s="162"/>
      <c r="R503" s="162"/>
      <c r="S503" s="162"/>
      <c r="T503" s="162"/>
      <c r="U503" s="162"/>
      <c r="V503" s="2342" t="s">
        <v>136</v>
      </c>
      <c r="W503" s="2342"/>
      <c r="X503" s="2342"/>
      <c r="Y503" s="162"/>
      <c r="Z503" s="162"/>
      <c r="AA503" s="162"/>
      <c r="AB503" s="162"/>
      <c r="AC503" s="162"/>
      <c r="AD503" s="162"/>
      <c r="AE503" s="162"/>
      <c r="AF503" s="162"/>
      <c r="AG503" s="175">
        <f>IF(AND($C$489="Yes",$V$492="N/A",V494="N/A",$V$499="N/A",$V$505="N/A"),(VLOOKUP($V$503,$AW$468:$AX$471,2,FALSE)),0)</f>
        <v>0</v>
      </c>
      <c r="AH503" s="1158" t="s">
        <v>1078</v>
      </c>
      <c r="AI503" s="27"/>
      <c r="AJ503" s="162"/>
      <c r="AK503" s="1192"/>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0"/>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2"/>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1"/>
      <c r="D505" s="1202"/>
      <c r="E505" s="1202"/>
      <c r="F505" s="1230" t="s">
        <v>2202</v>
      </c>
      <c r="G505" s="1233"/>
      <c r="H505" s="1233"/>
      <c r="I505" s="1202"/>
      <c r="J505" s="1202"/>
      <c r="K505" s="1202"/>
      <c r="L505" s="1202"/>
      <c r="M505" s="1202"/>
      <c r="N505" s="1202"/>
      <c r="O505" s="1202"/>
      <c r="P505" s="1202"/>
      <c r="Q505" s="1202"/>
      <c r="R505" s="1202"/>
      <c r="S505" s="1202"/>
      <c r="T505" s="1202"/>
      <c r="U505" s="1202"/>
      <c r="V505" s="2342" t="s">
        <v>136</v>
      </c>
      <c r="W505" s="2342"/>
      <c r="X505" s="2342"/>
      <c r="Y505" s="1202"/>
      <c r="Z505" s="1202"/>
      <c r="AA505" s="1202"/>
      <c r="AB505" s="1202"/>
      <c r="AC505" s="1202"/>
      <c r="AD505" s="1202"/>
      <c r="AE505" s="1202"/>
      <c r="AF505" s="1202"/>
      <c r="AG505" s="1234">
        <f>IF(AND($C$489="Yes",$V$492="N/A",$V$494="N/A",$V$499="N/A",$V$503="N/A"),(VLOOKUP($V$505,$BA$468:$BB$470,2,FALSE)),0)</f>
        <v>0</v>
      </c>
      <c r="AH505" s="1226" t="s">
        <v>1078</v>
      </c>
      <c r="AI505" s="1202"/>
      <c r="AJ505" s="1202"/>
      <c r="AK505" s="1203"/>
      <c r="AL505" s="162"/>
      <c r="AM505" s="46"/>
      <c r="AN505" s="1147"/>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7"/>
      <c r="AO506" s="400"/>
      <c r="AP506" s="46"/>
      <c r="AQ506" s="46"/>
      <c r="AR506" s="46"/>
      <c r="AS506" s="46"/>
      <c r="AT506" s="46"/>
      <c r="AU506" s="2607" t="s">
        <v>723</v>
      </c>
      <c r="AV506" s="2608"/>
      <c r="AW506" s="2608"/>
      <c r="AX506" s="2608"/>
      <c r="AY506" s="2608"/>
      <c r="AZ506" s="2608"/>
      <c r="BA506" s="2608"/>
      <c r="BB506" s="205"/>
      <c r="BC506" s="205"/>
      <c r="BE506" s="46"/>
      <c r="BF506" s="46"/>
      <c r="BG506" s="46"/>
      <c r="BH506" s="46"/>
      <c r="BI506" s="46"/>
      <c r="BJ506" s="2533" t="s">
        <v>35</v>
      </c>
      <c r="BK506" s="2534"/>
      <c r="BL506" s="2534"/>
      <c r="BM506" s="2534"/>
      <c r="BN506" s="2534"/>
      <c r="BO506" s="2534"/>
      <c r="BP506" s="253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7"/>
      <c r="AO507" s="400"/>
      <c r="AP507" s="46"/>
      <c r="AQ507" s="46"/>
      <c r="AR507" s="46"/>
      <c r="AS507" s="46"/>
      <c r="AT507" s="46"/>
      <c r="AU507" s="2607"/>
      <c r="AV507" s="2608"/>
      <c r="AW507" s="2608"/>
      <c r="AX507" s="2608"/>
      <c r="AY507" s="2608"/>
      <c r="AZ507" s="2608"/>
      <c r="BA507" s="2608"/>
      <c r="BB507" s="205"/>
      <c r="BC507" s="205"/>
      <c r="BE507" s="46"/>
      <c r="BF507" s="46"/>
      <c r="BG507" s="46"/>
      <c r="BH507" s="46"/>
      <c r="BI507" s="46"/>
      <c r="BJ507" s="2533"/>
      <c r="BK507" s="2534"/>
      <c r="BL507" s="2534"/>
      <c r="BM507" s="2534"/>
      <c r="BN507" s="2534"/>
      <c r="BO507" s="2534"/>
      <c r="BP507" s="2534"/>
      <c r="BQ507" s="205"/>
      <c r="BR507" s="46"/>
    </row>
    <row r="508" spans="1:147" s="16" customFormat="1" ht="12.75" hidden="1" customHeight="1">
      <c r="A508" s="195"/>
      <c r="B508" s="46"/>
      <c r="C508" s="2340" t="s">
        <v>136</v>
      </c>
      <c r="D508" s="2341"/>
      <c r="E508" s="1238" t="s">
        <v>212</v>
      </c>
      <c r="F508" s="2371" t="s">
        <v>1076</v>
      </c>
      <c r="G508" s="2371"/>
      <c r="H508" s="2371"/>
      <c r="I508" s="2371"/>
      <c r="J508" s="2371"/>
      <c r="K508" s="2371"/>
      <c r="L508" s="2371"/>
      <c r="M508" s="2371"/>
      <c r="N508" s="2371"/>
      <c r="O508" s="2371"/>
      <c r="P508" s="2371"/>
      <c r="Q508" s="2371"/>
      <c r="R508" s="2371"/>
      <c r="S508" s="2371"/>
      <c r="T508" s="2371"/>
      <c r="U508" s="2371"/>
      <c r="V508" s="2371"/>
      <c r="W508" s="2371"/>
      <c r="X508" s="2371"/>
      <c r="Y508" s="2371"/>
      <c r="Z508" s="2371"/>
      <c r="AA508" s="2371"/>
      <c r="AB508" s="2371"/>
      <c r="AC508" s="2371"/>
      <c r="AD508" s="2371"/>
      <c r="AE508" s="2371"/>
      <c r="AF508" s="1184"/>
      <c r="AG508" s="1239"/>
      <c r="AH508" s="1239"/>
      <c r="AI508" s="1239"/>
      <c r="AJ508" s="1239"/>
      <c r="AK508" s="1212"/>
      <c r="AL508" s="162"/>
      <c r="AM508" s="46"/>
      <c r="AN508" s="1132"/>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0"/>
      <c r="D509" s="162"/>
      <c r="E509" s="225"/>
      <c r="F509" s="2372"/>
      <c r="G509" s="2372"/>
      <c r="H509" s="2372"/>
      <c r="I509" s="2372"/>
      <c r="J509" s="2372"/>
      <c r="K509" s="2372"/>
      <c r="L509" s="2372"/>
      <c r="M509" s="2372"/>
      <c r="N509" s="2372"/>
      <c r="O509" s="2372"/>
      <c r="P509" s="2372"/>
      <c r="Q509" s="2372"/>
      <c r="R509" s="2372"/>
      <c r="S509" s="2372"/>
      <c r="T509" s="2372"/>
      <c r="U509" s="2372"/>
      <c r="V509" s="2372"/>
      <c r="W509" s="2372"/>
      <c r="X509" s="2372"/>
      <c r="Y509" s="2372"/>
      <c r="Z509" s="2372"/>
      <c r="AA509" s="2372"/>
      <c r="AB509" s="2372"/>
      <c r="AC509" s="2372"/>
      <c r="AD509" s="2372"/>
      <c r="AE509" s="2372"/>
      <c r="AF509" s="162"/>
      <c r="AG509" s="27"/>
      <c r="AH509" s="27"/>
      <c r="AI509" s="27"/>
      <c r="AJ509" s="27"/>
      <c r="AK509" s="1192"/>
      <c r="AL509" s="162"/>
      <c r="AM509" s="46"/>
      <c r="AN509" s="1132"/>
      <c r="AO509" s="132"/>
      <c r="AP509" s="2576" t="s">
        <v>1677</v>
      </c>
      <c r="AQ509" s="2577"/>
      <c r="AR509" s="2578"/>
      <c r="AS509" s="974">
        <v>80</v>
      </c>
      <c r="AT509" s="46">
        <v>0</v>
      </c>
      <c r="AU509" s="243">
        <v>10</v>
      </c>
      <c r="AV509" s="243">
        <v>25</v>
      </c>
      <c r="AW509" s="243">
        <v>37.5</v>
      </c>
      <c r="AX509" s="243">
        <v>35</v>
      </c>
      <c r="AY509" s="243">
        <v>37.5</v>
      </c>
      <c r="AZ509" s="243">
        <v>50</v>
      </c>
      <c r="BA509" s="243">
        <v>50</v>
      </c>
      <c r="BB509" s="65"/>
      <c r="BC509" s="65"/>
      <c r="BE509" s="2576" t="s">
        <v>1677</v>
      </c>
      <c r="BF509" s="2577"/>
      <c r="BG509" s="2578"/>
      <c r="BH509" s="974">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1"/>
      <c r="D510" s="1202"/>
      <c r="E510" s="1222"/>
      <c r="F510" s="2369" t="s">
        <v>136</v>
      </c>
      <c r="G510" s="2369"/>
      <c r="H510" s="2369"/>
      <c r="I510" s="2369"/>
      <c r="J510" s="2369"/>
      <c r="K510" s="2369"/>
      <c r="L510" s="2369"/>
      <c r="M510" s="2369"/>
      <c r="N510" s="2369"/>
      <c r="O510" s="2369"/>
      <c r="P510" s="2369"/>
      <c r="Q510" s="2369"/>
      <c r="R510" s="2369"/>
      <c r="S510" s="2369"/>
      <c r="T510" s="2369"/>
      <c r="U510" s="2369"/>
      <c r="V510" s="2369"/>
      <c r="W510" s="2369"/>
      <c r="X510" s="2369"/>
      <c r="Y510" s="2369"/>
      <c r="Z510" s="2369"/>
      <c r="AA510" s="1223"/>
      <c r="AB510" s="1224"/>
      <c r="AC510" s="1224"/>
      <c r="AD510" s="1202"/>
      <c r="AE510" s="1202"/>
      <c r="AF510" s="1202"/>
      <c r="AG510" s="1225">
        <f>IF($C$508="Yes",(VLOOKUP($F$510,$AO$478:$AP$486,2,FALSE)),0)</f>
        <v>0</v>
      </c>
      <c r="AH510" s="1226" t="s">
        <v>1078</v>
      </c>
      <c r="AI510" s="1225"/>
      <c r="AJ510" s="1224"/>
      <c r="AK510" s="1203"/>
      <c r="AL510" s="162"/>
      <c r="AM510" s="46"/>
      <c r="AN510" s="1132"/>
      <c r="AO510" s="132"/>
      <c r="AP510" s="2395"/>
      <c r="AQ510" s="2396"/>
      <c r="AR510" s="2397"/>
      <c r="AS510" s="974">
        <v>75</v>
      </c>
      <c r="AT510" s="46">
        <v>0</v>
      </c>
      <c r="AU510" s="243">
        <v>10</v>
      </c>
      <c r="AV510" s="243">
        <v>25</v>
      </c>
      <c r="AW510" s="243">
        <v>37.5</v>
      </c>
      <c r="AX510" s="243">
        <v>35</v>
      </c>
      <c r="AY510" s="243">
        <v>37.5</v>
      </c>
      <c r="AZ510" s="243">
        <v>50</v>
      </c>
      <c r="BA510" s="243">
        <v>50</v>
      </c>
      <c r="BB510" s="65"/>
      <c r="BC510" s="65"/>
      <c r="BE510" s="2395"/>
      <c r="BF510" s="2396"/>
      <c r="BG510" s="2397"/>
      <c r="BH510" s="974">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2"/>
      <c r="AO511" s="132"/>
      <c r="AP511" s="2395"/>
      <c r="AQ511" s="2396"/>
      <c r="AR511" s="2397"/>
      <c r="AS511" s="974">
        <v>70</v>
      </c>
      <c r="AT511" s="46">
        <v>0</v>
      </c>
      <c r="AU511" s="243">
        <v>10</v>
      </c>
      <c r="AV511" s="243">
        <v>25</v>
      </c>
      <c r="AW511" s="243">
        <v>37.5</v>
      </c>
      <c r="AX511" s="243">
        <v>35</v>
      </c>
      <c r="AY511" s="243">
        <v>37.5</v>
      </c>
      <c r="AZ511" s="243">
        <v>50</v>
      </c>
      <c r="BA511" s="243">
        <v>50</v>
      </c>
      <c r="BB511" s="65"/>
      <c r="BC511" s="65"/>
      <c r="BE511" s="2395"/>
      <c r="BF511" s="2396"/>
      <c r="BG511" s="2397"/>
      <c r="BH511" s="974">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0" t="s">
        <v>136</v>
      </c>
      <c r="D512" s="2341"/>
      <c r="E512" s="1238" t="s">
        <v>336</v>
      </c>
      <c r="F512" s="2404" t="s">
        <v>1284</v>
      </c>
      <c r="G512" s="2404"/>
      <c r="H512" s="2404"/>
      <c r="I512" s="2404"/>
      <c r="J512" s="2404"/>
      <c r="K512" s="2404"/>
      <c r="L512" s="2404"/>
      <c r="M512" s="2404"/>
      <c r="N512" s="2404"/>
      <c r="O512" s="2404"/>
      <c r="P512" s="2404"/>
      <c r="Q512" s="2404"/>
      <c r="R512" s="2404"/>
      <c r="S512" s="2404"/>
      <c r="T512" s="2404"/>
      <c r="U512" s="2404"/>
      <c r="V512" s="2404"/>
      <c r="W512" s="2404"/>
      <c r="X512" s="2404"/>
      <c r="Y512" s="2404"/>
      <c r="Z512" s="2404"/>
      <c r="AA512" s="2404"/>
      <c r="AB512" s="2404"/>
      <c r="AC512" s="2404"/>
      <c r="AD512" s="2404"/>
      <c r="AE512" s="2404"/>
      <c r="AF512" s="1184"/>
      <c r="AG512" s="1228"/>
      <c r="AH512" s="1228"/>
      <c r="AI512" s="1228"/>
      <c r="AJ512" s="1228"/>
      <c r="AK512" s="1212"/>
      <c r="AL512" s="162"/>
      <c r="AM512" s="46"/>
      <c r="AN512" s="1132"/>
      <c r="AO512" s="132"/>
      <c r="AP512" s="2395"/>
      <c r="AQ512" s="2396"/>
      <c r="AR512" s="2397"/>
      <c r="AS512" s="974">
        <v>65</v>
      </c>
      <c r="AT512" s="46">
        <v>0</v>
      </c>
      <c r="AU512" s="243">
        <v>10</v>
      </c>
      <c r="AV512" s="243">
        <v>25</v>
      </c>
      <c r="AW512" s="243">
        <v>37.5</v>
      </c>
      <c r="AX512" s="243">
        <v>35</v>
      </c>
      <c r="AY512" s="243">
        <v>37.5</v>
      </c>
      <c r="AZ512" s="243">
        <v>50</v>
      </c>
      <c r="BA512" s="243">
        <v>50</v>
      </c>
      <c r="BB512" s="65"/>
      <c r="BC512" s="65"/>
      <c r="BE512" s="2395"/>
      <c r="BF512" s="2396"/>
      <c r="BG512" s="2397"/>
      <c r="BH512" s="974">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0"/>
      <c r="D513" s="162"/>
      <c r="E513" s="225"/>
      <c r="F513" s="2405"/>
      <c r="G513" s="2405"/>
      <c r="H513" s="2405"/>
      <c r="I513" s="2405"/>
      <c r="J513" s="2405"/>
      <c r="K513" s="2405"/>
      <c r="L513" s="2405"/>
      <c r="M513" s="2405"/>
      <c r="N513" s="2405"/>
      <c r="O513" s="2405"/>
      <c r="P513" s="2405"/>
      <c r="Q513" s="2405"/>
      <c r="R513" s="2405"/>
      <c r="S513" s="2405"/>
      <c r="T513" s="2405"/>
      <c r="U513" s="2405"/>
      <c r="V513" s="2405"/>
      <c r="W513" s="2405"/>
      <c r="X513" s="2405"/>
      <c r="Y513" s="2405"/>
      <c r="Z513" s="2405"/>
      <c r="AA513" s="2405"/>
      <c r="AB513" s="2405"/>
      <c r="AC513" s="2405"/>
      <c r="AD513" s="2405"/>
      <c r="AE513" s="2405"/>
      <c r="AF513" s="162"/>
      <c r="AG513" s="27"/>
      <c r="AH513" s="27"/>
      <c r="AI513" s="27"/>
      <c r="AJ513" s="27"/>
      <c r="AK513" s="1192"/>
      <c r="AL513" s="162"/>
      <c r="AM513" s="46"/>
      <c r="AN513" s="1132"/>
      <c r="AO513" s="132"/>
      <c r="AP513" s="2395"/>
      <c r="AQ513" s="2396"/>
      <c r="AR513" s="2397"/>
      <c r="AS513" s="974">
        <v>60</v>
      </c>
      <c r="AT513" s="46">
        <v>0</v>
      </c>
      <c r="AU513" s="243">
        <v>10</v>
      </c>
      <c r="AV513" s="243">
        <v>25</v>
      </c>
      <c r="AW513" s="243">
        <v>37.5</v>
      </c>
      <c r="AX513" s="243">
        <v>35</v>
      </c>
      <c r="AY513" s="243">
        <v>37.5</v>
      </c>
      <c r="AZ513" s="243">
        <v>50</v>
      </c>
      <c r="BA513" s="243">
        <v>50</v>
      </c>
      <c r="BB513" s="65"/>
      <c r="BC513" s="65"/>
      <c r="BE513" s="2395"/>
      <c r="BF513" s="2396"/>
      <c r="BG513" s="2397"/>
      <c r="BH513" s="974">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5"/>
      <c r="D514" s="162"/>
      <c r="E514" s="162"/>
      <c r="F514" s="893"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5"/>
      <c r="AD514" s="162"/>
      <c r="AE514" s="162"/>
      <c r="AF514" s="162"/>
      <c r="AG514" s="175"/>
      <c r="AH514" s="175"/>
      <c r="AI514" s="175"/>
      <c r="AJ514" s="175"/>
      <c r="AK514" s="1192"/>
      <c r="AL514" s="162"/>
      <c r="AM514" s="46"/>
      <c r="AN514" s="1132"/>
      <c r="AP514" s="2395"/>
      <c r="AQ514" s="2396"/>
      <c r="AR514" s="2397"/>
      <c r="AS514" s="974">
        <v>55</v>
      </c>
      <c r="AT514" s="46">
        <v>0</v>
      </c>
      <c r="AU514" s="243">
        <v>10</v>
      </c>
      <c r="AV514" s="243">
        <v>25</v>
      </c>
      <c r="AW514" s="243">
        <v>37.5</v>
      </c>
      <c r="AX514" s="243">
        <v>35</v>
      </c>
      <c r="AY514" s="243">
        <v>37.5</v>
      </c>
      <c r="AZ514" s="243">
        <v>50</v>
      </c>
      <c r="BA514" s="243">
        <v>50</v>
      </c>
      <c r="BE514" s="2395"/>
      <c r="BF514" s="2396"/>
      <c r="BG514" s="2397"/>
      <c r="BH514" s="974">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1"/>
      <c r="D515" s="1202"/>
      <c r="E515" s="1222"/>
      <c r="F515" s="2370" t="s">
        <v>136</v>
      </c>
      <c r="G515" s="2370"/>
      <c r="H515" s="2370"/>
      <c r="I515" s="1224"/>
      <c r="J515" s="1224"/>
      <c r="K515" s="1224"/>
      <c r="L515" s="1224"/>
      <c r="M515" s="1224"/>
      <c r="N515" s="1224"/>
      <c r="O515" s="1224"/>
      <c r="P515" s="1224"/>
      <c r="Q515" s="1224"/>
      <c r="R515" s="1224"/>
      <c r="S515" s="1224"/>
      <c r="T515" s="1224"/>
      <c r="U515" s="1224"/>
      <c r="V515" s="1224"/>
      <c r="W515" s="1224"/>
      <c r="X515" s="1224"/>
      <c r="Y515" s="1224"/>
      <c r="Z515" s="1224"/>
      <c r="AA515" s="1224"/>
      <c r="AB515" s="1224"/>
      <c r="AC515" s="1224"/>
      <c r="AD515" s="1202"/>
      <c r="AE515" s="1202"/>
      <c r="AF515" s="1202"/>
      <c r="AG515" s="1225">
        <f>IF($C$512="Yes",(VLOOKUP($F$515,$AO$488:$AP$490,2,FALSE)),0)</f>
        <v>0</v>
      </c>
      <c r="AH515" s="1226" t="s">
        <v>1078</v>
      </c>
      <c r="AI515" s="1224"/>
      <c r="AJ515" s="1224"/>
      <c r="AK515" s="1203"/>
      <c r="AL515" s="162"/>
      <c r="AM515" s="46"/>
      <c r="AN515" s="1132"/>
      <c r="AP515" s="2395"/>
      <c r="AQ515" s="2396"/>
      <c r="AR515" s="2397"/>
      <c r="AS515" s="242">
        <v>50</v>
      </c>
      <c r="AT515" s="46">
        <v>0</v>
      </c>
      <c r="AU515" s="243">
        <v>10</v>
      </c>
      <c r="AV515" s="243">
        <v>25</v>
      </c>
      <c r="AW515" s="243">
        <v>37.5</v>
      </c>
      <c r="AX515" s="243">
        <v>35</v>
      </c>
      <c r="AY515" s="243">
        <v>37.5</v>
      </c>
      <c r="AZ515" s="243">
        <v>50</v>
      </c>
      <c r="BA515" s="243">
        <v>50</v>
      </c>
      <c r="BE515" s="2395"/>
      <c r="BF515" s="2396"/>
      <c r="BG515" s="2397"/>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8"/>
      <c r="AI516" s="27"/>
      <c r="AJ516" s="27"/>
      <c r="AK516" s="162"/>
      <c r="AL516" s="162"/>
      <c r="AM516" s="46"/>
      <c r="AN516" s="1132"/>
      <c r="AP516" s="2395"/>
      <c r="AQ516" s="2396"/>
      <c r="AR516" s="2397"/>
      <c r="AS516" s="242">
        <v>45</v>
      </c>
      <c r="AT516" s="46">
        <v>0</v>
      </c>
      <c r="AU516" s="243">
        <v>10</v>
      </c>
      <c r="AV516" s="243">
        <v>22.5</v>
      </c>
      <c r="AW516" s="243">
        <v>33.799999999999997</v>
      </c>
      <c r="AX516" s="243">
        <v>35</v>
      </c>
      <c r="AY516" s="243">
        <v>37.5</v>
      </c>
      <c r="AZ516" s="243">
        <v>50</v>
      </c>
      <c r="BA516" s="243">
        <v>50</v>
      </c>
      <c r="BE516" s="2395"/>
      <c r="BF516" s="2396"/>
      <c r="BG516" s="2397"/>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0" t="s">
        <v>136</v>
      </c>
      <c r="D517" s="2341"/>
      <c r="E517" s="1238" t="s">
        <v>1393</v>
      </c>
      <c r="F517" s="1237" t="s">
        <v>1083</v>
      </c>
      <c r="G517" s="1228"/>
      <c r="H517" s="1228"/>
      <c r="I517" s="1228"/>
      <c r="J517" s="1228"/>
      <c r="K517" s="1228"/>
      <c r="L517" s="1228"/>
      <c r="M517" s="1228"/>
      <c r="N517" s="1228"/>
      <c r="O517" s="1228"/>
      <c r="P517" s="1228"/>
      <c r="Q517" s="1228"/>
      <c r="R517" s="1228"/>
      <c r="S517" s="1228"/>
      <c r="T517" s="1228"/>
      <c r="U517" s="1228"/>
      <c r="V517" s="1228"/>
      <c r="W517" s="1228"/>
      <c r="X517" s="1228"/>
      <c r="Y517" s="1228"/>
      <c r="Z517" s="1228"/>
      <c r="AA517" s="1228"/>
      <c r="AB517" s="1228"/>
      <c r="AC517" s="1241"/>
      <c r="AD517" s="1184"/>
      <c r="AE517" s="1184"/>
      <c r="AF517" s="1184"/>
      <c r="AG517" s="1242"/>
      <c r="AH517" s="1242"/>
      <c r="AI517" s="1242"/>
      <c r="AJ517" s="1242"/>
      <c r="AK517" s="1212"/>
      <c r="AL517" s="162"/>
      <c r="AM517" s="46"/>
      <c r="AN517" s="1132"/>
      <c r="AP517" s="2395"/>
      <c r="AQ517" s="2396"/>
      <c r="AR517" s="2397"/>
      <c r="AS517" s="242">
        <v>40</v>
      </c>
      <c r="AT517" s="46">
        <v>0</v>
      </c>
      <c r="AU517" s="243">
        <v>10</v>
      </c>
      <c r="AV517" s="243">
        <v>20</v>
      </c>
      <c r="AW517" s="243">
        <v>30</v>
      </c>
      <c r="AX517" s="243">
        <v>35</v>
      </c>
      <c r="AY517" s="243">
        <v>37.5</v>
      </c>
      <c r="AZ517" s="243">
        <v>50</v>
      </c>
      <c r="BA517" s="243">
        <v>50</v>
      </c>
      <c r="BE517" s="2395"/>
      <c r="BF517" s="2396"/>
      <c r="BG517" s="2397"/>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0"/>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2"/>
      <c r="AL518" s="162"/>
      <c r="AM518" s="46"/>
      <c r="AN518" s="1132"/>
      <c r="AP518" s="2395"/>
      <c r="AQ518" s="2396"/>
      <c r="AR518" s="2397"/>
      <c r="AS518" s="242">
        <v>35</v>
      </c>
      <c r="AT518" s="46">
        <v>0</v>
      </c>
      <c r="AU518" s="243">
        <v>8.8000000000000007</v>
      </c>
      <c r="AV518" s="243">
        <v>17.5</v>
      </c>
      <c r="AW518" s="243">
        <v>26.3</v>
      </c>
      <c r="AX518" s="243">
        <v>35</v>
      </c>
      <c r="AY518" s="243">
        <v>37.5</v>
      </c>
      <c r="AZ518" s="243">
        <v>50</v>
      </c>
      <c r="BA518" s="243">
        <v>50</v>
      </c>
      <c r="BE518" s="2395"/>
      <c r="BF518" s="2396"/>
      <c r="BG518" s="2397"/>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13"/>
      <c r="D519" s="2097"/>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5"/>
      <c r="AD519" s="162"/>
      <c r="AE519" s="162"/>
      <c r="AF519" s="162"/>
      <c r="AG519" s="175">
        <f>IF($C$517="Yes",(VLOOKUP($G$520,$AO$495:$AP$498,2,FALSE)),0)</f>
        <v>0</v>
      </c>
      <c r="AH519" s="1158" t="s">
        <v>1078</v>
      </c>
      <c r="AI519" s="27"/>
      <c r="AJ519" s="175"/>
      <c r="AK519" s="1192"/>
      <c r="AL519" s="162"/>
      <c r="AM519" s="46"/>
      <c r="AN519" s="1132"/>
      <c r="AP519" s="2395"/>
      <c r="AQ519" s="2396"/>
      <c r="AR519" s="2397"/>
      <c r="AS519" s="242">
        <v>30</v>
      </c>
      <c r="AT519" s="46">
        <v>0</v>
      </c>
      <c r="AU519" s="243">
        <v>7.5</v>
      </c>
      <c r="AV519" s="243">
        <v>15</v>
      </c>
      <c r="AW519" s="243">
        <v>22.5</v>
      </c>
      <c r="AX519" s="243">
        <v>30</v>
      </c>
      <c r="AY519" s="243">
        <v>37.5</v>
      </c>
      <c r="AZ519" s="243">
        <v>45</v>
      </c>
      <c r="BA519" s="243">
        <v>50</v>
      </c>
      <c r="BE519" s="2395"/>
      <c r="BF519" s="2396"/>
      <c r="BG519" s="2397"/>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0"/>
      <c r="D520" s="153"/>
      <c r="E520" s="225"/>
      <c r="F520" s="27"/>
      <c r="G520" s="2609" t="s">
        <v>136</v>
      </c>
      <c r="H520" s="2609"/>
      <c r="I520" s="2609"/>
      <c r="J520" s="2609"/>
      <c r="K520" s="2609"/>
      <c r="L520" s="2609"/>
      <c r="M520" s="2609"/>
      <c r="N520" s="2609"/>
      <c r="O520" s="2609"/>
      <c r="P520" s="2609"/>
      <c r="Q520" s="2609"/>
      <c r="R520" s="2609"/>
      <c r="S520" s="2609"/>
      <c r="T520" s="2609"/>
      <c r="U520" s="2609"/>
      <c r="V520" s="2609"/>
      <c r="W520" s="2609"/>
      <c r="X520" s="2609"/>
      <c r="Y520" s="2609"/>
      <c r="Z520" s="2609"/>
      <c r="AA520" s="2609"/>
      <c r="AB520" s="2609"/>
      <c r="AC520" s="2609"/>
      <c r="AD520" s="2609"/>
      <c r="AE520" s="2609"/>
      <c r="AF520" s="2609"/>
      <c r="AG520" s="162"/>
      <c r="AH520" s="162"/>
      <c r="AI520" s="162"/>
      <c r="AJ520" s="27"/>
      <c r="AK520" s="1192"/>
      <c r="AL520" s="162"/>
      <c r="AM520" s="46"/>
      <c r="AN520" s="1132"/>
      <c r="AP520" s="2395"/>
      <c r="AQ520" s="2396"/>
      <c r="AR520" s="2397"/>
      <c r="AS520" s="242">
        <v>25</v>
      </c>
      <c r="AT520" s="46">
        <v>0</v>
      </c>
      <c r="AU520" s="243">
        <v>6.3</v>
      </c>
      <c r="AV520" s="243">
        <v>12.5</v>
      </c>
      <c r="AW520" s="243">
        <v>18.8</v>
      </c>
      <c r="AX520" s="243">
        <v>25</v>
      </c>
      <c r="AY520" s="243">
        <v>31.3</v>
      </c>
      <c r="AZ520" s="243">
        <v>37.5</v>
      </c>
      <c r="BA520" s="243">
        <v>50</v>
      </c>
      <c r="BE520" s="2395"/>
      <c r="BF520" s="2396"/>
      <c r="BG520" s="2397"/>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3"/>
      <c r="D521" s="35"/>
      <c r="E521" s="35"/>
      <c r="F521" s="553"/>
      <c r="G521" s="1244"/>
      <c r="H521" s="1244"/>
      <c r="I521" s="1244"/>
      <c r="J521" s="1244"/>
      <c r="K521" s="1244"/>
      <c r="L521" s="1244"/>
      <c r="M521" s="1244"/>
      <c r="N521" s="1244"/>
      <c r="O521" s="1244"/>
      <c r="P521" s="1244"/>
      <c r="Q521" s="1244"/>
      <c r="R521" s="1244"/>
      <c r="S521" s="1244"/>
      <c r="T521" s="1244"/>
      <c r="U521" s="1244"/>
      <c r="V521" s="1244"/>
      <c r="W521" s="1244"/>
      <c r="X521" s="1244"/>
      <c r="Y521" s="1244"/>
      <c r="Z521" s="1244"/>
      <c r="AA521" s="1244"/>
      <c r="AB521" s="1244"/>
      <c r="AC521" s="1244"/>
      <c r="AD521" s="162"/>
      <c r="AE521" s="162"/>
      <c r="AF521" s="162"/>
      <c r="AG521" s="1244"/>
      <c r="AH521" s="1244"/>
      <c r="AI521" s="1244"/>
      <c r="AJ521" s="1244"/>
      <c r="AK521" s="1192"/>
      <c r="AL521" s="162"/>
      <c r="AM521" s="46"/>
      <c r="AN521" s="1132"/>
      <c r="AP521" s="2395"/>
      <c r="AQ521" s="2396"/>
      <c r="AR521" s="2397"/>
      <c r="AS521" s="242">
        <v>20</v>
      </c>
      <c r="AT521" s="46">
        <v>0</v>
      </c>
      <c r="AU521" s="243">
        <v>5</v>
      </c>
      <c r="AV521" s="243">
        <v>10</v>
      </c>
      <c r="AW521" s="243">
        <v>15</v>
      </c>
      <c r="AX521" s="243">
        <v>20</v>
      </c>
      <c r="AY521" s="243">
        <v>25</v>
      </c>
      <c r="AZ521" s="243">
        <v>30</v>
      </c>
      <c r="BA521" s="243">
        <v>40</v>
      </c>
      <c r="BE521" s="2395"/>
      <c r="BF521" s="2396"/>
      <c r="BG521" s="2397"/>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10" t="s">
        <v>136</v>
      </c>
      <c r="D522" s="2611"/>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5"/>
      <c r="AD522" s="162"/>
      <c r="AE522" s="162"/>
      <c r="AF522" s="162"/>
      <c r="AG522" s="175">
        <f>IF(AND($C$522="Yes",$C$517="Yes"),2,0)</f>
        <v>0</v>
      </c>
      <c r="AH522" s="1158" t="s">
        <v>1078</v>
      </c>
      <c r="AI522" s="27"/>
      <c r="AJ522" s="1156"/>
      <c r="AK522" s="1192"/>
      <c r="AL522" s="162"/>
      <c r="AM522" s="46"/>
      <c r="AN522" s="1132"/>
      <c r="AP522" s="2395"/>
      <c r="AQ522" s="2396"/>
      <c r="AR522" s="2397"/>
      <c r="AS522" s="242">
        <v>15</v>
      </c>
      <c r="AT522" s="46">
        <v>0</v>
      </c>
      <c r="AU522" s="243">
        <v>3.8</v>
      </c>
      <c r="AV522" s="243">
        <v>7.5</v>
      </c>
      <c r="AW522" s="243">
        <v>11.3</v>
      </c>
      <c r="AX522" s="243">
        <v>15</v>
      </c>
      <c r="AY522" s="243">
        <v>18.8</v>
      </c>
      <c r="AZ522" s="243">
        <v>22.5</v>
      </c>
      <c r="BA522" s="243">
        <v>30</v>
      </c>
      <c r="BE522" s="2395"/>
      <c r="BF522" s="2396"/>
      <c r="BG522" s="2397"/>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2"/>
      <c r="D523" s="1159"/>
      <c r="E523" s="1159"/>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5"/>
      <c r="AD523" s="162"/>
      <c r="AE523" s="162"/>
      <c r="AF523" s="162"/>
      <c r="AG523" s="1156"/>
      <c r="AH523" s="1156"/>
      <c r="AI523" s="1156"/>
      <c r="AJ523" s="1156"/>
      <c r="AK523" s="1192"/>
      <c r="AL523" s="162"/>
      <c r="AM523" s="46"/>
      <c r="AN523" s="1137"/>
      <c r="AP523" s="2398"/>
      <c r="AQ523" s="2399"/>
      <c r="AR523" s="2400"/>
      <c r="AS523" s="242">
        <v>10</v>
      </c>
      <c r="AT523" s="46">
        <v>0</v>
      </c>
      <c r="AU523" s="243">
        <v>2.5</v>
      </c>
      <c r="AV523" s="243">
        <v>5</v>
      </c>
      <c r="AW523" s="243">
        <v>7.5</v>
      </c>
      <c r="AX523" s="243">
        <v>10</v>
      </c>
      <c r="AY523" s="243">
        <v>12.5</v>
      </c>
      <c r="AZ523" s="243">
        <v>15</v>
      </c>
      <c r="BA523" s="243">
        <v>20</v>
      </c>
      <c r="BE523" s="2398"/>
      <c r="BF523" s="2399"/>
      <c r="BG523" s="2400"/>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2"/>
      <c r="D524" s="1159"/>
      <c r="E524" s="1159"/>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5"/>
      <c r="AD524" s="153"/>
      <c r="AE524" s="153"/>
      <c r="AF524" s="153"/>
      <c r="AG524" s="1156"/>
      <c r="AH524" s="1156"/>
      <c r="AI524" s="1156"/>
      <c r="AJ524" s="1156"/>
      <c r="AK524" s="1249"/>
      <c r="AL524" s="153"/>
      <c r="AM524" s="153"/>
      <c r="AN524" s="1133"/>
      <c r="AP524" s="136"/>
      <c r="AQ524" s="136"/>
      <c r="AR524" s="136"/>
      <c r="CW524" s="46"/>
    </row>
    <row r="525" spans="1:122" s="46" customFormat="1" ht="12.75" hidden="1" customHeight="1">
      <c r="A525" s="57"/>
      <c r="B525" s="65"/>
      <c r="C525" s="1245"/>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5"/>
      <c r="AH525" s="1155"/>
      <c r="AI525" s="1155"/>
      <c r="AJ525" s="1155"/>
      <c r="AK525" s="1250"/>
      <c r="AL525" s="125"/>
      <c r="AM525" s="65"/>
      <c r="AN525" s="1133"/>
      <c r="AO525" s="8"/>
      <c r="AP525" s="8"/>
      <c r="AQ525" s="8"/>
      <c r="AR525" s="8"/>
    </row>
    <row r="526" spans="1:122" s="46" customFormat="1" ht="12.75" hidden="1" customHeight="1">
      <c r="A526" s="57"/>
      <c r="C526" s="2610" t="s">
        <v>136</v>
      </c>
      <c r="D526" s="2611"/>
      <c r="E526" s="162"/>
      <c r="F526" s="790" t="s">
        <v>964</v>
      </c>
      <c r="G526" s="2377" t="s">
        <v>1087</v>
      </c>
      <c r="H526" s="2377"/>
      <c r="I526" s="2377"/>
      <c r="J526" s="2377"/>
      <c r="K526" s="2377"/>
      <c r="L526" s="2377"/>
      <c r="M526" s="2377"/>
      <c r="N526" s="2377"/>
      <c r="O526" s="2377"/>
      <c r="P526" s="2377"/>
      <c r="Q526" s="2377"/>
      <c r="R526" s="2377"/>
      <c r="S526" s="2377"/>
      <c r="T526" s="2377"/>
      <c r="U526" s="2377"/>
      <c r="V526" s="2377"/>
      <c r="W526" s="2377"/>
      <c r="X526" s="2377"/>
      <c r="Y526" s="2377"/>
      <c r="Z526" s="2377"/>
      <c r="AA526" s="2377"/>
      <c r="AB526" s="2377"/>
      <c r="AC526" s="2377"/>
      <c r="AD526" s="2377"/>
      <c r="AE526" s="2377"/>
      <c r="AF526" s="2377"/>
      <c r="AG526" s="175">
        <f>IF(AND($C$526="Yes",$C$517="Yes"),2,0)</f>
        <v>0</v>
      </c>
      <c r="AH526" s="1158" t="s">
        <v>1078</v>
      </c>
      <c r="AI526" s="27"/>
      <c r="AJ526" s="1156"/>
      <c r="AK526" s="1192"/>
      <c r="AL526" s="162"/>
      <c r="AN526" s="1133"/>
      <c r="AP526" s="253"/>
      <c r="AQ526" s="254"/>
      <c r="AR526" s="254"/>
      <c r="AS526" s="254"/>
      <c r="AT526" s="254"/>
      <c r="AU526" s="254"/>
      <c r="AV526" s="254"/>
      <c r="AW526" s="254"/>
      <c r="AX526" s="254"/>
      <c r="AY526" s="254"/>
      <c r="AZ526" s="255"/>
      <c r="BA526" s="254"/>
      <c r="BB526" s="254"/>
      <c r="BC526" s="138" t="s">
        <v>376</v>
      </c>
      <c r="BD526" s="2604">
        <f>BJ530</f>
        <v>88</v>
      </c>
      <c r="BE526" s="2604"/>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7"/>
      <c r="D527" s="1240"/>
      <c r="E527" s="1222"/>
      <c r="F527" s="1248"/>
      <c r="G527" s="2612"/>
      <c r="H527" s="2612"/>
      <c r="I527" s="2612"/>
      <c r="J527" s="2612"/>
      <c r="K527" s="2612"/>
      <c r="L527" s="2612"/>
      <c r="M527" s="2612"/>
      <c r="N527" s="2612"/>
      <c r="O527" s="2612"/>
      <c r="P527" s="2612"/>
      <c r="Q527" s="2612"/>
      <c r="R527" s="2612"/>
      <c r="S527" s="2612"/>
      <c r="T527" s="2612"/>
      <c r="U527" s="2612"/>
      <c r="V527" s="2612"/>
      <c r="W527" s="2612"/>
      <c r="X527" s="2612"/>
      <c r="Y527" s="2612"/>
      <c r="Z527" s="2612"/>
      <c r="AA527" s="2612"/>
      <c r="AB527" s="2612"/>
      <c r="AC527" s="2612"/>
      <c r="AD527" s="2612"/>
      <c r="AE527" s="2612"/>
      <c r="AF527" s="2612"/>
      <c r="AG527" s="1224"/>
      <c r="AH527" s="1224"/>
      <c r="AI527" s="1224"/>
      <c r="AJ527" s="1224"/>
      <c r="AK527" s="1203"/>
      <c r="AL527" s="162"/>
      <c r="AN527" s="1133"/>
      <c r="AP527" s="253"/>
      <c r="AQ527" s="254"/>
      <c r="AR527" s="254"/>
      <c r="AS527" s="254"/>
      <c r="AT527" s="254"/>
      <c r="AU527" s="254"/>
      <c r="AV527" s="254"/>
      <c r="AW527" s="254"/>
      <c r="AX527" s="254"/>
      <c r="AY527" s="254"/>
      <c r="AZ527" s="255"/>
      <c r="BA527" s="254"/>
      <c r="BB527" s="254"/>
      <c r="BC527" s="99" t="s">
        <v>378</v>
      </c>
      <c r="BD527" s="2604">
        <f>SUM(E583:J591)</f>
        <v>88</v>
      </c>
      <c r="BE527" s="2604"/>
      <c r="BF527" s="255" t="s">
        <v>377</v>
      </c>
      <c r="BG527" s="254"/>
      <c r="BH527" s="254"/>
      <c r="BI527" s="254"/>
      <c r="BJ527" s="254"/>
      <c r="BK527" s="256"/>
      <c r="BM527" s="667">
        <v>4</v>
      </c>
      <c r="BN527" s="666"/>
      <c r="BO527" s="667">
        <v>4</v>
      </c>
      <c r="BP527" s="666"/>
      <c r="BQ527" s="668">
        <v>3</v>
      </c>
      <c r="BR527" s="670"/>
      <c r="BS527" s="668">
        <v>3</v>
      </c>
      <c r="BT527" s="670"/>
      <c r="BU527" s="667">
        <v>2</v>
      </c>
      <c r="BV527" s="666"/>
      <c r="BW527" s="667">
        <v>2</v>
      </c>
      <c r="BX527" s="666"/>
      <c r="BY527" s="668">
        <v>1</v>
      </c>
      <c r="BZ527" s="670"/>
      <c r="CA527" s="668">
        <v>1</v>
      </c>
      <c r="CB527" s="670"/>
      <c r="CC527" s="667" t="s">
        <v>681</v>
      </c>
      <c r="CD527" s="666"/>
      <c r="CE527" s="667" t="s">
        <v>681</v>
      </c>
      <c r="CF527" s="666"/>
      <c r="CG527" s="16"/>
      <c r="CH527" s="16"/>
      <c r="CI527" s="16"/>
      <c r="CJ527" s="16"/>
    </row>
    <row r="528" spans="1:122" s="137" customFormat="1" ht="12.75" hidden="1" customHeight="1">
      <c r="A528" s="28"/>
      <c r="B528" s="46"/>
      <c r="C528" s="161"/>
      <c r="D528" s="153"/>
      <c r="E528" s="225"/>
      <c r="F528" s="163"/>
      <c r="G528" s="1157"/>
      <c r="H528" s="1157"/>
      <c r="I528" s="1157"/>
      <c r="J528" s="1157"/>
      <c r="K528" s="1157"/>
      <c r="L528" s="1157"/>
      <c r="M528" s="1157"/>
      <c r="N528" s="1157"/>
      <c r="O528" s="1157"/>
      <c r="P528" s="1157"/>
      <c r="Q528" s="1157"/>
      <c r="R528" s="1157"/>
      <c r="S528" s="1157"/>
      <c r="T528" s="1157"/>
      <c r="U528" s="1157"/>
      <c r="V528" s="1157"/>
      <c r="W528" s="1157"/>
      <c r="X528" s="1157"/>
      <c r="Y528" s="1157"/>
      <c r="Z528" s="1157"/>
      <c r="AA528" s="1157"/>
      <c r="AB528" s="1157"/>
      <c r="AC528" s="1157"/>
      <c r="AD528" s="1157"/>
      <c r="AE528" s="1157"/>
      <c r="AF528" s="1157"/>
      <c r="AG528" s="27"/>
      <c r="AH528" s="27"/>
      <c r="AI528" s="27"/>
      <c r="AJ528" s="27"/>
      <c r="AK528" s="162"/>
      <c r="AL528" s="162"/>
      <c r="AM528" s="46"/>
      <c r="AN528" s="1135"/>
      <c r="AP528" s="681"/>
      <c r="AQ528" s="682"/>
      <c r="AR528" s="682"/>
      <c r="AS528" s="682"/>
      <c r="AT528" s="682"/>
      <c r="AU528" s="682"/>
      <c r="AV528" s="682"/>
      <c r="AW528" s="682"/>
      <c r="AX528" s="682"/>
      <c r="AY528" s="682"/>
      <c r="AZ528" s="682"/>
      <c r="BA528" s="682"/>
      <c r="BB528" s="682"/>
      <c r="BC528" s="682"/>
      <c r="BD528" s="682"/>
      <c r="BE528" s="682"/>
      <c r="BF528" s="682"/>
      <c r="BG528" s="682"/>
      <c r="BH528" s="682"/>
      <c r="BI528" s="99" t="s">
        <v>593</v>
      </c>
      <c r="BJ528" s="2596">
        <v>0</v>
      </c>
      <c r="BK528" s="2597"/>
      <c r="BM528" s="667">
        <f>IF(T608&gt;0,1,0)</f>
        <v>0</v>
      </c>
      <c r="BN528" s="666"/>
      <c r="BO528" s="667">
        <f>IF(Y608&gt;=0.1,1,0)</f>
        <v>0</v>
      </c>
      <c r="BP528" s="666"/>
      <c r="BQ528" s="668"/>
      <c r="BR528" s="670"/>
      <c r="BS528" s="668"/>
      <c r="BT528" s="670"/>
      <c r="BU528" s="667"/>
      <c r="BV528" s="666"/>
      <c r="BW528" s="667"/>
      <c r="BX528" s="666"/>
      <c r="BY528" s="668"/>
      <c r="BZ528" s="670"/>
      <c r="CA528" s="668"/>
      <c r="CB528" s="670"/>
      <c r="CC528" s="667"/>
      <c r="CD528" s="666"/>
      <c r="CE528" s="667"/>
      <c r="CF528" s="666"/>
      <c r="CG528" s="16"/>
      <c r="CH528" s="16"/>
      <c r="CI528" s="16"/>
      <c r="CJ528" s="16"/>
    </row>
    <row r="529" spans="1:101" s="46" customFormat="1" ht="12.75" hidden="1" customHeight="1">
      <c r="A529" s="28"/>
      <c r="C529" s="1252" t="s">
        <v>2075</v>
      </c>
      <c r="D529" s="1253"/>
      <c r="E529" s="1254"/>
      <c r="F529" s="1255"/>
      <c r="G529" s="1256"/>
      <c r="H529" s="1256"/>
      <c r="I529" s="1256"/>
      <c r="J529" s="1256"/>
      <c r="K529" s="1256"/>
      <c r="L529" s="1256"/>
      <c r="M529" s="1256"/>
      <c r="N529" s="1256"/>
      <c r="O529" s="1256"/>
      <c r="P529" s="1256"/>
      <c r="Q529" s="1256"/>
      <c r="R529" s="1256"/>
      <c r="S529" s="1256"/>
      <c r="T529" s="1256"/>
      <c r="U529" s="1256"/>
      <c r="V529" s="1256"/>
      <c r="W529" s="1256"/>
      <c r="X529" s="1256"/>
      <c r="Y529" s="1256"/>
      <c r="Z529" s="1256"/>
      <c r="AA529" s="1256"/>
      <c r="AB529" s="1256"/>
      <c r="AC529" s="1256"/>
      <c r="AD529" s="1256"/>
      <c r="AE529" s="1256"/>
      <c r="AF529" s="1256"/>
      <c r="AG529" s="1228"/>
      <c r="AH529" s="1228"/>
      <c r="AI529" s="1228"/>
      <c r="AJ529" s="1228"/>
      <c r="AK529" s="1212"/>
      <c r="AL529" s="162"/>
      <c r="AN529" s="439"/>
      <c r="AP529" s="681"/>
      <c r="AQ529" s="682"/>
      <c r="AR529" s="682"/>
      <c r="AS529" s="682"/>
      <c r="AT529" s="682"/>
      <c r="AU529" s="682"/>
      <c r="AV529" s="682"/>
      <c r="AW529" s="682"/>
      <c r="AX529" s="682"/>
      <c r="AY529" s="682"/>
      <c r="AZ529" s="682"/>
      <c r="BA529" s="682"/>
      <c r="BB529" s="682"/>
      <c r="BC529" s="682"/>
      <c r="BD529" s="682"/>
      <c r="BE529" s="682"/>
      <c r="BF529" s="682"/>
      <c r="BG529" s="682"/>
      <c r="BH529" s="682"/>
      <c r="BI529" s="683" t="s">
        <v>11</v>
      </c>
      <c r="BJ529" s="2596">
        <f>Application!AG431</f>
        <v>0</v>
      </c>
      <c r="BK529" s="2597"/>
      <c r="BM529" s="667"/>
      <c r="BN529" s="666"/>
      <c r="BO529" s="667"/>
      <c r="BP529" s="666"/>
      <c r="BQ529" s="671">
        <f>IF(T609&gt;0,1,0)</f>
        <v>1</v>
      </c>
      <c r="BR529" s="672"/>
      <c r="BS529" s="671">
        <f>IF(Y609&gt;=0.1,1,0)</f>
        <v>1</v>
      </c>
      <c r="BT529" s="672"/>
      <c r="BU529" s="667"/>
      <c r="BV529" s="666"/>
      <c r="BW529" s="667"/>
      <c r="BX529" s="666"/>
      <c r="BY529" s="668"/>
      <c r="BZ529" s="670"/>
      <c r="CA529" s="668"/>
      <c r="CB529" s="670"/>
      <c r="CC529" s="667"/>
      <c r="CD529" s="666"/>
      <c r="CE529" s="667"/>
      <c r="CF529" s="666"/>
      <c r="CG529" s="16"/>
      <c r="CH529" s="16"/>
      <c r="CI529" s="16"/>
      <c r="CJ529" s="16"/>
    </row>
    <row r="530" spans="1:101" s="46" customFormat="1" ht="12.75" hidden="1" customHeight="1">
      <c r="A530" s="28"/>
      <c r="C530" s="2394" t="s">
        <v>136</v>
      </c>
      <c r="D530" s="1696"/>
      <c r="E530" s="789" t="s">
        <v>1394</v>
      </c>
      <c r="F530" s="890" t="s">
        <v>1490</v>
      </c>
      <c r="G530" s="1157"/>
      <c r="H530" s="1157"/>
      <c r="I530" s="1157"/>
      <c r="J530" s="1157"/>
      <c r="K530" s="1157"/>
      <c r="L530" s="1157"/>
      <c r="M530" s="1157"/>
      <c r="N530" s="1157"/>
      <c r="O530" s="1157"/>
      <c r="P530" s="1157"/>
      <c r="Q530" s="1157"/>
      <c r="R530" s="1157"/>
      <c r="S530" s="1157"/>
      <c r="T530" s="1157"/>
      <c r="U530" s="1157"/>
      <c r="V530" s="1157"/>
      <c r="W530" s="1157"/>
      <c r="X530" s="1157"/>
      <c r="Y530" s="1157"/>
      <c r="Z530" s="1157"/>
      <c r="AA530" s="1157"/>
      <c r="AB530" s="1157"/>
      <c r="AC530" s="1157"/>
      <c r="AD530" s="1157"/>
      <c r="AE530" s="1157"/>
      <c r="AF530" s="1157"/>
      <c r="AG530" s="175">
        <f>IF(C$530="Yes",(VLOOKUP(F$531,$AO$501:$AP$504,2,FALSE)),0)</f>
        <v>0</v>
      </c>
      <c r="AH530" s="1158" t="s">
        <v>1078</v>
      </c>
      <c r="AI530" s="27"/>
      <c r="AJ530" s="27"/>
      <c r="AK530" s="1192"/>
      <c r="AL530" s="162"/>
      <c r="AN530" s="439"/>
      <c r="AP530" s="680"/>
      <c r="AQ530" s="684"/>
      <c r="AR530" s="684"/>
      <c r="AS530" s="684"/>
      <c r="AT530" s="684"/>
      <c r="AU530" s="684"/>
      <c r="AV530" s="684"/>
      <c r="AW530" s="684"/>
      <c r="AX530" s="684"/>
      <c r="AY530" s="684"/>
      <c r="AZ530" s="684"/>
      <c r="BA530" s="684"/>
      <c r="BB530" s="684"/>
      <c r="BC530" s="684"/>
      <c r="BD530" s="684"/>
      <c r="BE530" s="684"/>
      <c r="BF530" s="684"/>
      <c r="BG530" s="684"/>
      <c r="BH530" s="684"/>
      <c r="BI530" s="686" t="s">
        <v>375</v>
      </c>
      <c r="BJ530" s="2596">
        <f>Application!AG433</f>
        <v>88</v>
      </c>
      <c r="BK530" s="2597"/>
      <c r="BM530" s="2454"/>
      <c r="BN530" s="2455"/>
      <c r="BO530" s="2454"/>
      <c r="BP530" s="2455"/>
      <c r="BQ530" s="2469"/>
      <c r="BR530" s="2471"/>
      <c r="BS530" s="2469"/>
      <c r="BT530" s="2471"/>
      <c r="BU530" s="2454">
        <f>IF(T610&gt;0,1,0)</f>
        <v>1</v>
      </c>
      <c r="BV530" s="2455"/>
      <c r="BW530" s="2454">
        <f>IF(Y610&gt;=0.1,1,0)</f>
        <v>1</v>
      </c>
      <c r="BX530" s="2455"/>
      <c r="BY530" s="2469"/>
      <c r="BZ530" s="2471"/>
      <c r="CA530" s="2469"/>
      <c r="CB530" s="2471"/>
      <c r="CC530" s="2454"/>
      <c r="CD530" s="2455"/>
      <c r="CE530" s="2454"/>
      <c r="CF530" s="2455"/>
      <c r="CG530" s="16"/>
      <c r="CH530" s="16"/>
      <c r="CI530" s="16"/>
      <c r="CJ530" s="16"/>
    </row>
    <row r="531" spans="1:101" s="46" customFormat="1" ht="12.75" hidden="1" customHeight="1">
      <c r="A531" s="28"/>
      <c r="C531" s="1246"/>
      <c r="D531" s="153"/>
      <c r="E531" s="225"/>
      <c r="F531" s="2111" t="s">
        <v>136</v>
      </c>
      <c r="G531" s="2111"/>
      <c r="H531" s="2111"/>
      <c r="I531" s="2111"/>
      <c r="J531" s="2111"/>
      <c r="K531" s="2111"/>
      <c r="L531" s="2111"/>
      <c r="M531" s="2111"/>
      <c r="N531" s="2111"/>
      <c r="O531" s="2111"/>
      <c r="P531" s="2111"/>
      <c r="Q531" s="2111"/>
      <c r="R531" s="2111"/>
      <c r="S531" s="2111"/>
      <c r="T531" s="2111"/>
      <c r="U531" s="2111"/>
      <c r="V531" s="2111"/>
      <c r="W531" s="2111"/>
      <c r="X531" s="2111"/>
      <c r="Y531" s="2111"/>
      <c r="Z531" s="2111"/>
      <c r="AA531" s="2111"/>
      <c r="AB531" s="2111"/>
      <c r="AC531" s="2111"/>
      <c r="AD531" s="2111"/>
      <c r="AE531" s="2111"/>
      <c r="AF531" s="2111"/>
      <c r="AG531" s="27"/>
      <c r="AH531" s="27"/>
      <c r="AI531" s="27"/>
      <c r="AJ531" s="27"/>
      <c r="AK531" s="1192"/>
      <c r="AL531" s="162"/>
      <c r="AN531" s="439"/>
      <c r="BM531" s="2454"/>
      <c r="BN531" s="2455"/>
      <c r="BO531" s="2454"/>
      <c r="BP531" s="2455"/>
      <c r="BQ531" s="2469"/>
      <c r="BR531" s="2471"/>
      <c r="BS531" s="2469"/>
      <c r="BT531" s="2471"/>
      <c r="BU531" s="2454"/>
      <c r="BV531" s="2455"/>
      <c r="BW531" s="2454"/>
      <c r="BX531" s="2455"/>
      <c r="BY531" s="2505">
        <f>IF(T611&gt;0,1,0)</f>
        <v>1</v>
      </c>
      <c r="BZ531" s="2507"/>
      <c r="CA531" s="2505">
        <f>IF(Y611&gt;=0.1,1,0)</f>
        <v>1</v>
      </c>
      <c r="CB531" s="2507"/>
      <c r="CC531" s="2454"/>
      <c r="CD531" s="2455"/>
      <c r="CE531" s="2454"/>
      <c r="CF531" s="2455"/>
      <c r="CG531" s="16"/>
      <c r="CH531" s="16"/>
      <c r="CI531" s="16"/>
      <c r="CJ531" s="16"/>
      <c r="CW531" s="16"/>
    </row>
    <row r="532" spans="1:101" s="46" customFormat="1" ht="12.75" hidden="1" customHeight="1">
      <c r="A532" s="28"/>
      <c r="C532" s="1247"/>
      <c r="D532" s="1202"/>
      <c r="E532" s="1222"/>
      <c r="F532" s="2401"/>
      <c r="G532" s="2401"/>
      <c r="H532" s="2401"/>
      <c r="I532" s="2401"/>
      <c r="J532" s="2401"/>
      <c r="K532" s="2401"/>
      <c r="L532" s="2401"/>
      <c r="M532" s="2401"/>
      <c r="N532" s="2401"/>
      <c r="O532" s="2401"/>
      <c r="P532" s="2401"/>
      <c r="Q532" s="2401"/>
      <c r="R532" s="2401"/>
      <c r="S532" s="2401"/>
      <c r="T532" s="2401"/>
      <c r="U532" s="2401"/>
      <c r="V532" s="2401"/>
      <c r="W532" s="2401"/>
      <c r="X532" s="2401"/>
      <c r="Y532" s="2401"/>
      <c r="Z532" s="2401"/>
      <c r="AA532" s="2401"/>
      <c r="AB532" s="2401"/>
      <c r="AC532" s="2401"/>
      <c r="AD532" s="2401"/>
      <c r="AE532" s="2401"/>
      <c r="AF532" s="2401"/>
      <c r="AG532" s="1224"/>
      <c r="AH532" s="1224"/>
      <c r="AI532" s="1224"/>
      <c r="AJ532" s="1224"/>
      <c r="AK532" s="1203"/>
      <c r="AL532" s="162"/>
      <c r="AN532" s="439"/>
      <c r="BM532" s="2454"/>
      <c r="BN532" s="2455"/>
      <c r="BO532" s="2454"/>
      <c r="BP532" s="2455"/>
      <c r="BQ532" s="2469"/>
      <c r="BR532" s="2471"/>
      <c r="BS532" s="2469"/>
      <c r="BT532" s="2471"/>
      <c r="BU532" s="2454"/>
      <c r="BV532" s="2455"/>
      <c r="BW532" s="2454"/>
      <c r="BX532" s="2455"/>
      <c r="BY532" s="2469"/>
      <c r="BZ532" s="2471"/>
      <c r="CA532" s="2469"/>
      <c r="CB532" s="2471"/>
      <c r="CC532" s="2454">
        <f>IF(T612&gt;0,1,0)</f>
        <v>1</v>
      </c>
      <c r="CD532" s="2455"/>
      <c r="CE532" s="2454">
        <f>IF(Y612&gt;=0.1,1,0)</f>
        <v>1</v>
      </c>
      <c r="CF532" s="2455"/>
      <c r="CG532" s="16"/>
      <c r="CH532" s="16"/>
      <c r="CI532" s="16"/>
      <c r="CJ532" s="16"/>
    </row>
    <row r="533" spans="1:101" s="46" customFormat="1" ht="12.75" hidden="1" customHeight="1">
      <c r="A533" s="57"/>
      <c r="C533" s="27"/>
      <c r="E533" s="27"/>
      <c r="F533" s="890"/>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4">
        <f>SUM(BM528:BN532)</f>
        <v>0</v>
      </c>
      <c r="BN533" s="2455"/>
      <c r="BO533" s="2454">
        <f>SUM(BO528:BP532)</f>
        <v>0</v>
      </c>
      <c r="BP533" s="2455"/>
      <c r="BQ533" s="2454">
        <f>SUM(BQ528:BR532)</f>
        <v>1</v>
      </c>
      <c r="BR533" s="2455"/>
      <c r="BS533" s="2454">
        <f>SUM(BS528:BT532)</f>
        <v>1</v>
      </c>
      <c r="BT533" s="2455"/>
      <c r="BU533" s="2454">
        <f>SUM(BU528:BV532)</f>
        <v>1</v>
      </c>
      <c r="BV533" s="2455"/>
      <c r="BW533" s="2454">
        <f>SUM(BW528:BX532)</f>
        <v>1</v>
      </c>
      <c r="BX533" s="2455"/>
      <c r="BY533" s="2454">
        <f>SUM(BY528:BZ532)</f>
        <v>1</v>
      </c>
      <c r="BZ533" s="2455"/>
      <c r="CA533" s="2454">
        <f>SUM(CA528:CB532)</f>
        <v>1</v>
      </c>
      <c r="CB533" s="2455"/>
      <c r="CC533" s="2454">
        <f>SUM(CC528:CD532)</f>
        <v>1</v>
      </c>
      <c r="CD533" s="2455"/>
      <c r="CE533" s="2454">
        <f>SUM(CE528:CF532)</f>
        <v>1</v>
      </c>
      <c r="CF533" s="2455"/>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601" t="s">
        <v>504</v>
      </c>
      <c r="AQ534" s="2602"/>
      <c r="AR534" s="2602"/>
      <c r="AS534" s="2602"/>
      <c r="AT534" s="2603"/>
      <c r="AU534" s="2601" t="s">
        <v>505</v>
      </c>
      <c r="AV534" s="2602"/>
      <c r="AW534" s="2602"/>
      <c r="AX534" s="2602"/>
      <c r="AY534" s="2603"/>
      <c r="BM534" s="2469">
        <f>SUM(BM533:BP533)</f>
        <v>0</v>
      </c>
      <c r="BN534" s="2470"/>
      <c r="BO534" s="2470"/>
      <c r="BP534" s="2471"/>
      <c r="BQ534" s="2469">
        <f>SUM(BQ533:BT533)</f>
        <v>2</v>
      </c>
      <c r="BR534" s="2470"/>
      <c r="BS534" s="2470"/>
      <c r="BT534" s="2471"/>
      <c r="BU534" s="2469">
        <f>SUM(BU533:BX533)</f>
        <v>2</v>
      </c>
      <c r="BV534" s="2470"/>
      <c r="BW534" s="2470"/>
      <c r="BX534" s="2471"/>
      <c r="BY534" s="2469">
        <f>SUM(BY533:CB533)</f>
        <v>2</v>
      </c>
      <c r="BZ534" s="2470"/>
      <c r="CA534" s="2470"/>
      <c r="CB534" s="2471"/>
      <c r="CC534" s="2469">
        <f>SUM(CC533:CF533)</f>
        <v>2</v>
      </c>
      <c r="CD534" s="2470"/>
      <c r="CE534" s="2470"/>
      <c r="CF534" s="2471"/>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8">
        <f>RANK(T608,$T$608:$X$612,0)+COUNTIF($T$608:$X$612,T608)-1</f>
        <v>5</v>
      </c>
      <c r="AQ535" s="2599"/>
      <c r="AR535" s="2599"/>
      <c r="AS535" s="2599"/>
      <c r="AT535" s="2600"/>
      <c r="AU535" s="2598">
        <f>RANK(Y608,$Y$608:$AC$612,0)+COUNTIF($Y$608:$AC$612,Y608)-1</f>
        <v>5</v>
      </c>
      <c r="AV535" s="2599"/>
      <c r="AW535" s="2599"/>
      <c r="AX535" s="2599"/>
      <c r="AY535" s="2600"/>
      <c r="BM535" s="2469"/>
      <c r="BN535" s="2470"/>
      <c r="BO535" s="2470"/>
      <c r="BP535" s="2471"/>
      <c r="BQ535" s="2469">
        <f>IF(AND(BQ534=2,BM534=1),1,0)</f>
        <v>0</v>
      </c>
      <c r="BR535" s="2470"/>
      <c r="BS535" s="2470"/>
      <c r="BT535" s="2471"/>
      <c r="BU535" s="2469">
        <f>IF(AND(BU534=2,BQ534=1),1,0)</f>
        <v>0</v>
      </c>
      <c r="BV535" s="2470"/>
      <c r="BW535" s="2470"/>
      <c r="BX535" s="2471"/>
      <c r="BY535" s="2469">
        <f>IF(AND(BY534=2,BU534=1),1,0)</f>
        <v>0</v>
      </c>
      <c r="BZ535" s="2470"/>
      <c r="CA535" s="2470"/>
      <c r="CB535" s="2471"/>
      <c r="CC535" s="2469">
        <f>IF(AND(CC534=2,BU534=1),1,0)</f>
        <v>0</v>
      </c>
      <c r="CD535" s="2470"/>
      <c r="CE535" s="2470"/>
      <c r="CF535" s="2471"/>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8">
        <f>RANK(T609,$T$608:$X$612,0)+COUNTIF($T$608:$X$612,T609)-1</f>
        <v>4</v>
      </c>
      <c r="AQ536" s="2599"/>
      <c r="AR536" s="2599"/>
      <c r="AS536" s="2599"/>
      <c r="AT536" s="2600"/>
      <c r="AU536" s="2598">
        <f>RANK(Y609,$Y$608:$AC$612,0)+COUNTIF($Y$608:$AC$612,Y609)-1</f>
        <v>3</v>
      </c>
      <c r="AV536" s="2599"/>
      <c r="AW536" s="2599"/>
      <c r="AX536" s="2599"/>
      <c r="AY536" s="2600"/>
      <c r="BM536" s="2469"/>
      <c r="BN536" s="2470"/>
      <c r="BO536" s="2470"/>
      <c r="BP536" s="2471"/>
      <c r="BQ536" s="2469"/>
      <c r="BR536" s="2470"/>
      <c r="BS536" s="2470"/>
      <c r="BT536" s="2471"/>
      <c r="BU536" s="2469">
        <f>IF(AND(BU534=2,BM534=1),1,0)</f>
        <v>0</v>
      </c>
      <c r="BV536" s="2470"/>
      <c r="BW536" s="2470"/>
      <c r="BX536" s="2471"/>
      <c r="BY536" s="2469">
        <f>IF(AND(BY534=2,BQ534=1),1,0)</f>
        <v>0</v>
      </c>
      <c r="BZ536" s="2470"/>
      <c r="CA536" s="2470"/>
      <c r="CB536" s="2471"/>
      <c r="CC536" s="2469">
        <f>IF(AND(CC535=2,BY535=1),1,0)</f>
        <v>0</v>
      </c>
      <c r="CD536" s="2470"/>
      <c r="CE536" s="2470"/>
      <c r="CF536" s="2471"/>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8">
        <f>RANK(T610,$T$608:$X$612,0)+COUNTIF($T$608:$X$612,T610)-1</f>
        <v>4</v>
      </c>
      <c r="AQ537" s="2599"/>
      <c r="AR537" s="2599"/>
      <c r="AS537" s="2599"/>
      <c r="AT537" s="2600"/>
      <c r="AU537" s="2598">
        <f>RANK(Y610,$Y$608:$AC$612,0)+COUNTIF($Y$608:$AC$612,Y610)-1</f>
        <v>4</v>
      </c>
      <c r="AV537" s="2599"/>
      <c r="AW537" s="2599"/>
      <c r="AX537" s="2599"/>
      <c r="AY537" s="2600"/>
      <c r="BM537" s="2469"/>
      <c r="BN537" s="2470"/>
      <c r="BO537" s="2470"/>
      <c r="BP537" s="2471"/>
      <c r="BQ537" s="2469"/>
      <c r="BR537" s="2470"/>
      <c r="BS537" s="2470"/>
      <c r="BT537" s="2471"/>
      <c r="BU537" s="2469"/>
      <c r="BV537" s="2470"/>
      <c r="BW537" s="2470"/>
      <c r="BX537" s="2471"/>
      <c r="BY537" s="2469">
        <f>IF(AND(BY534=2,BM534=1),1,0)</f>
        <v>0</v>
      </c>
      <c r="BZ537" s="2470"/>
      <c r="CA537" s="2470"/>
      <c r="CB537" s="2471"/>
      <c r="CC537" s="2469">
        <f>IF(AND(CC534=2,BQ534=1),1,0)</f>
        <v>0</v>
      </c>
      <c r="CD537" s="2470"/>
      <c r="CE537" s="2470"/>
      <c r="CF537" s="2471"/>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8">
        <f>RANK(T611,$T$608:$X$612,0)+COUNTIF($T$608:$X$612,T611)-1</f>
        <v>2</v>
      </c>
      <c r="AQ538" s="2599"/>
      <c r="AR538" s="2599"/>
      <c r="AS538" s="2599"/>
      <c r="AT538" s="2600"/>
      <c r="AU538" s="2598">
        <f>RANK(Y611,$Y$608:$AC$612,0)+COUNTIF($Y$608:$AC$612,Y611)-1</f>
        <v>1</v>
      </c>
      <c r="AV538" s="2599"/>
      <c r="AW538" s="2599"/>
      <c r="AX538" s="2599"/>
      <c r="AY538" s="2600"/>
      <c r="BM538" s="2469"/>
      <c r="BN538" s="2470"/>
      <c r="BO538" s="2470"/>
      <c r="BP538" s="2471"/>
      <c r="BQ538" s="2469"/>
      <c r="BR538" s="2470"/>
      <c r="BS538" s="2470"/>
      <c r="BT538" s="2471"/>
      <c r="BU538" s="2469"/>
      <c r="BV538" s="2470"/>
      <c r="BW538" s="2470"/>
      <c r="BX538" s="2471"/>
      <c r="BY538" s="2469"/>
      <c r="BZ538" s="2470"/>
      <c r="CA538" s="2470"/>
      <c r="CB538" s="2471"/>
      <c r="CC538" s="2469">
        <f>IF(AND(CC534=2,BM534=1),1,0)</f>
        <v>0</v>
      </c>
      <c r="CD538" s="2470"/>
      <c r="CE538" s="2470"/>
      <c r="CF538" s="2471"/>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8">
        <f>RANK(T612,$T$608:$X$612,0)+COUNTIF($T$608:$X$612,T612)-1</f>
        <v>1</v>
      </c>
      <c r="AQ539" s="2599"/>
      <c r="AR539" s="2599"/>
      <c r="AS539" s="2599"/>
      <c r="AT539" s="2600"/>
      <c r="AU539" s="2598">
        <f>RANK(Y612,$Y$608:$AC$612,0)+COUNTIF($Y$608:$AC$612,Y612)-1</f>
        <v>2</v>
      </c>
      <c r="AV539" s="2599"/>
      <c r="AW539" s="2599"/>
      <c r="AX539" s="2599"/>
      <c r="AY539" s="2600"/>
      <c r="BM539" s="2469">
        <f>SUM(BM535:BP538)</f>
        <v>0</v>
      </c>
      <c r="BN539" s="2470"/>
      <c r="BO539" s="2470"/>
      <c r="BP539" s="2471"/>
      <c r="BQ539" s="2469">
        <f>SUM(BQ535:BT538)</f>
        <v>0</v>
      </c>
      <c r="BR539" s="2470"/>
      <c r="BS539" s="2470"/>
      <c r="BT539" s="2471"/>
      <c r="BU539" s="2469">
        <f>SUM(BU535:BX538)</f>
        <v>0</v>
      </c>
      <c r="BV539" s="2470"/>
      <c r="BW539" s="2470"/>
      <c r="BX539" s="2471"/>
      <c r="BY539" s="2469">
        <f>SUM(BY535:CB538)</f>
        <v>0</v>
      </c>
      <c r="BZ539" s="2470"/>
      <c r="CA539" s="2470"/>
      <c r="CB539" s="2471"/>
      <c r="CC539" s="2469">
        <f>SUM(CC535:CF538)</f>
        <v>0</v>
      </c>
      <c r="CD539" s="2470"/>
      <c r="CE539" s="2470"/>
      <c r="CF539" s="2471"/>
      <c r="CG539" s="2469">
        <f>SUM(BM539:CF539)</f>
        <v>0</v>
      </c>
      <c r="CH539" s="2470"/>
      <c r="CI539" s="2470"/>
      <c r="CJ539" s="2471"/>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6" t="s">
        <v>196</v>
      </c>
      <c r="AK542" s="2364">
        <f>SUM(AG486:AG531)</f>
        <v>0</v>
      </c>
      <c r="AL542" s="2365"/>
      <c r="AM542" s="236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54">
        <f>SUM(O608:S612)</f>
        <v>88</v>
      </c>
      <c r="AZ543" s="2455"/>
      <c r="CG543" s="35"/>
      <c r="CH543" s="2504" t="s">
        <v>848</v>
      </c>
      <c r="CI543" s="1957"/>
      <c r="CJ543" s="1957"/>
      <c r="CK543" s="195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54" t="str">
        <f>IF(AY543=BK570,"passed","failed")</f>
        <v>passed</v>
      </c>
      <c r="AT544" s="2460"/>
      <c r="AU544" s="2455"/>
      <c r="AV544" s="233"/>
      <c r="AW544" s="233"/>
      <c r="AX544" s="233"/>
      <c r="AY544" s="233"/>
      <c r="AZ544" s="234"/>
      <c r="CG544" s="35"/>
      <c r="CH544" s="1959"/>
      <c r="CI544" s="1960"/>
      <c r="CJ544" s="1960"/>
      <c r="CK544" s="1961"/>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9" t="s">
        <v>409</v>
      </c>
      <c r="AF545" s="2419"/>
      <c r="AG545" s="2419"/>
      <c r="AH545" s="2419"/>
      <c r="AI545" s="2419"/>
      <c r="AJ545" s="2419"/>
      <c r="AK545" s="2419"/>
      <c r="AL545" s="1298"/>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59"/>
      <c r="CI545" s="1960"/>
      <c r="CJ545" s="1960"/>
      <c r="CK545" s="1961"/>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7" t="s">
        <v>199</v>
      </c>
      <c r="AH546" s="2367"/>
      <c r="AI546" s="2367"/>
      <c r="AJ546" s="2367"/>
      <c r="AK546" s="26"/>
      <c r="AL546" s="1298"/>
      <c r="AM546" s="65"/>
      <c r="AN546" s="439"/>
      <c r="BE546" s="2469" t="s">
        <v>249</v>
      </c>
      <c r="BF546" s="2470"/>
      <c r="BG546" s="2470"/>
      <c r="BH546" s="2471"/>
      <c r="BI546" s="2469" t="s">
        <v>783</v>
      </c>
      <c r="BJ546" s="2470"/>
      <c r="BK546" s="2470"/>
      <c r="BL546" s="2471"/>
      <c r="BM546" s="2469" t="s">
        <v>784</v>
      </c>
      <c r="BN546" s="2470"/>
      <c r="BO546" s="2470"/>
      <c r="BP546" s="2471"/>
      <c r="BQ546" s="2469" t="s">
        <v>785</v>
      </c>
      <c r="BR546" s="2470"/>
      <c r="BS546" s="2470"/>
      <c r="BT546" s="2471"/>
      <c r="BU546" s="2469" t="s">
        <v>786</v>
      </c>
      <c r="BV546" s="2470"/>
      <c r="BW546" s="2470"/>
      <c r="BX546" s="2471"/>
      <c r="BY546" s="2469" t="s">
        <v>250</v>
      </c>
      <c r="BZ546" s="2470"/>
      <c r="CA546" s="2470"/>
      <c r="CB546" s="2471"/>
      <c r="CC546" s="16"/>
      <c r="CG546" s="16"/>
      <c r="CH546" s="1959"/>
      <c r="CI546" s="1960"/>
      <c r="CJ546" s="1960"/>
      <c r="CK546" s="1961"/>
    </row>
    <row r="547" spans="1:89" s="46" customFormat="1" ht="12.75" customHeight="1">
      <c r="A547" s="152"/>
      <c r="B547" s="2579" t="s">
        <v>1936</v>
      </c>
      <c r="C547" s="2579"/>
      <c r="D547" s="2579"/>
      <c r="E547" s="2579"/>
      <c r="F547" s="2579"/>
      <c r="G547" s="2579"/>
      <c r="H547" s="2579"/>
      <c r="I547" s="2579"/>
      <c r="J547" s="2579"/>
      <c r="K547" s="2579"/>
      <c r="L547" s="2579"/>
      <c r="M547" s="2579"/>
      <c r="N547" s="2579"/>
      <c r="O547" s="2579"/>
      <c r="P547" s="2579"/>
      <c r="Q547" s="2579"/>
      <c r="R547" s="2579"/>
      <c r="S547" s="2579"/>
      <c r="T547" s="2579"/>
      <c r="U547" s="2579"/>
      <c r="V547" s="2579"/>
      <c r="W547" s="2579"/>
      <c r="X547" s="2579"/>
      <c r="Y547" s="2579"/>
      <c r="Z547" s="2579"/>
      <c r="AA547" s="2579"/>
      <c r="AB547" s="2579"/>
      <c r="AC547" s="2579"/>
      <c r="AD547" s="2579"/>
      <c r="AE547" s="2579"/>
      <c r="AF547" s="2579"/>
      <c r="AG547" s="2579"/>
      <c r="AK547" s="65"/>
      <c r="AL547" s="65"/>
      <c r="AM547" s="153"/>
      <c r="AN547" s="439"/>
      <c r="AP547" s="688" t="s">
        <v>679</v>
      </c>
      <c r="AQ547" s="689"/>
      <c r="AR547" s="689"/>
      <c r="AS547" s="689"/>
      <c r="AT547" s="689"/>
      <c r="AU547" s="689"/>
      <c r="AV547" s="690"/>
      <c r="AW547" s="689"/>
      <c r="AX547" s="689"/>
      <c r="AY547" s="690"/>
      <c r="BE547" s="2454">
        <f>IF(CH548=1,0,1)</f>
        <v>0</v>
      </c>
      <c r="BF547" s="2460"/>
      <c r="BG547" s="2460"/>
      <c r="BH547" s="2455"/>
      <c r="BI547" s="2454"/>
      <c r="BJ547" s="2460"/>
      <c r="BK547" s="2460"/>
      <c r="BL547" s="2455"/>
      <c r="BM547" s="2454"/>
      <c r="BN547" s="2460"/>
      <c r="BO547" s="2460"/>
      <c r="BP547" s="2455"/>
      <c r="BQ547" s="2454"/>
      <c r="BR547" s="2460"/>
      <c r="BS547" s="2460"/>
      <c r="BT547" s="2455"/>
      <c r="BU547" s="2505"/>
      <c r="BV547" s="2506"/>
      <c r="BW547" s="2506"/>
      <c r="BX547" s="2507"/>
      <c r="BY547" s="2505"/>
      <c r="BZ547" s="2506"/>
      <c r="CA547" s="2506"/>
      <c r="CB547" s="2507"/>
      <c r="CC547" s="16"/>
      <c r="CG547" s="16"/>
      <c r="CH547" s="1962"/>
      <c r="CI547" s="1963"/>
      <c r="CJ547" s="1963"/>
      <c r="CK547" s="1964"/>
    </row>
    <row r="548" spans="1:89" s="46" customFormat="1" ht="12.75" customHeight="1">
      <c r="A548" s="29"/>
      <c r="B548" s="2579"/>
      <c r="C548" s="2579"/>
      <c r="D548" s="2579"/>
      <c r="E548" s="2579"/>
      <c r="F548" s="2579"/>
      <c r="G548" s="2579"/>
      <c r="H548" s="2579"/>
      <c r="I548" s="2579"/>
      <c r="J548" s="2579"/>
      <c r="K548" s="2579"/>
      <c r="L548" s="2579"/>
      <c r="M548" s="2579"/>
      <c r="N548" s="2579"/>
      <c r="O548" s="2579"/>
      <c r="P548" s="2579"/>
      <c r="Q548" s="2579"/>
      <c r="R548" s="2579"/>
      <c r="S548" s="2579"/>
      <c r="T548" s="2579"/>
      <c r="U548" s="2579"/>
      <c r="V548" s="2579"/>
      <c r="W548" s="2579"/>
      <c r="X548" s="2579"/>
      <c r="Y548" s="2579"/>
      <c r="Z548" s="2579"/>
      <c r="AA548" s="2579"/>
      <c r="AB548" s="2579"/>
      <c r="AC548" s="2579"/>
      <c r="AD548" s="2579"/>
      <c r="AE548" s="2579"/>
      <c r="AF548" s="2579"/>
      <c r="AG548" s="2579"/>
      <c r="AK548" s="246"/>
      <c r="AL548" s="246"/>
      <c r="AM548" s="246"/>
      <c r="AN548" s="439"/>
      <c r="AP548" s="691" t="s">
        <v>677</v>
      </c>
      <c r="AQ548" s="692"/>
      <c r="AR548" s="692"/>
      <c r="AS548" s="692"/>
      <c r="AT548" s="692"/>
      <c r="AU548" s="2494">
        <f>ROUNDUP(BK570*0.1,0)</f>
        <v>9</v>
      </c>
      <c r="AV548" s="2496"/>
      <c r="AW548" s="692"/>
      <c r="AX548" s="692">
        <f>AU548-AP550</f>
        <v>-45</v>
      </c>
      <c r="AY548" s="693"/>
      <c r="BE548" s="2454"/>
      <c r="BF548" s="2460"/>
      <c r="BG548" s="2460"/>
      <c r="BH548" s="2455"/>
      <c r="BI548" s="2454">
        <f>IF(AND(CH549=1,BE547=0),0,1)</f>
        <v>0</v>
      </c>
      <c r="BJ548" s="2460"/>
      <c r="BK548" s="2460"/>
      <c r="BL548" s="2455"/>
      <c r="BM548" s="2454"/>
      <c r="BN548" s="2460"/>
      <c r="BO548" s="2460"/>
      <c r="BP548" s="2455"/>
      <c r="BQ548" s="2454"/>
      <c r="BR548" s="2460"/>
      <c r="BS548" s="2460"/>
      <c r="BT548" s="2455"/>
      <c r="BU548" s="2505"/>
      <c r="BV548" s="2506"/>
      <c r="BW548" s="2506"/>
      <c r="BX548" s="2507"/>
      <c r="BY548" s="2505"/>
      <c r="BZ548" s="2506"/>
      <c r="CA548" s="2506"/>
      <c r="CB548" s="2507"/>
      <c r="CC548" s="16"/>
      <c r="CG548" s="16"/>
      <c r="CH548" s="2469">
        <f>IF(OR(Y608=0,Y608&gt;=0.1),1,0)</f>
        <v>1</v>
      </c>
      <c r="CI548" s="2470"/>
      <c r="CJ548" s="2470"/>
      <c r="CK548" s="2471"/>
    </row>
    <row r="549" spans="1:89" s="46" customFormat="1" ht="12.75" customHeight="1">
      <c r="A549" s="28"/>
      <c r="B549" s="2579"/>
      <c r="C549" s="2579"/>
      <c r="D549" s="2579"/>
      <c r="E549" s="2579"/>
      <c r="F549" s="2579"/>
      <c r="G549" s="2579"/>
      <c r="H549" s="2579"/>
      <c r="I549" s="2579"/>
      <c r="J549" s="2579"/>
      <c r="K549" s="2579"/>
      <c r="L549" s="2579"/>
      <c r="M549" s="2579"/>
      <c r="N549" s="2579"/>
      <c r="O549" s="2579"/>
      <c r="P549" s="2579"/>
      <c r="Q549" s="2579"/>
      <c r="R549" s="2579"/>
      <c r="S549" s="2579"/>
      <c r="T549" s="2579"/>
      <c r="U549" s="2579"/>
      <c r="V549" s="2579"/>
      <c r="W549" s="2579"/>
      <c r="X549" s="2579"/>
      <c r="Y549" s="2579"/>
      <c r="Z549" s="2579"/>
      <c r="AA549" s="2579"/>
      <c r="AB549" s="2579"/>
      <c r="AC549" s="2579"/>
      <c r="AD549" s="2579"/>
      <c r="AE549" s="2579"/>
      <c r="AF549" s="2579"/>
      <c r="AG549" s="2579"/>
      <c r="AH549" s="245"/>
      <c r="AI549" s="245"/>
      <c r="AJ549" s="245"/>
      <c r="AK549" s="246"/>
      <c r="AL549" s="246"/>
      <c r="AM549" s="246"/>
      <c r="AN549" s="439"/>
      <c r="AP549" s="691"/>
      <c r="AQ549" s="692"/>
      <c r="AR549" s="692"/>
      <c r="AS549" s="692"/>
      <c r="AT549" s="692"/>
      <c r="AU549" s="692"/>
      <c r="AV549" s="693"/>
      <c r="AW549" s="692"/>
      <c r="AX549" s="692"/>
      <c r="AY549" s="693"/>
      <c r="BE549" s="2454"/>
      <c r="BF549" s="2460"/>
      <c r="BG549" s="2460"/>
      <c r="BH549" s="2455"/>
      <c r="BI549" s="2454"/>
      <c r="BJ549" s="2460"/>
      <c r="BK549" s="2460"/>
      <c r="BL549" s="2455"/>
      <c r="BM549" s="2454">
        <f>IF(AND(AND(CH550=1,BI548=0,BE547=0)),0,1)</f>
        <v>0</v>
      </c>
      <c r="BN549" s="2460"/>
      <c r="BO549" s="2460"/>
      <c r="BP549" s="2455"/>
      <c r="BQ549" s="2454"/>
      <c r="BR549" s="2460"/>
      <c r="BS549" s="2460"/>
      <c r="BT549" s="2455"/>
      <c r="BU549" s="2505"/>
      <c r="BV549" s="2506"/>
      <c r="BW549" s="2506"/>
      <c r="BX549" s="2507"/>
      <c r="BY549" s="2505"/>
      <c r="BZ549" s="2506"/>
      <c r="CA549" s="2506"/>
      <c r="CB549" s="2507"/>
      <c r="CC549" s="16"/>
      <c r="CG549" s="16"/>
      <c r="CH549" s="2469">
        <f>IF(OR(Y609=0,Y609&gt;=0.1),1,0)</f>
        <v>1</v>
      </c>
      <c r="CI549" s="2470"/>
      <c r="CJ549" s="2470"/>
      <c r="CK549" s="2471"/>
    </row>
    <row r="550" spans="1:89" s="46" customFormat="1" ht="12.75" customHeight="1">
      <c r="A550" s="28"/>
      <c r="B550" s="2579"/>
      <c r="C550" s="2579"/>
      <c r="D550" s="2579"/>
      <c r="E550" s="2579"/>
      <c r="F550" s="2579"/>
      <c r="G550" s="2579"/>
      <c r="H550" s="2579"/>
      <c r="I550" s="2579"/>
      <c r="J550" s="2579"/>
      <c r="K550" s="2579"/>
      <c r="L550" s="2579"/>
      <c r="M550" s="2579"/>
      <c r="N550" s="2579"/>
      <c r="O550" s="2579"/>
      <c r="P550" s="2579"/>
      <c r="Q550" s="2579"/>
      <c r="R550" s="2579"/>
      <c r="S550" s="2579"/>
      <c r="T550" s="2579"/>
      <c r="U550" s="2579"/>
      <c r="V550" s="2579"/>
      <c r="W550" s="2579"/>
      <c r="X550" s="2579"/>
      <c r="Y550" s="2579"/>
      <c r="Z550" s="2579"/>
      <c r="AA550" s="2579"/>
      <c r="AB550" s="2579"/>
      <c r="AC550" s="2579"/>
      <c r="AD550" s="2579"/>
      <c r="AE550" s="2579"/>
      <c r="AF550" s="2579"/>
      <c r="AG550" s="2579"/>
      <c r="AH550" s="245"/>
      <c r="AI550" s="245"/>
      <c r="AJ550" s="245"/>
      <c r="AK550" s="246"/>
      <c r="AL550" s="246"/>
      <c r="AM550" s="246"/>
      <c r="AN550" s="439"/>
      <c r="AP550" s="2581">
        <f>SUM(T608:X612)</f>
        <v>54</v>
      </c>
      <c r="AQ550" s="2582"/>
      <c r="AR550" s="2582"/>
      <c r="AS550" s="2582"/>
      <c r="AT550" s="2583"/>
      <c r="AU550" s="692"/>
      <c r="AV550" s="693"/>
      <c r="AW550" s="692"/>
      <c r="AX550" s="692"/>
      <c r="AY550" s="693"/>
      <c r="BE550" s="2454"/>
      <c r="BF550" s="2460"/>
      <c r="BG550" s="2460"/>
      <c r="BH550" s="2455"/>
      <c r="BI550" s="2454"/>
      <c r="BJ550" s="2460"/>
      <c r="BK550" s="2460"/>
      <c r="BL550" s="2455"/>
      <c r="BM550" s="2454"/>
      <c r="BN550" s="2460"/>
      <c r="BO550" s="2460"/>
      <c r="BP550" s="2455"/>
      <c r="BQ550" s="2454">
        <f>IF(AND(AND(AND(CH551=1,BM549=0,BI548=0,BE547=0))),0,1)</f>
        <v>0</v>
      </c>
      <c r="BR550" s="2460"/>
      <c r="BS550" s="2460"/>
      <c r="BT550" s="2455"/>
      <c r="BU550" s="2505"/>
      <c r="BV550" s="2506"/>
      <c r="BW550" s="2506"/>
      <c r="BX550" s="2507"/>
      <c r="BY550" s="2505"/>
      <c r="BZ550" s="2506"/>
      <c r="CA550" s="2506"/>
      <c r="CB550" s="2507"/>
      <c r="CC550" s="16"/>
      <c r="CG550" s="16"/>
      <c r="CH550" s="2469">
        <f>IF(OR(Y610=0,Y610&gt;=0.1),1,0)</f>
        <v>1</v>
      </c>
      <c r="CI550" s="2470"/>
      <c r="CJ550" s="2470"/>
      <c r="CK550" s="2471"/>
    </row>
    <row r="551" spans="1:89" s="46" customFormat="1" ht="12.75" customHeight="1">
      <c r="A551" s="28"/>
      <c r="B551" s="2579"/>
      <c r="C551" s="2579"/>
      <c r="D551" s="2579"/>
      <c r="E551" s="2579"/>
      <c r="F551" s="2579"/>
      <c r="G551" s="2579"/>
      <c r="H551" s="2579"/>
      <c r="I551" s="2579"/>
      <c r="J551" s="2579"/>
      <c r="K551" s="2579"/>
      <c r="L551" s="2579"/>
      <c r="M551" s="2579"/>
      <c r="N551" s="2579"/>
      <c r="O551" s="2579"/>
      <c r="P551" s="2579"/>
      <c r="Q551" s="2579"/>
      <c r="R551" s="2579"/>
      <c r="S551" s="2579"/>
      <c r="T551" s="2579"/>
      <c r="U551" s="2579"/>
      <c r="V551" s="2579"/>
      <c r="W551" s="2579"/>
      <c r="X551" s="2579"/>
      <c r="Y551" s="2579"/>
      <c r="Z551" s="2579"/>
      <c r="AA551" s="2579"/>
      <c r="AB551" s="2579"/>
      <c r="AC551" s="2579"/>
      <c r="AD551" s="2579"/>
      <c r="AE551" s="2579"/>
      <c r="AF551" s="2579"/>
      <c r="AG551" s="2579"/>
      <c r="AH551" s="245"/>
      <c r="AI551" s="245"/>
      <c r="AJ551" s="245"/>
      <c r="AK551" s="246"/>
      <c r="AL551" s="246"/>
      <c r="AM551" s="246"/>
      <c r="AN551" s="439"/>
      <c r="AP551" s="694"/>
      <c r="AQ551" s="695"/>
      <c r="AR551" s="695"/>
      <c r="AS551" s="695"/>
      <c r="AT551" s="696" t="s">
        <v>672</v>
      </c>
      <c r="AU551" s="2494" t="str">
        <f>IF(AP550&gt;=AU548,"passed","failed")</f>
        <v>passed</v>
      </c>
      <c r="AV551" s="2495"/>
      <c r="AW551" s="2496"/>
      <c r="AX551" s="697"/>
      <c r="AY551" s="698"/>
      <c r="BE551" s="2454"/>
      <c r="BF551" s="2460"/>
      <c r="BG551" s="2460"/>
      <c r="BH551" s="2455"/>
      <c r="BI551" s="2454"/>
      <c r="BJ551" s="2460"/>
      <c r="BK551" s="2460"/>
      <c r="BL551" s="2455"/>
      <c r="BM551" s="2454"/>
      <c r="BN551" s="2460"/>
      <c r="BO551" s="2460"/>
      <c r="BP551" s="2455"/>
      <c r="BQ551" s="2454"/>
      <c r="BR551" s="2460"/>
      <c r="BS551" s="2460"/>
      <c r="BT551" s="2455"/>
      <c r="BU551" s="2454">
        <f>IF(AND(AND(AND(AND(CH552=1,BQ550=0,BM549=0,BI548=0,BE547=0)))),0,1)</f>
        <v>0</v>
      </c>
      <c r="BV551" s="2460"/>
      <c r="BW551" s="2460"/>
      <c r="BX551" s="2455"/>
      <c r="BY551" s="2505"/>
      <c r="BZ551" s="2506"/>
      <c r="CA551" s="2506"/>
      <c r="CB551" s="2507"/>
      <c r="CC551" s="16"/>
      <c r="CD551" s="16"/>
      <c r="CE551" s="16"/>
      <c r="CF551" s="16"/>
      <c r="CG551" s="16"/>
      <c r="CH551" s="2469">
        <f>IF(OR(Y611=0,Y611&gt;=0.1),1,0)</f>
        <v>1</v>
      </c>
      <c r="CI551" s="2470"/>
      <c r="CJ551" s="2470"/>
      <c r="CK551" s="2471"/>
    </row>
    <row r="552" spans="1:89" s="46" customFormat="1" ht="13.95" customHeight="1">
      <c r="A552" s="28"/>
      <c r="B552" s="2579"/>
      <c r="C552" s="2579"/>
      <c r="D552" s="2579"/>
      <c r="E552" s="2579"/>
      <c r="F552" s="2579"/>
      <c r="G552" s="2579"/>
      <c r="H552" s="2579"/>
      <c r="I552" s="2579"/>
      <c r="J552" s="2579"/>
      <c r="K552" s="2579"/>
      <c r="L552" s="2579"/>
      <c r="M552" s="2579"/>
      <c r="N552" s="2579"/>
      <c r="O552" s="2579"/>
      <c r="P552" s="2579"/>
      <c r="Q552" s="2579"/>
      <c r="R552" s="2579"/>
      <c r="S552" s="2579"/>
      <c r="T552" s="2579"/>
      <c r="U552" s="2579"/>
      <c r="V552" s="2579"/>
      <c r="W552" s="2579"/>
      <c r="X552" s="2579"/>
      <c r="Y552" s="2579"/>
      <c r="Z552" s="2579"/>
      <c r="AA552" s="2579"/>
      <c r="AB552" s="2579"/>
      <c r="AC552" s="2579"/>
      <c r="AD552" s="2579"/>
      <c r="AE552" s="2579"/>
      <c r="AF552" s="2579"/>
      <c r="AG552" s="2579"/>
      <c r="AH552" s="245"/>
      <c r="AI552" s="245"/>
      <c r="AJ552" s="245"/>
      <c r="AK552" s="246"/>
      <c r="AL552" s="246"/>
      <c r="AM552" s="246"/>
      <c r="AN552" s="1137"/>
      <c r="BE552" s="2454">
        <f>SUM(BE547:BH551)</f>
        <v>0</v>
      </c>
      <c r="BF552" s="2460"/>
      <c r="BG552" s="2460"/>
      <c r="BH552" s="2455"/>
      <c r="BI552" s="2454">
        <f>SUM(BI547:BL551)</f>
        <v>0</v>
      </c>
      <c r="BJ552" s="2460"/>
      <c r="BK552" s="2460"/>
      <c r="BL552" s="2455"/>
      <c r="BM552" s="2454">
        <f>SUM(BM547:BP551)</f>
        <v>0</v>
      </c>
      <c r="BN552" s="2460"/>
      <c r="BO552" s="2460"/>
      <c r="BP552" s="2455"/>
      <c r="BQ552" s="2454">
        <f>SUM(BQ547:BT551)</f>
        <v>0</v>
      </c>
      <c r="BR552" s="2460"/>
      <c r="BS552" s="2460"/>
      <c r="BT552" s="2455"/>
      <c r="BU552" s="2454">
        <f>SUM(BU547:BX551)</f>
        <v>0</v>
      </c>
      <c r="BV552" s="2460"/>
      <c r="BW552" s="2460"/>
      <c r="BX552" s="2455"/>
      <c r="BY552" s="2454">
        <f>SUM(BY547:CB551)</f>
        <v>0</v>
      </c>
      <c r="BZ552" s="2460"/>
      <c r="CA552" s="2460"/>
      <c r="CB552" s="2455"/>
      <c r="CC552" s="2469">
        <f>IF(AND(CH548=1,T608&gt;0),0,SUM(BE552:CB552))</f>
        <v>0</v>
      </c>
      <c r="CD552" s="2470"/>
      <c r="CE552" s="2470"/>
      <c r="CF552" s="2471"/>
      <c r="CG552" s="16"/>
      <c r="CH552" s="2469">
        <f>IF(OR(Y612=0,Y612&gt;=0.1),1,0)</f>
        <v>1</v>
      </c>
      <c r="CI552" s="2470"/>
      <c r="CJ552" s="2470"/>
      <c r="CK552" s="2471"/>
    </row>
    <row r="553" spans="1:89" s="137" customFormat="1" ht="12.45" customHeight="1">
      <c r="A553" s="28"/>
      <c r="B553" s="2472" t="s">
        <v>1678</v>
      </c>
      <c r="C553" s="2472"/>
      <c r="D553" s="2472"/>
      <c r="E553" s="2472"/>
      <c r="F553" s="2472"/>
      <c r="G553" s="2472"/>
      <c r="H553" s="2472"/>
      <c r="I553" s="2472"/>
      <c r="J553" s="2472"/>
      <c r="K553" s="2472"/>
      <c r="L553" s="2472"/>
      <c r="M553" s="2472"/>
      <c r="N553" s="2472"/>
      <c r="O553" s="2472"/>
      <c r="P553" s="2472"/>
      <c r="Q553" s="2472"/>
      <c r="R553" s="2472"/>
      <c r="S553" s="2472"/>
      <c r="T553" s="2472"/>
      <c r="U553" s="2472"/>
      <c r="V553" s="2472"/>
      <c r="W553" s="2472"/>
      <c r="X553" s="2472"/>
      <c r="Y553" s="2472"/>
      <c r="Z553" s="2472"/>
      <c r="AA553" s="2472"/>
      <c r="AB553" s="2472"/>
      <c r="AC553" s="2472"/>
      <c r="AD553" s="2472"/>
      <c r="AE553" s="2472"/>
      <c r="AF553" s="2472"/>
      <c r="AG553" s="2472"/>
      <c r="AH553" s="245"/>
      <c r="AI553" s="245"/>
      <c r="AJ553" s="245"/>
      <c r="AK553" s="246"/>
      <c r="AL553" s="246"/>
      <c r="AM553" s="246"/>
      <c r="AN553" s="439"/>
    </row>
    <row r="554" spans="1:89" s="46" customFormat="1" ht="21" customHeight="1">
      <c r="A554" s="28"/>
      <c r="B554" s="2472"/>
      <c r="C554" s="2472"/>
      <c r="D554" s="2472"/>
      <c r="E554" s="2472"/>
      <c r="F554" s="2472"/>
      <c r="G554" s="2472"/>
      <c r="H554" s="2472"/>
      <c r="I554" s="2472"/>
      <c r="J554" s="2472"/>
      <c r="K554" s="2472"/>
      <c r="L554" s="2472"/>
      <c r="M554" s="2472"/>
      <c r="N554" s="2472"/>
      <c r="O554" s="2472"/>
      <c r="P554" s="2472"/>
      <c r="Q554" s="2472"/>
      <c r="R554" s="2472"/>
      <c r="S554" s="2472"/>
      <c r="T554" s="2472"/>
      <c r="U554" s="2472"/>
      <c r="V554" s="2472"/>
      <c r="W554" s="2472"/>
      <c r="X554" s="2472"/>
      <c r="Y554" s="2472"/>
      <c r="Z554" s="2472"/>
      <c r="AA554" s="2472"/>
      <c r="AB554" s="2472"/>
      <c r="AC554" s="2472"/>
      <c r="AD554" s="2472"/>
      <c r="AE554" s="2472"/>
      <c r="AF554" s="2472"/>
      <c r="AG554" s="2472"/>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72" t="s">
        <v>1991</v>
      </c>
      <c r="C555" s="2472"/>
      <c r="D555" s="2472"/>
      <c r="E555" s="2472"/>
      <c r="F555" s="2472"/>
      <c r="G555" s="2472"/>
      <c r="H555" s="2472"/>
      <c r="I555" s="2472"/>
      <c r="J555" s="2472"/>
      <c r="K555" s="2472"/>
      <c r="L555" s="2472"/>
      <c r="M555" s="2472"/>
      <c r="N555" s="2472"/>
      <c r="O555" s="2472"/>
      <c r="P555" s="2472"/>
      <c r="Q555" s="2472"/>
      <c r="R555" s="2472"/>
      <c r="S555" s="2472"/>
      <c r="T555" s="2472"/>
      <c r="U555" s="2472"/>
      <c r="V555" s="2472"/>
      <c r="W555" s="2472"/>
      <c r="X555" s="2472"/>
      <c r="Y555" s="2472"/>
      <c r="Z555" s="2472"/>
      <c r="AA555" s="2472"/>
      <c r="AB555" s="2472"/>
      <c r="AC555" s="2472"/>
      <c r="AD555" s="2472"/>
      <c r="AE555" s="2472"/>
      <c r="AF555" s="2472"/>
      <c r="AG555" s="1151"/>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72"/>
      <c r="C556" s="2472"/>
      <c r="D556" s="2472"/>
      <c r="E556" s="2472"/>
      <c r="F556" s="2472"/>
      <c r="G556" s="2472"/>
      <c r="H556" s="2472"/>
      <c r="I556" s="2472"/>
      <c r="J556" s="2472"/>
      <c r="K556" s="2472"/>
      <c r="L556" s="2472"/>
      <c r="M556" s="2472"/>
      <c r="N556" s="2472"/>
      <c r="O556" s="2472"/>
      <c r="P556" s="2472"/>
      <c r="Q556" s="2472"/>
      <c r="R556" s="2472"/>
      <c r="S556" s="2472"/>
      <c r="T556" s="2472"/>
      <c r="U556" s="2472"/>
      <c r="V556" s="2472"/>
      <c r="W556" s="2472"/>
      <c r="X556" s="2472"/>
      <c r="Y556" s="2472"/>
      <c r="Z556" s="2472"/>
      <c r="AA556" s="2472"/>
      <c r="AB556" s="2472"/>
      <c r="AC556" s="2472"/>
      <c r="AD556" s="2472"/>
      <c r="AE556" s="2472"/>
      <c r="AF556" s="2472"/>
      <c r="AG556" s="245"/>
      <c r="AH556" s="245"/>
      <c r="AI556" s="245"/>
      <c r="AJ556" s="245"/>
      <c r="AK556" s="246"/>
      <c r="AL556" s="246"/>
      <c r="AM556" s="246"/>
      <c r="AN556" s="439"/>
      <c r="AP556" s="232"/>
      <c r="AQ556" s="233"/>
      <c r="AR556" s="233"/>
      <c r="AS556" s="233"/>
      <c r="AT556" s="239" t="s">
        <v>672</v>
      </c>
      <c r="AU556" s="233"/>
      <c r="AV556" s="2454" t="str">
        <f>IF(BJ592&gt;0,"failed","passed")</f>
        <v>failed</v>
      </c>
      <c r="AW556" s="2460"/>
      <c r="AX556" s="2460"/>
      <c r="AY556" s="2455"/>
    </row>
    <row r="557" spans="1:89" s="46" customFormat="1" ht="12.45" customHeight="1">
      <c r="A557" s="28"/>
      <c r="B557" s="1152" t="s">
        <v>1682</v>
      </c>
      <c r="C557" s="1153"/>
      <c r="D557" s="1153"/>
      <c r="E557" s="1153"/>
      <c r="F557" s="1153"/>
      <c r="G557" s="1153"/>
      <c r="H557" s="1153"/>
      <c r="I557" s="1153"/>
      <c r="J557" s="1153"/>
      <c r="K557" s="1153"/>
      <c r="L557" s="1153"/>
      <c r="M557" s="1153"/>
      <c r="N557" s="1153"/>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80" t="s">
        <v>1679</v>
      </c>
      <c r="R559" s="2580"/>
      <c r="S559" s="2580"/>
      <c r="T559" s="2580"/>
      <c r="U559" s="2580"/>
      <c r="V559" s="2580"/>
      <c r="W559" s="2580"/>
      <c r="X559" s="2580"/>
      <c r="Y559" s="2580"/>
      <c r="Z559" s="2580"/>
      <c r="AA559" s="2580"/>
      <c r="AB559" s="2580"/>
      <c r="AC559" s="2580"/>
      <c r="AD559" s="2580"/>
      <c r="AE559" s="2580"/>
      <c r="AF559" s="2580"/>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80"/>
      <c r="R560" s="2580"/>
      <c r="S560" s="2580"/>
      <c r="T560" s="2580"/>
      <c r="U560" s="2580"/>
      <c r="V560" s="2580"/>
      <c r="W560" s="2580"/>
      <c r="X560" s="2580"/>
      <c r="Y560" s="2580"/>
      <c r="Z560" s="2580"/>
      <c r="AA560" s="2580"/>
      <c r="AB560" s="2580"/>
      <c r="AC560" s="2580"/>
      <c r="AD560" s="2580"/>
      <c r="AE560" s="2580"/>
      <c r="AF560" s="2580"/>
      <c r="AN560" s="439"/>
      <c r="AP560" s="93" t="s">
        <v>779</v>
      </c>
      <c r="AQ560" s="94"/>
      <c r="AR560" s="94"/>
      <c r="AS560" s="94"/>
      <c r="AT560" s="94"/>
      <c r="AU560" s="94"/>
      <c r="AV560" s="94"/>
      <c r="AW560" s="94"/>
      <c r="AX560" s="94"/>
      <c r="AY560" s="94"/>
      <c r="AZ560" s="94"/>
      <c r="BA560" s="94"/>
      <c r="BB560" s="94"/>
      <c r="BC560" s="90"/>
      <c r="BD560" s="668" t="str">
        <f>IF(CN579=0,"passed","failed")</f>
        <v>passed</v>
      </c>
      <c r="BE560" s="669"/>
      <c r="BF560" s="669"/>
      <c r="BG560" s="67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2" t="s">
        <v>1990</v>
      </c>
      <c r="R561" s="2383"/>
      <c r="S561" s="2592" t="s">
        <v>227</v>
      </c>
      <c r="T561" s="2592"/>
      <c r="U561" s="2382">
        <v>0.5</v>
      </c>
      <c r="V561" s="2383"/>
      <c r="W561" s="2382">
        <v>0.45</v>
      </c>
      <c r="X561" s="2383"/>
      <c r="Y561" s="2382">
        <v>0.4</v>
      </c>
      <c r="Z561" s="2383"/>
      <c r="AA561" s="2382">
        <v>0.35</v>
      </c>
      <c r="AB561" s="2383"/>
      <c r="AC561" s="2492">
        <v>0.3</v>
      </c>
      <c r="AD561" s="2493"/>
      <c r="AE561" s="2382">
        <v>0.2</v>
      </c>
      <c r="AF561" s="238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3"/>
      <c r="P562" s="2344"/>
      <c r="Q562" s="2381"/>
      <c r="R562" s="2368"/>
      <c r="S562" s="2473"/>
      <c r="T562" s="2473"/>
      <c r="U562" s="2368"/>
      <c r="V562" s="2368"/>
      <c r="W562" s="2368"/>
      <c r="X562" s="2368"/>
      <c r="Y562" s="2368"/>
      <c r="Z562" s="2368"/>
      <c r="AA562" s="2461"/>
      <c r="AB562" s="2461"/>
      <c r="AC562" s="2368"/>
      <c r="AD562" s="2368"/>
      <c r="AE562" s="2490"/>
      <c r="AF562" s="2491"/>
      <c r="AN562" s="439"/>
      <c r="AP562" s="226" t="s">
        <v>780</v>
      </c>
      <c r="AQ562" s="91"/>
      <c r="AR562" s="91"/>
      <c r="AS562" s="91"/>
      <c r="AT562" s="2469" t="str">
        <f>IF(OR(AV556="passed",BD560="passed"),"passed","failed")</f>
        <v>passed</v>
      </c>
      <c r="AU562" s="2470"/>
      <c r="AV562" s="2470"/>
      <c r="AW562" s="2470"/>
      <c r="AX562" s="2471"/>
    </row>
    <row r="563" spans="1:96" s="46" customFormat="1" ht="12.75" customHeight="1">
      <c r="A563" s="28"/>
      <c r="B563" s="106"/>
      <c r="C563" s="28"/>
      <c r="I563" s="345"/>
      <c r="J563" s="245"/>
      <c r="K563" s="162"/>
      <c r="L563" s="162"/>
      <c r="M563" s="162"/>
      <c r="N563" s="71"/>
      <c r="O563" s="2343"/>
      <c r="P563" s="2344"/>
      <c r="Q563" s="2356"/>
      <c r="R563" s="2357"/>
      <c r="S563" s="2357"/>
      <c r="T563" s="2357"/>
      <c r="U563" s="2357"/>
      <c r="V563" s="2357"/>
      <c r="W563" s="2357"/>
      <c r="X563" s="2357"/>
      <c r="Y563" s="2355"/>
      <c r="Z563" s="2355"/>
      <c r="AA563" s="2357"/>
      <c r="AB563" s="2357"/>
      <c r="AC563" s="2355"/>
      <c r="AD563" s="2355"/>
      <c r="AE563" s="2358"/>
      <c r="AF563" s="235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3"/>
      <c r="P564" s="2344"/>
      <c r="Q564" s="2356"/>
      <c r="R564" s="2357"/>
      <c r="S564" s="2357"/>
      <c r="T564" s="2357"/>
      <c r="U564" s="2357"/>
      <c r="V564" s="2357"/>
      <c r="W564" s="2357"/>
      <c r="X564" s="2357"/>
      <c r="Y564" s="2357"/>
      <c r="Z564" s="2357"/>
      <c r="AA564" s="2355"/>
      <c r="AB564" s="2355"/>
      <c r="AC564" s="2357"/>
      <c r="AD564" s="2357"/>
      <c r="AE564" s="2500"/>
      <c r="AF564" s="2501"/>
      <c r="AN564" s="439"/>
      <c r="AP564" s="235" t="s">
        <v>673</v>
      </c>
      <c r="AQ564" s="236"/>
      <c r="AR564" s="236"/>
      <c r="AS564" s="236"/>
      <c r="AT564" s="236"/>
      <c r="AU564" s="236"/>
      <c r="AV564" s="237"/>
      <c r="AW564" s="2497" t="str">
        <f>IF(AND(AND(AND(AND(AS544="passed",AU551="passed",BD560="passed",SUM(T608:X612)&gt;1)))),"YES","NO")</f>
        <v>YES</v>
      </c>
      <c r="AX564" s="2498"/>
      <c r="AY564" s="249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3"/>
      <c r="P565" s="2344"/>
      <c r="Q565" s="2356"/>
      <c r="R565" s="2357"/>
      <c r="S565" s="2357"/>
      <c r="T565" s="2357"/>
      <c r="U565" s="2357"/>
      <c r="V565" s="2357"/>
      <c r="W565" s="2357"/>
      <c r="X565" s="2357"/>
      <c r="Y565" s="2355"/>
      <c r="Z565" s="2355"/>
      <c r="AA565" s="2357"/>
      <c r="AB565" s="2357"/>
      <c r="AC565" s="2355"/>
      <c r="AD565" s="2355"/>
      <c r="AE565" s="2358"/>
      <c r="AF565" s="2359"/>
      <c r="AN565" s="439"/>
    </row>
    <row r="566" spans="1:96" s="46" customFormat="1" ht="12.75" customHeight="1">
      <c r="A566" s="28"/>
      <c r="B566" s="106"/>
      <c r="C566" s="28"/>
      <c r="I566" s="345"/>
      <c r="J566" s="245"/>
      <c r="K566" s="162"/>
      <c r="L566" s="162"/>
      <c r="M566" s="162"/>
      <c r="N566" s="71"/>
      <c r="O566" s="2343"/>
      <c r="P566" s="2344"/>
      <c r="Q566" s="2356"/>
      <c r="R566" s="2357"/>
      <c r="S566" s="2357"/>
      <c r="T566" s="2357"/>
      <c r="U566" s="2357"/>
      <c r="V566" s="2357"/>
      <c r="W566" s="2355"/>
      <c r="X566" s="2355"/>
      <c r="Y566" s="2357"/>
      <c r="Z566" s="2357"/>
      <c r="AA566" s="2355"/>
      <c r="AB566" s="2355"/>
      <c r="AC566" s="2357"/>
      <c r="AD566" s="2357"/>
      <c r="AE566" s="2500"/>
      <c r="AF566" s="2501"/>
      <c r="AN566" s="439"/>
    </row>
    <row r="567" spans="1:96" s="46" customFormat="1" ht="12.75" customHeight="1">
      <c r="A567" s="28"/>
      <c r="B567" s="106"/>
      <c r="C567" s="28"/>
      <c r="I567" s="345"/>
      <c r="J567" s="245"/>
      <c r="K567" s="162"/>
      <c r="L567" s="162"/>
      <c r="M567" s="162"/>
      <c r="N567" s="71"/>
      <c r="O567" s="2343"/>
      <c r="P567" s="2344"/>
      <c r="Q567" s="2356"/>
      <c r="R567" s="2357"/>
      <c r="S567" s="2357"/>
      <c r="T567" s="2357"/>
      <c r="U567" s="2357"/>
      <c r="V567" s="2357"/>
      <c r="W567" s="2357"/>
      <c r="X567" s="2357"/>
      <c r="Y567" s="2355"/>
      <c r="Z567" s="2355"/>
      <c r="AA567" s="2357"/>
      <c r="AB567" s="2357"/>
      <c r="AC567" s="2355"/>
      <c r="AD567" s="2355"/>
      <c r="AE567" s="2358"/>
      <c r="AF567" s="2359"/>
      <c r="AN567" s="439"/>
      <c r="AU567" s="65"/>
      <c r="AV567" s="65"/>
      <c r="AW567" s="90"/>
      <c r="AX567" s="91"/>
      <c r="AY567" s="91"/>
      <c r="AZ567" s="100" t="s">
        <v>1248</v>
      </c>
      <c r="BA567" s="2508" t="s">
        <v>781</v>
      </c>
      <c r="BB567" s="2509"/>
      <c r="BC567" s="2509"/>
      <c r="BD567" s="2509"/>
      <c r="BE567" s="2510"/>
      <c r="BF567" s="2465">
        <f>SUM(O608:S612)</f>
        <v>88</v>
      </c>
      <c r="BG567" s="2466"/>
      <c r="BH567" s="2466"/>
      <c r="BI567" s="2466"/>
      <c r="BJ567" s="2467"/>
      <c r="BK567" s="2346">
        <f>SUM(T608:X612)</f>
        <v>54</v>
      </c>
      <c r="BL567" s="2347"/>
      <c r="BM567" s="2347"/>
      <c r="BN567" s="2347"/>
      <c r="BO567" s="2348"/>
    </row>
    <row r="568" spans="1:96" s="46" customFormat="1" ht="12.75" customHeight="1">
      <c r="A568" s="28"/>
      <c r="B568" s="57"/>
      <c r="C568" s="28"/>
      <c r="I568" s="2395" t="s">
        <v>1677</v>
      </c>
      <c r="J568" s="2396"/>
      <c r="K568" s="2396"/>
      <c r="L568" s="2396"/>
      <c r="M568" s="2396"/>
      <c r="N568" s="2397"/>
      <c r="O568" s="2343">
        <v>0.5</v>
      </c>
      <c r="P568" s="2344"/>
      <c r="Q568" s="2374"/>
      <c r="R568" s="2375"/>
      <c r="S568" s="2357"/>
      <c r="T568" s="2357"/>
      <c r="U568" s="2594" t="s">
        <v>1681</v>
      </c>
      <c r="V568" s="2594"/>
      <c r="W568" s="2373">
        <v>37.5</v>
      </c>
      <c r="X568" s="2373"/>
      <c r="Y568" s="2375"/>
      <c r="Z568" s="2375"/>
      <c r="AA568" s="2373"/>
      <c r="AB568" s="2373"/>
      <c r="AC568" s="2375"/>
      <c r="AD568" s="2375"/>
      <c r="AE568" s="2502"/>
      <c r="AF568" s="2503"/>
      <c r="AN568" s="439"/>
      <c r="CL568" s="16"/>
      <c r="CM568" s="16"/>
    </row>
    <row r="569" spans="1:96" s="46" customFormat="1" ht="12.75" customHeight="1">
      <c r="A569" s="28"/>
      <c r="B569" s="195"/>
      <c r="C569" s="101"/>
      <c r="D569" s="28"/>
      <c r="E569" s="28"/>
      <c r="I569" s="2395"/>
      <c r="J569" s="2396"/>
      <c r="K569" s="2396"/>
      <c r="L569" s="2396"/>
      <c r="M569" s="2396"/>
      <c r="N569" s="2397"/>
      <c r="O569" s="2343">
        <v>0.45</v>
      </c>
      <c r="P569" s="2344"/>
      <c r="Q569" s="2356"/>
      <c r="R569" s="2357"/>
      <c r="S569" s="2357"/>
      <c r="T569" s="2357"/>
      <c r="U569" s="2363" t="s">
        <v>145</v>
      </c>
      <c r="V569" s="2363"/>
      <c r="W569" s="2355">
        <v>33.799999999999997</v>
      </c>
      <c r="X569" s="2355"/>
      <c r="Y569" s="2355"/>
      <c r="Z569" s="2355"/>
      <c r="AA569" s="2357"/>
      <c r="AB569" s="2357"/>
      <c r="AC569" s="2355"/>
      <c r="AD569" s="2355"/>
      <c r="AE569" s="2358"/>
      <c r="AF569" s="2359"/>
      <c r="AN569" s="439"/>
      <c r="CL569" s="16"/>
      <c r="CM569" s="16"/>
    </row>
    <row r="570" spans="1:96" s="46" customFormat="1" ht="12.75" customHeight="1">
      <c r="A570" s="28"/>
      <c r="B570" s="8"/>
      <c r="C570" s="8"/>
      <c r="D570" s="8"/>
      <c r="E570" s="8"/>
      <c r="I570" s="2395"/>
      <c r="J570" s="2396"/>
      <c r="K570" s="2396"/>
      <c r="L570" s="2396"/>
      <c r="M570" s="2396"/>
      <c r="N570" s="2397"/>
      <c r="O570" s="2343">
        <v>0.4</v>
      </c>
      <c r="P570" s="2344"/>
      <c r="Q570" s="2356"/>
      <c r="R570" s="2357"/>
      <c r="S570" s="2363" t="s">
        <v>1680</v>
      </c>
      <c r="T570" s="2363"/>
      <c r="U570" s="2355">
        <v>20</v>
      </c>
      <c r="V570" s="2355"/>
      <c r="W570" s="2355">
        <v>30</v>
      </c>
      <c r="X570" s="2355"/>
      <c r="Y570" s="2355"/>
      <c r="Z570" s="2355"/>
      <c r="AA570" s="2355"/>
      <c r="AB570" s="2355"/>
      <c r="AC570" s="2355"/>
      <c r="AD570" s="2355"/>
      <c r="AE570" s="2358"/>
      <c r="AF570" s="2359"/>
      <c r="AN570" s="439"/>
      <c r="AP570" s="2511" t="s">
        <v>228</v>
      </c>
      <c r="AQ570" s="2512"/>
      <c r="AR570" s="2512"/>
      <c r="AS570" s="2512"/>
      <c r="AT570" s="2512"/>
      <c r="AU570" s="2512"/>
      <c r="AV570" s="2512"/>
      <c r="AW570" s="2512"/>
      <c r="AX570" s="2512"/>
      <c r="AY570" s="2512"/>
      <c r="AZ570" s="2512"/>
      <c r="BA570" s="2512"/>
      <c r="BB570" s="2512"/>
      <c r="BC570" s="2512"/>
      <c r="BD570" s="2512"/>
      <c r="BE570" s="2512"/>
      <c r="BF570" s="2512"/>
      <c r="BG570" s="2512"/>
      <c r="BH570" s="2512"/>
      <c r="BI570" s="2512"/>
      <c r="BJ570" s="2513"/>
      <c r="BK570" s="2484">
        <f>BF567</f>
        <v>88</v>
      </c>
      <c r="BL570" s="2485"/>
      <c r="BM570" s="2485"/>
      <c r="BN570" s="2485"/>
      <c r="BO570" s="248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5"/>
      <c r="J571" s="2396"/>
      <c r="K571" s="2396"/>
      <c r="L571" s="2396"/>
      <c r="M571" s="2396"/>
      <c r="N571" s="2397"/>
      <c r="O571" s="2343">
        <v>0.35</v>
      </c>
      <c r="P571" s="2344"/>
      <c r="Q571" s="2356"/>
      <c r="R571" s="2357"/>
      <c r="S571" s="2363" t="s">
        <v>1992</v>
      </c>
      <c r="T571" s="2363"/>
      <c r="U571" s="2355">
        <v>17.5</v>
      </c>
      <c r="V571" s="2355"/>
      <c r="W571" s="2355">
        <v>26.3</v>
      </c>
      <c r="X571" s="2355"/>
      <c r="Y571" s="2355">
        <v>35</v>
      </c>
      <c r="Z571" s="2355"/>
      <c r="AA571" s="2355"/>
      <c r="AB571" s="2355"/>
      <c r="AC571" s="2355">
        <v>50</v>
      </c>
      <c r="AD571" s="2355"/>
      <c r="AE571" s="2358"/>
      <c r="AF571" s="2359"/>
      <c r="AN571" s="439"/>
      <c r="AP571" s="2514"/>
      <c r="AQ571" s="2515"/>
      <c r="AR571" s="2515"/>
      <c r="AS571" s="2515"/>
      <c r="AT571" s="2515"/>
      <c r="AU571" s="2515"/>
      <c r="AV571" s="2515"/>
      <c r="AW571" s="2515"/>
      <c r="AX571" s="2515"/>
      <c r="AY571" s="2515"/>
      <c r="AZ571" s="2515"/>
      <c r="BA571" s="2515"/>
      <c r="BB571" s="2515"/>
      <c r="BC571" s="2515"/>
      <c r="BD571" s="2515"/>
      <c r="BE571" s="2515"/>
      <c r="BF571" s="2515"/>
      <c r="BG571" s="2515"/>
      <c r="BH571" s="2515"/>
      <c r="BI571" s="2515"/>
      <c r="BJ571" s="2516"/>
      <c r="BK571" s="2487"/>
      <c r="BL571" s="2488"/>
      <c r="BM571" s="2488"/>
      <c r="BN571" s="2488"/>
      <c r="BO571" s="248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5"/>
      <c r="J572" s="2396"/>
      <c r="K572" s="2396"/>
      <c r="L572" s="2396"/>
      <c r="M572" s="2396"/>
      <c r="N572" s="2397"/>
      <c r="O572" s="2343">
        <v>0.3</v>
      </c>
      <c r="P572" s="2344"/>
      <c r="Q572" s="2356"/>
      <c r="R572" s="2357"/>
      <c r="S572" s="2363" t="s">
        <v>1993</v>
      </c>
      <c r="T572" s="2363"/>
      <c r="U572" s="2355">
        <v>15</v>
      </c>
      <c r="V572" s="2355"/>
      <c r="W572" s="2355">
        <v>22.5</v>
      </c>
      <c r="X572" s="2355"/>
      <c r="Y572" s="2355">
        <v>30</v>
      </c>
      <c r="Z572" s="2355"/>
      <c r="AA572" s="2355">
        <v>37.5</v>
      </c>
      <c r="AB572" s="2355"/>
      <c r="AC572" s="2355">
        <v>45</v>
      </c>
      <c r="AD572" s="2355"/>
      <c r="AE572" s="2358"/>
      <c r="AF572" s="235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6">
        <v>5</v>
      </c>
      <c r="BK572" s="2468"/>
      <c r="BL572" s="2468"/>
      <c r="BM572" s="2468"/>
      <c r="BN572" s="1897"/>
      <c r="BO572" s="1896">
        <v>4</v>
      </c>
      <c r="BP572" s="2468"/>
      <c r="BQ572" s="2468"/>
      <c r="BR572" s="2468"/>
      <c r="BS572" s="1897"/>
      <c r="BT572" s="1896">
        <v>3</v>
      </c>
      <c r="BU572" s="2468"/>
      <c r="BV572" s="2468"/>
      <c r="BW572" s="2468"/>
      <c r="BX572" s="1897"/>
      <c r="BY572" s="1896">
        <v>2</v>
      </c>
      <c r="BZ572" s="2468"/>
      <c r="CA572" s="2468"/>
      <c r="CB572" s="2468"/>
      <c r="CC572" s="1897"/>
      <c r="CD572" s="1896">
        <v>1</v>
      </c>
      <c r="CE572" s="2468"/>
      <c r="CF572" s="2468"/>
      <c r="CG572" s="2468"/>
      <c r="CH572" s="1897"/>
      <c r="CI572" s="1896">
        <v>0</v>
      </c>
      <c r="CJ572" s="2468"/>
      <c r="CK572" s="2468"/>
      <c r="CL572" s="2468"/>
      <c r="CM572" s="1897"/>
      <c r="CN572" s="65"/>
      <c r="CO572" s="65"/>
      <c r="CP572" s="65"/>
      <c r="CQ572" s="65"/>
      <c r="CR572" s="65"/>
    </row>
    <row r="573" spans="1:96" s="46" customFormat="1" ht="12.75" customHeight="1">
      <c r="A573" s="28"/>
      <c r="B573" s="8"/>
      <c r="C573" s="8"/>
      <c r="D573" s="8"/>
      <c r="E573" s="8"/>
      <c r="I573" s="2395"/>
      <c r="J573" s="2396"/>
      <c r="K573" s="2396"/>
      <c r="L573" s="2396"/>
      <c r="M573" s="2396"/>
      <c r="N573" s="2397"/>
      <c r="O573" s="2343">
        <v>0.25</v>
      </c>
      <c r="P573" s="2344"/>
      <c r="Q573" s="2356"/>
      <c r="R573" s="2357"/>
      <c r="S573" s="2363" t="s">
        <v>1994</v>
      </c>
      <c r="T573" s="2363"/>
      <c r="U573" s="2355">
        <v>12.5</v>
      </c>
      <c r="V573" s="2355"/>
      <c r="W573" s="2355">
        <v>18.8</v>
      </c>
      <c r="X573" s="2355"/>
      <c r="Y573" s="2355">
        <v>25</v>
      </c>
      <c r="Z573" s="2355"/>
      <c r="AA573" s="2355">
        <v>31.3</v>
      </c>
      <c r="AB573" s="2355"/>
      <c r="AC573" s="2355">
        <v>37.5</v>
      </c>
      <c r="AD573" s="2355"/>
      <c r="AE573" s="2358">
        <v>50</v>
      </c>
      <c r="AF573" s="2359"/>
      <c r="AN573" s="439"/>
      <c r="AP573" s="2462" t="str">
        <f t="shared" ref="AP573:AP579" si="0">J607</f>
        <v>5 BR</v>
      </c>
      <c r="AQ573" s="2463"/>
      <c r="AR573" s="2463"/>
      <c r="AS573" s="2463"/>
      <c r="AT573" s="2464"/>
      <c r="AU573" s="2457">
        <f t="shared" ref="AU573:AU578" si="1">O607</f>
        <v>0</v>
      </c>
      <c r="AV573" s="2458"/>
      <c r="AW573" s="2458"/>
      <c r="AX573" s="2458"/>
      <c r="AY573" s="2459"/>
      <c r="AZ573" s="2457">
        <f t="shared" ref="AZ573:AZ578" si="2">T607</f>
        <v>0</v>
      </c>
      <c r="BA573" s="2458"/>
      <c r="BB573" s="2458"/>
      <c r="BC573" s="2458"/>
      <c r="BD573" s="2459"/>
      <c r="BE573" s="1882">
        <f t="shared" ref="BE573:BE578" si="3">Y607</f>
        <v>0</v>
      </c>
      <c r="BF573" s="1883"/>
      <c r="BG573" s="1883"/>
      <c r="BH573" s="1883"/>
      <c r="BI573" s="1884"/>
      <c r="BJ573" s="1896">
        <f>IF(OR(AP583=0,BE573&gt;=0.1),0,1)</f>
        <v>0</v>
      </c>
      <c r="BK573" s="2468"/>
      <c r="BL573" s="2468"/>
      <c r="BM573" s="2468"/>
      <c r="BN573" s="1897"/>
      <c r="BO573" s="1896"/>
      <c r="BP573" s="2468"/>
      <c r="BQ573" s="2468"/>
      <c r="BR573" s="2468"/>
      <c r="BS573" s="1897"/>
      <c r="BT573" s="1896"/>
      <c r="BU573" s="2468"/>
      <c r="BV573" s="2468"/>
      <c r="BW573" s="2468"/>
      <c r="BX573" s="1897"/>
      <c r="BY573" s="1896"/>
      <c r="BZ573" s="2468"/>
      <c r="CA573" s="2468"/>
      <c r="CB573" s="2468"/>
      <c r="CC573" s="1897"/>
      <c r="CD573" s="1896"/>
      <c r="CE573" s="2468"/>
      <c r="CF573" s="2468"/>
      <c r="CG573" s="2468"/>
      <c r="CH573" s="1897"/>
      <c r="CI573" s="1896"/>
      <c r="CJ573" s="2468"/>
      <c r="CK573" s="2468"/>
      <c r="CL573" s="2468"/>
      <c r="CM573" s="1897"/>
      <c r="CN573" s="65"/>
      <c r="CO573" s="65"/>
      <c r="CP573" s="65"/>
      <c r="CQ573" s="65"/>
      <c r="CR573" s="65"/>
    </row>
    <row r="574" spans="1:96" s="46" customFormat="1" ht="12.75" customHeight="1">
      <c r="A574" s="195"/>
      <c r="B574" s="8"/>
      <c r="C574" s="8"/>
      <c r="D574" s="8"/>
      <c r="E574" s="8"/>
      <c r="I574" s="2395"/>
      <c r="J574" s="2396"/>
      <c r="K574" s="2396"/>
      <c r="L574" s="2396"/>
      <c r="M574" s="2396"/>
      <c r="N574" s="2397"/>
      <c r="O574" s="2343">
        <v>0.2</v>
      </c>
      <c r="P574" s="2344"/>
      <c r="Q574" s="2356"/>
      <c r="R574" s="2357"/>
      <c r="S574" s="2380" t="s">
        <v>1997</v>
      </c>
      <c r="T574" s="2380"/>
      <c r="U574" s="2355">
        <v>10</v>
      </c>
      <c r="V574" s="2355"/>
      <c r="W574" s="2355">
        <v>15</v>
      </c>
      <c r="X574" s="2355"/>
      <c r="Y574" s="2355">
        <v>20</v>
      </c>
      <c r="Z574" s="2355"/>
      <c r="AA574" s="2355">
        <v>25</v>
      </c>
      <c r="AB574" s="2355"/>
      <c r="AC574" s="2355">
        <v>30</v>
      </c>
      <c r="AD574" s="2355"/>
      <c r="AE574" s="2358">
        <v>40</v>
      </c>
      <c r="AF574" s="2359"/>
      <c r="AN574" s="439"/>
      <c r="AP574" s="2462" t="str">
        <f t="shared" si="0"/>
        <v>4 BR</v>
      </c>
      <c r="AQ574" s="2463"/>
      <c r="AR574" s="2463"/>
      <c r="AS574" s="2463"/>
      <c r="AT574" s="2464"/>
      <c r="AU574" s="2457">
        <f t="shared" si="1"/>
        <v>0</v>
      </c>
      <c r="AV574" s="2458"/>
      <c r="AW574" s="2458"/>
      <c r="AX574" s="2458"/>
      <c r="AY574" s="2459"/>
      <c r="AZ574" s="2457">
        <f t="shared" si="2"/>
        <v>0</v>
      </c>
      <c r="BA574" s="2458"/>
      <c r="BB574" s="2458"/>
      <c r="BC574" s="2458"/>
      <c r="BD574" s="2459"/>
      <c r="BE574" s="1882">
        <f t="shared" si="3"/>
        <v>0</v>
      </c>
      <c r="BF574" s="1883"/>
      <c r="BG574" s="1883"/>
      <c r="BH574" s="1883"/>
      <c r="BI574" s="1884"/>
      <c r="BJ574" s="1896"/>
      <c r="BK574" s="2468"/>
      <c r="BL574" s="2468"/>
      <c r="BM574" s="2468"/>
      <c r="BN574" s="1897"/>
      <c r="BO574" s="1896">
        <f>IF(AND(AND(AZ573=0,BJ573=0,AP584=1)),1,0)</f>
        <v>0</v>
      </c>
      <c r="BP574" s="2468"/>
      <c r="BQ574" s="2468"/>
      <c r="BR574" s="2468"/>
      <c r="BS574" s="1897"/>
      <c r="BT574" s="1896"/>
      <c r="BU574" s="2468"/>
      <c r="BV574" s="2468"/>
      <c r="BW574" s="2468"/>
      <c r="BX574" s="1897"/>
      <c r="BY574" s="1896"/>
      <c r="BZ574" s="2468"/>
      <c r="CA574" s="2468"/>
      <c r="CB574" s="2468"/>
      <c r="CC574" s="1897"/>
      <c r="CD574" s="1896"/>
      <c r="CE574" s="2468"/>
      <c r="CF574" s="2468"/>
      <c r="CG574" s="2468"/>
      <c r="CH574" s="1897"/>
      <c r="CI574" s="1896"/>
      <c r="CJ574" s="2468"/>
      <c r="CK574" s="2468"/>
      <c r="CL574" s="2468"/>
      <c r="CM574" s="1897"/>
      <c r="CN574" s="65"/>
      <c r="CO574" s="65"/>
      <c r="CP574" s="65"/>
      <c r="CQ574" s="65"/>
      <c r="CR574" s="65"/>
    </row>
    <row r="575" spans="1:96" s="46" customFormat="1" ht="12.75" customHeight="1">
      <c r="A575" s="195"/>
      <c r="B575" s="8"/>
      <c r="C575" s="8"/>
      <c r="D575" s="8"/>
      <c r="E575" s="8"/>
      <c r="I575" s="2395"/>
      <c r="J575" s="2396"/>
      <c r="K575" s="2396"/>
      <c r="L575" s="2396"/>
      <c r="M575" s="2396"/>
      <c r="N575" s="2397"/>
      <c r="O575" s="2343">
        <v>0.15</v>
      </c>
      <c r="P575" s="2344"/>
      <c r="Q575" s="2356"/>
      <c r="R575" s="2357"/>
      <c r="S575" s="2363" t="s">
        <v>1995</v>
      </c>
      <c r="T575" s="2363"/>
      <c r="U575" s="2355">
        <v>7.5</v>
      </c>
      <c r="V575" s="2355"/>
      <c r="W575" s="2355">
        <v>11.3</v>
      </c>
      <c r="X575" s="2355"/>
      <c r="Y575" s="2355">
        <v>15</v>
      </c>
      <c r="Z575" s="2355"/>
      <c r="AA575" s="2355">
        <v>18.8</v>
      </c>
      <c r="AB575" s="2355"/>
      <c r="AC575" s="2355">
        <v>22.5</v>
      </c>
      <c r="AD575" s="2355"/>
      <c r="AE575" s="2358">
        <v>30</v>
      </c>
      <c r="AF575" s="2359"/>
      <c r="AK575" s="153"/>
      <c r="AL575" s="153"/>
      <c r="AM575" s="153"/>
      <c r="AN575" s="439"/>
      <c r="AP575" s="2462" t="str">
        <f t="shared" si="0"/>
        <v>3 BR</v>
      </c>
      <c r="AQ575" s="2463"/>
      <c r="AR575" s="2463"/>
      <c r="AS575" s="2463"/>
      <c r="AT575" s="2464"/>
      <c r="AU575" s="2457">
        <f t="shared" si="1"/>
        <v>5</v>
      </c>
      <c r="AV575" s="2458"/>
      <c r="AW575" s="2458"/>
      <c r="AX575" s="2458"/>
      <c r="AY575" s="2459"/>
      <c r="AZ575" s="2457">
        <f t="shared" si="2"/>
        <v>1</v>
      </c>
      <c r="BA575" s="2458"/>
      <c r="BB575" s="2458"/>
      <c r="BC575" s="2458"/>
      <c r="BD575" s="2459"/>
      <c r="BE575" s="1882">
        <f t="shared" si="3"/>
        <v>0.2</v>
      </c>
      <c r="BF575" s="1883"/>
      <c r="BG575" s="1883"/>
      <c r="BH575" s="1883"/>
      <c r="BI575" s="1884"/>
      <c r="BJ575" s="1896"/>
      <c r="BK575" s="2468"/>
      <c r="BL575" s="2468"/>
      <c r="BM575" s="2468"/>
      <c r="BN575" s="1897"/>
      <c r="BO575" s="1896"/>
      <c r="BP575" s="2468"/>
      <c r="BQ575" s="2468"/>
      <c r="BR575" s="2468"/>
      <c r="BS575" s="1897"/>
      <c r="BT575" s="1896">
        <f>IF(AND(AND(AZ573+AZ574=0,BJ573+BO574=0,AP585=1)),1,0)</f>
        <v>0</v>
      </c>
      <c r="BU575" s="2468"/>
      <c r="BV575" s="2468"/>
      <c r="BW575" s="2468"/>
      <c r="BX575" s="1897"/>
      <c r="BY575" s="1896"/>
      <c r="BZ575" s="2468"/>
      <c r="CA575" s="2468"/>
      <c r="CB575" s="2468"/>
      <c r="CC575" s="1897"/>
      <c r="CD575" s="1896"/>
      <c r="CE575" s="2468"/>
      <c r="CF575" s="2468"/>
      <c r="CG575" s="2468"/>
      <c r="CH575" s="1897"/>
      <c r="CI575" s="1896"/>
      <c r="CJ575" s="2468"/>
      <c r="CK575" s="2468"/>
      <c r="CL575" s="2468"/>
      <c r="CM575" s="1897"/>
      <c r="CN575" s="65"/>
      <c r="CO575" s="65"/>
      <c r="CP575" s="65"/>
      <c r="CQ575" s="65"/>
      <c r="CR575" s="65"/>
    </row>
    <row r="576" spans="1:96" s="46" customFormat="1" ht="12.75" customHeight="1" thickBot="1">
      <c r="B576" s="8"/>
      <c r="C576" s="8"/>
      <c r="D576" s="8"/>
      <c r="E576" s="8"/>
      <c r="I576" s="2398"/>
      <c r="J576" s="2399"/>
      <c r="K576" s="2399"/>
      <c r="L576" s="2399"/>
      <c r="M576" s="2399"/>
      <c r="N576" s="2400"/>
      <c r="O576" s="2343">
        <v>0.1</v>
      </c>
      <c r="P576" s="2344"/>
      <c r="Q576" s="2378"/>
      <c r="R576" s="2379"/>
      <c r="S576" s="2363" t="s">
        <v>1996</v>
      </c>
      <c r="T576" s="2363"/>
      <c r="U576" s="2456">
        <v>5</v>
      </c>
      <c r="V576" s="2456"/>
      <c r="W576" s="2456">
        <v>7.5</v>
      </c>
      <c r="X576" s="2456"/>
      <c r="Y576" s="2456">
        <v>10</v>
      </c>
      <c r="Z576" s="2456"/>
      <c r="AA576" s="2456">
        <v>12.5</v>
      </c>
      <c r="AB576" s="2456"/>
      <c r="AC576" s="2456">
        <v>15</v>
      </c>
      <c r="AD576" s="2456"/>
      <c r="AE576" s="2615">
        <v>20</v>
      </c>
      <c r="AF576" s="2616"/>
      <c r="AK576" s="252"/>
      <c r="AL576" s="252"/>
      <c r="AM576" s="8"/>
      <c r="AN576" s="439"/>
      <c r="AP576" s="2462" t="str">
        <f t="shared" si="0"/>
        <v>2 BR</v>
      </c>
      <c r="AQ576" s="2463"/>
      <c r="AR576" s="2463"/>
      <c r="AS576" s="2463"/>
      <c r="AT576" s="2464"/>
      <c r="AU576" s="2457">
        <f t="shared" si="1"/>
        <v>6</v>
      </c>
      <c r="AV576" s="2458"/>
      <c r="AW576" s="2458"/>
      <c r="AX576" s="2458"/>
      <c r="AY576" s="2459"/>
      <c r="AZ576" s="2457">
        <f t="shared" si="2"/>
        <v>1</v>
      </c>
      <c r="BA576" s="2458"/>
      <c r="BB576" s="2458"/>
      <c r="BC576" s="2458"/>
      <c r="BD576" s="2459"/>
      <c r="BE576" s="1882">
        <f t="shared" si="3"/>
        <v>0.16666666666666666</v>
      </c>
      <c r="BF576" s="1883"/>
      <c r="BG576" s="1883"/>
      <c r="BH576" s="1883"/>
      <c r="BI576" s="1884"/>
      <c r="BJ576" s="1896"/>
      <c r="BK576" s="2468"/>
      <c r="BL576" s="2468"/>
      <c r="BM576" s="2468"/>
      <c r="BN576" s="1897"/>
      <c r="BO576" s="1896"/>
      <c r="BP576" s="2468"/>
      <c r="BQ576" s="2468"/>
      <c r="BR576" s="2468"/>
      <c r="BS576" s="1897"/>
      <c r="BT576" s="1896"/>
      <c r="BU576" s="2468"/>
      <c r="BV576" s="2468"/>
      <c r="BW576" s="2468"/>
      <c r="BX576" s="1897"/>
      <c r="BY576" s="1896">
        <f>IF(AND(AND(AZ573+AZ574+AZ575=0,BO574+BT575+BJ573=0,AP586=1)),1,0)</f>
        <v>0</v>
      </c>
      <c r="BZ576" s="2468"/>
      <c r="CA576" s="2468"/>
      <c r="CB576" s="2468"/>
      <c r="CC576" s="1897"/>
      <c r="CD576" s="1896"/>
      <c r="CE576" s="2468"/>
      <c r="CF576" s="2468"/>
      <c r="CG576" s="2468"/>
      <c r="CH576" s="1897"/>
      <c r="CI576" s="1896"/>
      <c r="CJ576" s="2468"/>
      <c r="CK576" s="2468"/>
      <c r="CL576" s="2468"/>
      <c r="CM576" s="1897"/>
      <c r="CN576" s="65"/>
      <c r="CO576" s="65"/>
      <c r="CP576" s="65"/>
      <c r="CQ576" s="65"/>
      <c r="CR576" s="65"/>
    </row>
    <row r="577" spans="2:96" s="46" customFormat="1" ht="12.75" customHeight="1">
      <c r="B577" s="8"/>
      <c r="C577" s="8"/>
      <c r="D577" s="8"/>
      <c r="E577" s="1815" t="s">
        <v>1043</v>
      </c>
      <c r="F577" s="2183"/>
      <c r="G577" s="2183"/>
      <c r="H577" s="2183"/>
      <c r="I577" s="2183"/>
      <c r="J577" s="2183"/>
      <c r="K577" s="2183"/>
      <c r="L577" s="2183"/>
      <c r="M577" s="2183"/>
      <c r="N577" s="2183"/>
      <c r="O577" s="2183"/>
      <c r="P577" s="2183"/>
      <c r="Q577" s="2183"/>
      <c r="R577" s="2183"/>
      <c r="S577" s="2183"/>
      <c r="T577" s="2183"/>
      <c r="U577" s="2183"/>
      <c r="V577" s="2183"/>
      <c r="W577" s="2183"/>
      <c r="X577" s="2183"/>
      <c r="Y577" s="2183"/>
      <c r="Z577" s="2183"/>
      <c r="AA577" s="2183"/>
      <c r="AB577" s="2183"/>
      <c r="AC577" s="2183"/>
      <c r="AD577" s="2183"/>
      <c r="AE577" s="2183"/>
      <c r="AF577" s="2183"/>
      <c r="AG577" s="2183"/>
      <c r="AH577" s="2184"/>
      <c r="AK577" s="252"/>
      <c r="AL577" s="252"/>
      <c r="AM577" s="8"/>
      <c r="AN577" s="439"/>
      <c r="AP577" s="2462" t="str">
        <f t="shared" si="0"/>
        <v>1 BR</v>
      </c>
      <c r="AQ577" s="2463"/>
      <c r="AR577" s="2463"/>
      <c r="AS577" s="2463"/>
      <c r="AT577" s="2464"/>
      <c r="AU577" s="2457">
        <f t="shared" si="1"/>
        <v>19</v>
      </c>
      <c r="AV577" s="2458"/>
      <c r="AW577" s="2458"/>
      <c r="AX577" s="2458"/>
      <c r="AY577" s="2459"/>
      <c r="AZ577" s="2457">
        <f t="shared" si="2"/>
        <v>13</v>
      </c>
      <c r="BA577" s="2458"/>
      <c r="BB577" s="2458"/>
      <c r="BC577" s="2458"/>
      <c r="BD577" s="2459"/>
      <c r="BE577" s="1882">
        <f t="shared" si="3"/>
        <v>0.68421052631578949</v>
      </c>
      <c r="BF577" s="1883"/>
      <c r="BG577" s="1883"/>
      <c r="BH577" s="1883"/>
      <c r="BI577" s="1884"/>
      <c r="BJ577" s="1896"/>
      <c r="BK577" s="2468"/>
      <c r="BL577" s="2468"/>
      <c r="BM577" s="2468"/>
      <c r="BN577" s="1897"/>
      <c r="BO577" s="1896"/>
      <c r="BP577" s="2468"/>
      <c r="BQ577" s="2468"/>
      <c r="BR577" s="2468"/>
      <c r="BS577" s="1897"/>
      <c r="BT577" s="1896"/>
      <c r="BU577" s="2468"/>
      <c r="BV577" s="2468"/>
      <c r="BW577" s="2468"/>
      <c r="BX577" s="1897"/>
      <c r="BY577" s="1896"/>
      <c r="BZ577" s="2468"/>
      <c r="CA577" s="2468"/>
      <c r="CB577" s="2468"/>
      <c r="CC577" s="1897"/>
      <c r="CD577" s="1896">
        <f>IF(AND(AND(BE574+BE575+BE576+BE573=0,BT575+BY576+BO574+BJ573=0,AP587=1)),1,0)</f>
        <v>0</v>
      </c>
      <c r="CE577" s="2468"/>
      <c r="CF577" s="2468"/>
      <c r="CG577" s="2468"/>
      <c r="CH577" s="1897"/>
      <c r="CI577" s="1896"/>
      <c r="CJ577" s="2468"/>
      <c r="CK577" s="2468"/>
      <c r="CL577" s="2468"/>
      <c r="CM577" s="1897"/>
      <c r="CN577" s="65"/>
      <c r="CO577" s="65"/>
      <c r="CP577" s="65"/>
      <c r="CQ577" s="65"/>
      <c r="CR577" s="65"/>
    </row>
    <row r="578" spans="2:96" s="46" customFormat="1" ht="12.75" customHeight="1">
      <c r="E578" s="2584"/>
      <c r="F578" s="2187"/>
      <c r="G578" s="2187"/>
      <c r="H578" s="2187"/>
      <c r="I578" s="2187"/>
      <c r="J578" s="2187"/>
      <c r="K578" s="2187"/>
      <c r="L578" s="2187"/>
      <c r="M578" s="2187"/>
      <c r="N578" s="2187"/>
      <c r="O578" s="2187"/>
      <c r="P578" s="2187"/>
      <c r="Q578" s="2187"/>
      <c r="R578" s="2187"/>
      <c r="S578" s="2187"/>
      <c r="T578" s="2187"/>
      <c r="U578" s="2187"/>
      <c r="V578" s="2187"/>
      <c r="W578" s="2187"/>
      <c r="X578" s="2187"/>
      <c r="Y578" s="2187"/>
      <c r="Z578" s="2187"/>
      <c r="AA578" s="2187"/>
      <c r="AB578" s="2187"/>
      <c r="AC578" s="2187"/>
      <c r="AD578" s="2187"/>
      <c r="AE578" s="2187"/>
      <c r="AF578" s="2187"/>
      <c r="AG578" s="2187"/>
      <c r="AH578" s="2585"/>
      <c r="AN578" s="439"/>
      <c r="AP578" s="2462" t="str">
        <f t="shared" si="0"/>
        <v>SRO</v>
      </c>
      <c r="AQ578" s="2463"/>
      <c r="AR578" s="2463"/>
      <c r="AS578" s="2463"/>
      <c r="AT578" s="2464"/>
      <c r="AU578" s="2457">
        <f t="shared" si="1"/>
        <v>58</v>
      </c>
      <c r="AV578" s="2458"/>
      <c r="AW578" s="2458"/>
      <c r="AX578" s="2458"/>
      <c r="AY578" s="2459"/>
      <c r="AZ578" s="2457">
        <f t="shared" si="2"/>
        <v>39</v>
      </c>
      <c r="BA578" s="2458"/>
      <c r="BB578" s="2458"/>
      <c r="BC578" s="2458"/>
      <c r="BD578" s="2459"/>
      <c r="BE578" s="1882">
        <f t="shared" si="3"/>
        <v>0.67241379310344829</v>
      </c>
      <c r="BF578" s="1883"/>
      <c r="BG578" s="1883"/>
      <c r="BH578" s="1883"/>
      <c r="BI578" s="1884"/>
      <c r="BJ578" s="1896"/>
      <c r="BK578" s="2468"/>
      <c r="BL578" s="2468"/>
      <c r="BM578" s="2468"/>
      <c r="BN578" s="1897"/>
      <c r="BO578" s="1896"/>
      <c r="BP578" s="2468"/>
      <c r="BQ578" s="2468"/>
      <c r="BR578" s="2468"/>
      <c r="BS578" s="1897"/>
      <c r="BT578" s="1896"/>
      <c r="BU578" s="2468"/>
      <c r="BV578" s="2468"/>
      <c r="BW578" s="2468"/>
      <c r="BX578" s="1897"/>
      <c r="BY578" s="1896"/>
      <c r="BZ578" s="2468"/>
      <c r="CA578" s="2468"/>
      <c r="CB578" s="2468"/>
      <c r="CC578" s="1897"/>
      <c r="CD578" s="1896"/>
      <c r="CE578" s="2468"/>
      <c r="CF578" s="2468"/>
      <c r="CG578" s="2468"/>
      <c r="CH578" s="1897"/>
      <c r="CI578" s="1896">
        <f>IF(AND(AND(AZ575+AZ576+AZ577+AZ574+AZ573=0,BY576+CD577+BT575+BO574+BJ573=0,AP588=1)),1,0)</f>
        <v>0</v>
      </c>
      <c r="CJ578" s="2468"/>
      <c r="CK578" s="2468"/>
      <c r="CL578" s="2468"/>
      <c r="CM578" s="1897"/>
      <c r="CN578" s="65"/>
      <c r="CO578" s="65"/>
      <c r="CP578" s="65"/>
      <c r="CQ578" s="65"/>
      <c r="CR578" s="65"/>
    </row>
    <row r="579" spans="2:96" s="46" customFormat="1" ht="12.75" customHeight="1">
      <c r="E579" s="2617" t="s">
        <v>1687</v>
      </c>
      <c r="F579" s="2618"/>
      <c r="G579" s="2618"/>
      <c r="H579" s="2618"/>
      <c r="I579" s="2618"/>
      <c r="J579" s="2619"/>
      <c r="K579" s="2617" t="s">
        <v>1988</v>
      </c>
      <c r="L579" s="2618"/>
      <c r="M579" s="2618"/>
      <c r="N579" s="2618"/>
      <c r="O579" s="2618"/>
      <c r="P579" s="2619"/>
      <c r="Q579" s="2576" t="s">
        <v>1683</v>
      </c>
      <c r="R579" s="2577"/>
      <c r="S579" s="2577"/>
      <c r="T579" s="2577"/>
      <c r="U579" s="2577"/>
      <c r="V579" s="2578"/>
      <c r="W579" s="2576" t="str">
        <f>I568</f>
        <v>Percent of Low-Income Units (exclusive of manager’s units)</v>
      </c>
      <c r="X579" s="2577"/>
      <c r="Y579" s="2577"/>
      <c r="Z579" s="2577"/>
      <c r="AA579" s="2577"/>
      <c r="AB579" s="2578"/>
      <c r="AC579" s="2576" t="s">
        <v>1686</v>
      </c>
      <c r="AD579" s="2577"/>
      <c r="AE579" s="2577"/>
      <c r="AF579" s="2577"/>
      <c r="AG579" s="2577"/>
      <c r="AH579" s="2578"/>
      <c r="AN579" s="439"/>
      <c r="AP579" s="2462" t="str">
        <f t="shared" si="0"/>
        <v>Total:</v>
      </c>
      <c r="AQ579" s="2463"/>
      <c r="AR579" s="2463"/>
      <c r="AS579" s="2463"/>
      <c r="AT579" s="2464"/>
      <c r="AU579" s="2462"/>
      <c r="AV579" s="2463"/>
      <c r="AW579" s="2463"/>
      <c r="AX579" s="2463"/>
      <c r="AY579" s="2464"/>
      <c r="AZ579" s="2462"/>
      <c r="BA579" s="2463"/>
      <c r="BB579" s="2463"/>
      <c r="BC579" s="2463"/>
      <c r="BD579" s="2464"/>
      <c r="BE579" s="2462"/>
      <c r="BF579" s="2463"/>
      <c r="BG579" s="2463"/>
      <c r="BH579" s="2463"/>
      <c r="BI579" s="2464"/>
      <c r="BJ579" s="1896">
        <f>SUM(BJ573:BN578)</f>
        <v>0</v>
      </c>
      <c r="BK579" s="2468"/>
      <c r="BL579" s="2468"/>
      <c r="BM579" s="2468"/>
      <c r="BN579" s="1897"/>
      <c r="BO579" s="1896">
        <f>SUM(BO573:BS578)</f>
        <v>0</v>
      </c>
      <c r="BP579" s="2468"/>
      <c r="BQ579" s="2468"/>
      <c r="BR579" s="2468"/>
      <c r="BS579" s="1897"/>
      <c r="BT579" s="1896">
        <f>SUM(BT573:BX578)</f>
        <v>0</v>
      </c>
      <c r="BU579" s="2468"/>
      <c r="BV579" s="2468"/>
      <c r="BW579" s="2468"/>
      <c r="BX579" s="1897"/>
      <c r="BY579" s="1896">
        <f>SUM(BY573:CC578)</f>
        <v>0</v>
      </c>
      <c r="BZ579" s="2468"/>
      <c r="CA579" s="2468"/>
      <c r="CB579" s="2468"/>
      <c r="CC579" s="1897"/>
      <c r="CD579" s="1896">
        <f>SUM(CD573:CH578)</f>
        <v>0</v>
      </c>
      <c r="CE579" s="2468"/>
      <c r="CF579" s="2468"/>
      <c r="CG579" s="2468"/>
      <c r="CH579" s="1897"/>
      <c r="CI579" s="1896">
        <f>SUM(CI573:CM578)</f>
        <v>0</v>
      </c>
      <c r="CJ579" s="2468"/>
      <c r="CK579" s="2468"/>
      <c r="CL579" s="2468"/>
      <c r="CM579" s="1897"/>
      <c r="CN579" s="1896">
        <f>SUM(BJ579:CM579)</f>
        <v>0</v>
      </c>
      <c r="CO579" s="2468"/>
      <c r="CP579" s="2468"/>
      <c r="CQ579" s="2468"/>
      <c r="CR579" s="1897"/>
    </row>
    <row r="580" spans="2:96" s="46" customFormat="1" ht="12.75" customHeight="1">
      <c r="E580" s="2620"/>
      <c r="F580" s="2621"/>
      <c r="G580" s="2621"/>
      <c r="H580" s="2621"/>
      <c r="I580" s="2621"/>
      <c r="J580" s="2622"/>
      <c r="K580" s="2620"/>
      <c r="L580" s="2621"/>
      <c r="M580" s="2621"/>
      <c r="N580" s="2621"/>
      <c r="O580" s="2621"/>
      <c r="P580" s="2622"/>
      <c r="Q580" s="2395"/>
      <c r="R580" s="2396"/>
      <c r="S580" s="2396"/>
      <c r="T580" s="2396"/>
      <c r="U580" s="2396"/>
      <c r="V580" s="2397"/>
      <c r="W580" s="2395"/>
      <c r="X580" s="2396"/>
      <c r="Y580" s="2396"/>
      <c r="Z580" s="2396"/>
      <c r="AA580" s="2396"/>
      <c r="AB580" s="2397"/>
      <c r="AC580" s="2395"/>
      <c r="AD580" s="2396"/>
      <c r="AE580" s="2396"/>
      <c r="AF580" s="2396"/>
      <c r="AG580" s="2396"/>
      <c r="AH580" s="2397"/>
      <c r="AN580" s="439"/>
    </row>
    <row r="581" spans="2:96" s="46" customFormat="1" ht="12.75" customHeight="1">
      <c r="E581" s="2620"/>
      <c r="F581" s="2621"/>
      <c r="G581" s="2621"/>
      <c r="H581" s="2621"/>
      <c r="I581" s="2621"/>
      <c r="J581" s="2622"/>
      <c r="K581" s="2620"/>
      <c r="L581" s="2621"/>
      <c r="M581" s="2621"/>
      <c r="N581" s="2621"/>
      <c r="O581" s="2621"/>
      <c r="P581" s="2622"/>
      <c r="Q581" s="2395"/>
      <c r="R581" s="2396"/>
      <c r="S581" s="2396"/>
      <c r="T581" s="2396"/>
      <c r="U581" s="2396"/>
      <c r="V581" s="2397"/>
      <c r="W581" s="2395"/>
      <c r="X581" s="2396"/>
      <c r="Y581" s="2396"/>
      <c r="Z581" s="2396"/>
      <c r="AA581" s="2396"/>
      <c r="AB581" s="2397"/>
      <c r="AC581" s="2395"/>
      <c r="AD581" s="2396"/>
      <c r="AE581" s="2396"/>
      <c r="AF581" s="2396"/>
      <c r="AG581" s="2396"/>
      <c r="AH581" s="2397"/>
      <c r="AN581" s="439"/>
    </row>
    <row r="582" spans="2:96" s="46" customFormat="1" ht="12.75" customHeight="1">
      <c r="E582" s="2620"/>
      <c r="F582" s="2621"/>
      <c r="G582" s="2621"/>
      <c r="H582" s="2621"/>
      <c r="I582" s="2621"/>
      <c r="J582" s="2622"/>
      <c r="K582" s="2620"/>
      <c r="L582" s="2621"/>
      <c r="M582" s="2621"/>
      <c r="N582" s="2621"/>
      <c r="O582" s="2621"/>
      <c r="P582" s="2622"/>
      <c r="Q582" s="2395"/>
      <c r="R582" s="2396"/>
      <c r="S582" s="2396"/>
      <c r="T582" s="2396"/>
      <c r="U582" s="2396"/>
      <c r="V582" s="2397"/>
      <c r="W582" s="2395"/>
      <c r="X582" s="2396"/>
      <c r="Y582" s="2396"/>
      <c r="Z582" s="2396"/>
      <c r="AA582" s="2396"/>
      <c r="AB582" s="2397"/>
      <c r="AC582" s="2395"/>
      <c r="AD582" s="2396"/>
      <c r="AE582" s="2396"/>
      <c r="AF582" s="2396"/>
      <c r="AG582" s="2396"/>
      <c r="AH582" s="2397"/>
      <c r="AN582" s="439"/>
      <c r="AP582" s="63" t="s">
        <v>1249</v>
      </c>
      <c r="BH582" s="63" t="s">
        <v>1250</v>
      </c>
    </row>
    <row r="583" spans="2:96" s="46" customFormat="1" ht="12.75" customHeight="1">
      <c r="E583" s="2349">
        <v>44</v>
      </c>
      <c r="F583" s="2350"/>
      <c r="G583" s="2350"/>
      <c r="H583" s="2350"/>
      <c r="I583" s="2350"/>
      <c r="J583" s="2351"/>
      <c r="K583" s="2346">
        <v>20</v>
      </c>
      <c r="L583" s="2347"/>
      <c r="M583" s="2347"/>
      <c r="N583" s="2347"/>
      <c r="O583" s="2347"/>
      <c r="P583" s="2348"/>
      <c r="Q583" s="2360">
        <f>IF(ISERROR(IF((((E583/$BJ$530)*100)&gt;100),"EXCESSIVE VALUE",(E583/$BJ$530)*100)),0,IF((((E583/$BJ$530)*100)&gt;100),"EXCESSIVE VALUE",(E583/$BJ$530)*100))</f>
        <v>50</v>
      </c>
      <c r="R583" s="2361"/>
      <c r="S583" s="2361"/>
      <c r="T583" s="2361"/>
      <c r="U583" s="2361"/>
      <c r="V583" s="2362"/>
      <c r="W583" s="2352">
        <f>IF(FLOOR(Q583,5)&gt;80,80,FLOOR(Q583,5))</f>
        <v>50</v>
      </c>
      <c r="X583" s="2353"/>
      <c r="Y583" s="2353"/>
      <c r="Z583" s="2353"/>
      <c r="AA583" s="2353"/>
      <c r="AB583" s="2354"/>
      <c r="AC583" s="2352">
        <f t="shared" ref="AC583:AC588" si="4">IF(W583&gt;0,INDEX($BI$509:$BP$523,MATCH(W583,$BH$509:$BH$523,0),MATCH(K583,$BI$508:$BP$508,0)),0)</f>
        <v>50</v>
      </c>
      <c r="AD583" s="2353"/>
      <c r="AE583" s="2353"/>
      <c r="AF583" s="2353"/>
      <c r="AG583" s="2353"/>
      <c r="AH583" s="2354"/>
      <c r="AN583" s="439"/>
      <c r="AO583" s="46">
        <v>5</v>
      </c>
      <c r="AP583" s="2481">
        <f t="shared" ref="AP583:AP588" si="5">IF(OR(BE573&gt;=0.1,BE573=0),0,1)</f>
        <v>0</v>
      </c>
      <c r="AQ583" s="2482"/>
      <c r="AR583" s="2482"/>
      <c r="AS583" s="2482"/>
      <c r="AT583" s="2483"/>
      <c r="AX583" s="2454" t="s">
        <v>870</v>
      </c>
      <c r="AY583" s="2460"/>
      <c r="AZ583" s="2460"/>
      <c r="BA583" s="2460"/>
      <c r="BB583" s="2460"/>
      <c r="BC583" s="2460"/>
      <c r="BD583" s="2460"/>
      <c r="BE583" s="2460"/>
      <c r="BF583" s="2460"/>
      <c r="BG583" s="2460"/>
      <c r="BH583" s="2460"/>
      <c r="BI583" s="2460"/>
      <c r="BJ583" s="2460"/>
      <c r="BK583" s="2460"/>
      <c r="BL583" s="2460"/>
      <c r="BM583" s="2460"/>
      <c r="BN583" s="2460"/>
      <c r="BO583" s="2460"/>
      <c r="BP583" s="2460"/>
      <c r="BQ583" s="2455"/>
    </row>
    <row r="584" spans="2:96" s="46" customFormat="1" ht="12.75" customHeight="1">
      <c r="E584" s="2349">
        <v>10</v>
      </c>
      <c r="F584" s="2350"/>
      <c r="G584" s="2350"/>
      <c r="H584" s="2350"/>
      <c r="I584" s="2350"/>
      <c r="J584" s="2351"/>
      <c r="K584" s="2346">
        <v>30</v>
      </c>
      <c r="L584" s="2347"/>
      <c r="M584" s="2347"/>
      <c r="N584" s="2347"/>
      <c r="O584" s="2347"/>
      <c r="P584" s="2348"/>
      <c r="Q584" s="2360">
        <f t="shared" ref="Q584:Q591" si="6">IF(ISERROR(IF((((E584/$BJ$530)*100)&gt;100),"EXCESSIVE VALUE",(E584/$BJ$530)*100)),0,IF((((E584/$BJ$530)*100)&gt;100),"EXCESSIVE VALUE",(E584/$BJ$530)*100))</f>
        <v>11.363636363636363</v>
      </c>
      <c r="R584" s="2361"/>
      <c r="S584" s="2361"/>
      <c r="T584" s="2361"/>
      <c r="U584" s="2361"/>
      <c r="V584" s="2362"/>
      <c r="W584" s="2352">
        <f>IF(FLOOR(Q584,5)&gt;80,80,FLOOR(Q584,5))</f>
        <v>10</v>
      </c>
      <c r="X584" s="2353"/>
      <c r="Y584" s="2353"/>
      <c r="Z584" s="2353"/>
      <c r="AA584" s="2353"/>
      <c r="AB584" s="2354"/>
      <c r="AC584" s="2352">
        <f t="shared" si="4"/>
        <v>15</v>
      </c>
      <c r="AD584" s="2353"/>
      <c r="AE584" s="2353"/>
      <c r="AF584" s="2353"/>
      <c r="AG584" s="2353"/>
      <c r="AH584" s="2354"/>
      <c r="AN584" s="439"/>
      <c r="AO584" s="46">
        <v>4</v>
      </c>
      <c r="AP584" s="2481">
        <f t="shared" si="5"/>
        <v>0</v>
      </c>
      <c r="AQ584" s="2482"/>
      <c r="AR584" s="2482"/>
      <c r="AS584" s="2482"/>
      <c r="AT584" s="2483"/>
      <c r="AX584" s="2479" t="s">
        <v>682</v>
      </c>
      <c r="AY584" s="2480"/>
      <c r="AZ584" s="1792" t="s">
        <v>682</v>
      </c>
      <c r="BA584" s="1793"/>
      <c r="BB584" s="2479" t="s">
        <v>293</v>
      </c>
      <c r="BC584" s="2480"/>
      <c r="BD584" s="2469" t="s">
        <v>293</v>
      </c>
      <c r="BE584" s="2471"/>
      <c r="BF584" s="2479" t="s">
        <v>292</v>
      </c>
      <c r="BG584" s="2480"/>
      <c r="BH584" s="2469" t="s">
        <v>292</v>
      </c>
      <c r="BI584" s="2471"/>
      <c r="BJ584" s="2479" t="s">
        <v>291</v>
      </c>
      <c r="BK584" s="2480"/>
      <c r="BL584" s="2469" t="s">
        <v>291</v>
      </c>
      <c r="BM584" s="2471"/>
      <c r="BN584" s="2479" t="s">
        <v>681</v>
      </c>
      <c r="BO584" s="2480"/>
      <c r="BP584" s="2469" t="s">
        <v>681</v>
      </c>
      <c r="BQ584" s="2471"/>
    </row>
    <row r="585" spans="2:96" s="46" customFormat="1" ht="12.75" customHeight="1">
      <c r="E585" s="2349"/>
      <c r="F585" s="2350"/>
      <c r="G585" s="2350"/>
      <c r="H585" s="2350"/>
      <c r="I585" s="2350"/>
      <c r="J585" s="2351"/>
      <c r="K585" s="2346">
        <v>35</v>
      </c>
      <c r="L585" s="2347"/>
      <c r="M585" s="2347"/>
      <c r="N585" s="2347"/>
      <c r="O585" s="2347"/>
      <c r="P585" s="2348"/>
      <c r="Q585" s="2360">
        <f t="shared" si="6"/>
        <v>0</v>
      </c>
      <c r="R585" s="2361"/>
      <c r="S585" s="2361"/>
      <c r="T585" s="2361"/>
      <c r="U585" s="2361"/>
      <c r="V585" s="2362"/>
      <c r="W585" s="2352">
        <f t="shared" ref="W585:W591" si="7">IF(FLOOR(Q585,5)&gt;80,80,FLOOR(Q585,5))</f>
        <v>0</v>
      </c>
      <c r="X585" s="2353"/>
      <c r="Y585" s="2353"/>
      <c r="Z585" s="2353"/>
      <c r="AA585" s="2353"/>
      <c r="AB585" s="2354"/>
      <c r="AC585" s="2352">
        <f t="shared" si="4"/>
        <v>0</v>
      </c>
      <c r="AD585" s="2353"/>
      <c r="AE585" s="2353"/>
      <c r="AF585" s="2353"/>
      <c r="AG585" s="2353"/>
      <c r="AH585" s="2354"/>
      <c r="AN585" s="439"/>
      <c r="AO585" s="137">
        <v>3</v>
      </c>
      <c r="AP585" s="2346">
        <f t="shared" si="5"/>
        <v>0</v>
      </c>
      <c r="AQ585" s="2347"/>
      <c r="AR585" s="2347"/>
      <c r="AS585" s="2347"/>
      <c r="AT585" s="2348"/>
      <c r="AX585" s="2479">
        <f>IF(AP535=1,1,0)</f>
        <v>0</v>
      </c>
      <c r="AY585" s="2480"/>
      <c r="AZ585" s="2454"/>
      <c r="BA585" s="2455"/>
      <c r="BB585" s="2477"/>
      <c r="BC585" s="2478"/>
      <c r="BD585" s="2469">
        <f>IF(AND(T608&gt;0,AP535&gt;0),1,0)</f>
        <v>0</v>
      </c>
      <c r="BE585" s="2471"/>
      <c r="BF585" s="2477"/>
      <c r="BG585" s="2478"/>
      <c r="BH585" s="2469">
        <f>IF(AND(T608&gt;0,AP535&gt;0),1,0)</f>
        <v>0</v>
      </c>
      <c r="BI585" s="2471"/>
      <c r="BJ585" s="2477"/>
      <c r="BK585" s="2478"/>
      <c r="BL585" s="2469">
        <f>IF(AND(T608&gt;0,AP535&gt;0),1,0)</f>
        <v>0</v>
      </c>
      <c r="BM585" s="2471"/>
      <c r="BN585" s="2477"/>
      <c r="BO585" s="2478"/>
      <c r="BP585" s="2469">
        <f>IF(AND(T608&gt;0,AP535&gt;0),1,0)</f>
        <v>0</v>
      </c>
      <c r="BQ585" s="2471"/>
    </row>
    <row r="586" spans="2:96" s="46" customFormat="1" ht="12.75" customHeight="1">
      <c r="E586" s="2349">
        <v>3</v>
      </c>
      <c r="F586" s="2350"/>
      <c r="G586" s="2350"/>
      <c r="H586" s="2350"/>
      <c r="I586" s="2350"/>
      <c r="J586" s="2351"/>
      <c r="K586" s="2346">
        <v>40</v>
      </c>
      <c r="L586" s="2347"/>
      <c r="M586" s="2347"/>
      <c r="N586" s="2347"/>
      <c r="O586" s="2347"/>
      <c r="P586" s="2348"/>
      <c r="Q586" s="2360">
        <f t="shared" si="6"/>
        <v>3.4090909090909087</v>
      </c>
      <c r="R586" s="2361"/>
      <c r="S586" s="2361"/>
      <c r="T586" s="2361"/>
      <c r="U586" s="2361"/>
      <c r="V586" s="2362"/>
      <c r="W586" s="2352">
        <f t="shared" si="7"/>
        <v>0</v>
      </c>
      <c r="X586" s="2353"/>
      <c r="Y586" s="2353"/>
      <c r="Z586" s="2353"/>
      <c r="AA586" s="2353"/>
      <c r="AB586" s="2354"/>
      <c r="AC586" s="2352">
        <f t="shared" si="4"/>
        <v>0</v>
      </c>
      <c r="AD586" s="2353"/>
      <c r="AE586" s="2353"/>
      <c r="AF586" s="2353"/>
      <c r="AG586" s="2353"/>
      <c r="AH586" s="2354"/>
      <c r="AN586" s="439"/>
      <c r="AO586" s="46">
        <v>2</v>
      </c>
      <c r="AP586" s="2481">
        <f t="shared" si="5"/>
        <v>0</v>
      </c>
      <c r="AQ586" s="2482"/>
      <c r="AR586" s="2482"/>
      <c r="AS586" s="2482"/>
      <c r="AT586" s="2483"/>
      <c r="AX586" s="2477"/>
      <c r="AY586" s="2478"/>
      <c r="AZ586" s="2454"/>
      <c r="BA586" s="2455"/>
      <c r="BB586" s="2479">
        <f>IF(AP536=1,1,0)</f>
        <v>0</v>
      </c>
      <c r="BC586" s="2480"/>
      <c r="BD586" s="2454"/>
      <c r="BE586" s="2455"/>
      <c r="BF586" s="2477"/>
      <c r="BG586" s="2478"/>
      <c r="BH586" s="2469">
        <f>IF(AND(T609&gt;0,AP536&gt;0),1,0)</f>
        <v>1</v>
      </c>
      <c r="BI586" s="2471"/>
      <c r="BJ586" s="2477"/>
      <c r="BK586" s="2478"/>
      <c r="BL586" s="2469">
        <f>IF(AND(T609&gt;0,AP536&gt;0),1,0)</f>
        <v>1</v>
      </c>
      <c r="BM586" s="2471"/>
      <c r="BN586" s="2477"/>
      <c r="BO586" s="2478"/>
      <c r="BP586" s="2469">
        <f>IF(AND(T609&gt;0,AP536&gt;0),1,0)</f>
        <v>1</v>
      </c>
      <c r="BQ586" s="2471"/>
    </row>
    <row r="587" spans="2:96" s="46" customFormat="1" ht="12.75" customHeight="1">
      <c r="E587" s="2349"/>
      <c r="F587" s="2350"/>
      <c r="G587" s="2350"/>
      <c r="H587" s="2350"/>
      <c r="I587" s="2350"/>
      <c r="J587" s="2351"/>
      <c r="K587" s="2346">
        <v>45</v>
      </c>
      <c r="L587" s="2347"/>
      <c r="M587" s="2347"/>
      <c r="N587" s="2347"/>
      <c r="O587" s="2347"/>
      <c r="P587" s="2348"/>
      <c r="Q587" s="2360">
        <f t="shared" si="6"/>
        <v>0</v>
      </c>
      <c r="R587" s="2361"/>
      <c r="S587" s="2361"/>
      <c r="T587" s="2361"/>
      <c r="U587" s="2361"/>
      <c r="V587" s="2362"/>
      <c r="W587" s="2352">
        <f>IF(FLOOR(Q587,5)&gt;65,65,FLOOR(Q587,5))</f>
        <v>0</v>
      </c>
      <c r="X587" s="2353"/>
      <c r="Y587" s="2353"/>
      <c r="Z587" s="2353"/>
      <c r="AA587" s="2353"/>
      <c r="AB587" s="2354"/>
      <c r="AC587" s="2352">
        <f t="shared" si="4"/>
        <v>0</v>
      </c>
      <c r="AD587" s="2353"/>
      <c r="AE587" s="2353"/>
      <c r="AF587" s="2353"/>
      <c r="AG587" s="2353"/>
      <c r="AH587" s="2354"/>
      <c r="AN587" s="439"/>
      <c r="AO587" s="46">
        <v>1</v>
      </c>
      <c r="AP587" s="2481">
        <f t="shared" si="5"/>
        <v>0</v>
      </c>
      <c r="AQ587" s="2482"/>
      <c r="AR587" s="2482"/>
      <c r="AS587" s="2482"/>
      <c r="AT587" s="2483"/>
      <c r="AX587" s="2477"/>
      <c r="AY587" s="2478"/>
      <c r="AZ587" s="2454"/>
      <c r="BA587" s="2455"/>
      <c r="BB587" s="2477"/>
      <c r="BC587" s="2478"/>
      <c r="BD587" s="2454"/>
      <c r="BE587" s="2455"/>
      <c r="BF587" s="2479">
        <f>IF(AP537=1,1,0)</f>
        <v>0</v>
      </c>
      <c r="BG587" s="2480"/>
      <c r="BH587" s="2454"/>
      <c r="BI587" s="2455"/>
      <c r="BJ587" s="2477"/>
      <c r="BK587" s="2478"/>
      <c r="BL587" s="2469">
        <f>IF(AND(T610&gt;0,AP537&gt;0),1,0)</f>
        <v>1</v>
      </c>
      <c r="BM587" s="2471"/>
      <c r="BN587" s="2477"/>
      <c r="BO587" s="2478"/>
      <c r="BP587" s="2469">
        <f>IF(AND(T610&gt;0,AP537&gt;0),1,0)</f>
        <v>1</v>
      </c>
      <c r="BQ587" s="2471"/>
    </row>
    <row r="588" spans="2:96" s="46" customFormat="1" ht="12.75" customHeight="1">
      <c r="E588" s="2349">
        <v>10</v>
      </c>
      <c r="F588" s="2350"/>
      <c r="G588" s="2350"/>
      <c r="H588" s="2350"/>
      <c r="I588" s="2350"/>
      <c r="J588" s="2351"/>
      <c r="K588" s="2346">
        <v>50</v>
      </c>
      <c r="L588" s="2347"/>
      <c r="M588" s="2347"/>
      <c r="N588" s="2347"/>
      <c r="O588" s="2347"/>
      <c r="P588" s="2348"/>
      <c r="Q588" s="2360">
        <f t="shared" si="6"/>
        <v>11.363636363636363</v>
      </c>
      <c r="R588" s="2361"/>
      <c r="S588" s="2361"/>
      <c r="T588" s="2361"/>
      <c r="U588" s="2361"/>
      <c r="V588" s="2362"/>
      <c r="W588" s="2352">
        <f>IF(FLOOR(Q588,5)&gt;40,40,FLOOR(Q588,5))</f>
        <v>10</v>
      </c>
      <c r="X588" s="2353"/>
      <c r="Y588" s="2353"/>
      <c r="Z588" s="2353"/>
      <c r="AA588" s="2353"/>
      <c r="AB588" s="2354"/>
      <c r="AC588" s="2352">
        <f t="shared" si="4"/>
        <v>5</v>
      </c>
      <c r="AD588" s="2353"/>
      <c r="AE588" s="2353"/>
      <c r="AF588" s="2353"/>
      <c r="AG588" s="2353"/>
      <c r="AH588" s="2354"/>
      <c r="AN588" s="439"/>
      <c r="AO588" s="46">
        <v>0</v>
      </c>
      <c r="AP588" s="2481">
        <f t="shared" si="5"/>
        <v>0</v>
      </c>
      <c r="AQ588" s="2482"/>
      <c r="AR588" s="2482"/>
      <c r="AS588" s="2482"/>
      <c r="AT588" s="2483"/>
      <c r="AX588" s="2477"/>
      <c r="AY588" s="2478"/>
      <c r="AZ588" s="2454"/>
      <c r="BA588" s="2455"/>
      <c r="BB588" s="2477"/>
      <c r="BC588" s="2478"/>
      <c r="BD588" s="2454"/>
      <c r="BE588" s="2455"/>
      <c r="BF588" s="2477"/>
      <c r="BG588" s="2478"/>
      <c r="BH588" s="2454"/>
      <c r="BI588" s="2455"/>
      <c r="BJ588" s="2479">
        <f>IF(AP538=1,1,0)</f>
        <v>0</v>
      </c>
      <c r="BK588" s="2480"/>
      <c r="BL588" s="2477"/>
      <c r="BM588" s="2478"/>
      <c r="BN588" s="2477"/>
      <c r="BO588" s="2478"/>
      <c r="BP588" s="2469">
        <f>IF(AND(T611&gt;0,AP538&gt;0),1,0)</f>
        <v>1</v>
      </c>
      <c r="BQ588" s="2471"/>
    </row>
    <row r="589" spans="2:96" s="46" customFormat="1" ht="12.75" customHeight="1">
      <c r="E589" s="2446"/>
      <c r="F589" s="2447"/>
      <c r="G589" s="2447"/>
      <c r="H589" s="2447"/>
      <c r="I589" s="2447"/>
      <c r="J589" s="2448"/>
      <c r="K589" s="2442">
        <f>IF(OR(Application!D211="Rural",Application!D211="Rural apportionment (Section 514)",Application!D211="Rural apportionment (Section 515)",Application!D211="Rural apportionment (HOME)",Application!D211="Rural (Native American apportionment)"),50,0)</f>
        <v>0</v>
      </c>
      <c r="L589" s="2443"/>
      <c r="M589" s="2444" t="s">
        <v>2094</v>
      </c>
      <c r="N589" s="2444"/>
      <c r="O589" s="2444"/>
      <c r="P589" s="2445"/>
      <c r="Q589" s="2360">
        <f t="shared" si="6"/>
        <v>0</v>
      </c>
      <c r="R589" s="2361"/>
      <c r="S589" s="2361"/>
      <c r="T589" s="2361"/>
      <c r="U589" s="2361"/>
      <c r="V589" s="2362"/>
      <c r="W589" s="2352">
        <f>IF(FLOOR(Q589,5)&gt;50,50,FLOOR(Q589,5))</f>
        <v>0</v>
      </c>
      <c r="X589" s="2353"/>
      <c r="Y589" s="2353"/>
      <c r="Z589" s="2353"/>
      <c r="AA589" s="2353"/>
      <c r="AB589" s="2354"/>
      <c r="AC589" s="2352">
        <f>IF(W589&gt;0,INDEX($AT$509:$BA$523,MATCH(W589,$AS$509:$AS$523,0),MATCH(K589,$AT$508:$BA$508,0)),0)</f>
        <v>0</v>
      </c>
      <c r="AD589" s="2353"/>
      <c r="AE589" s="2353"/>
      <c r="AF589" s="2353"/>
      <c r="AG589" s="2353"/>
      <c r="AH589" s="2354"/>
      <c r="AN589" s="439"/>
      <c r="AP589" s="2481"/>
      <c r="AQ589" s="2482"/>
      <c r="AR589" s="2482"/>
      <c r="AS589" s="2482"/>
      <c r="AT589" s="2483"/>
      <c r="AX589" s="2477"/>
      <c r="AY589" s="2478"/>
      <c r="AZ589" s="2454"/>
      <c r="BA589" s="2455"/>
      <c r="BB589" s="2477"/>
      <c r="BC589" s="2478"/>
      <c r="BD589" s="2454"/>
      <c r="BE589" s="2455"/>
      <c r="BF589" s="2477"/>
      <c r="BG589" s="2478"/>
      <c r="BH589" s="2454"/>
      <c r="BI589" s="2455"/>
      <c r="BJ589" s="2477"/>
      <c r="BK589" s="2478"/>
      <c r="BL589" s="2477"/>
      <c r="BM589" s="2478"/>
      <c r="BN589" s="2479">
        <f>IF(AP539=1,1,0)</f>
        <v>1</v>
      </c>
      <c r="BO589" s="2480"/>
      <c r="BP589" s="2454"/>
      <c r="BQ589" s="2455"/>
    </row>
    <row r="590" spans="2:96" s="46" customFormat="1" ht="12.75" customHeight="1">
      <c r="E590" s="2446"/>
      <c r="F590" s="2447"/>
      <c r="G590" s="2447"/>
      <c r="H590" s="2447"/>
      <c r="I590" s="2447"/>
      <c r="J590" s="2448"/>
      <c r="K590" s="2442">
        <f>IF(OR(Application!D211="Rural",Application!D211="Rural apportionment (Section 514)",Application!D211="Rural apportionment (Section 515)",Application!D211="Rural apportionment (HOME)",Application!D211="Rural (Native American apportionment)"),55,0)</f>
        <v>0</v>
      </c>
      <c r="L590" s="2443"/>
      <c r="M590" s="2444" t="s">
        <v>2094</v>
      </c>
      <c r="N590" s="2444"/>
      <c r="O590" s="2444"/>
      <c r="P590" s="2445"/>
      <c r="Q590" s="2360">
        <f t="shared" si="6"/>
        <v>0</v>
      </c>
      <c r="R590" s="2361"/>
      <c r="S590" s="2361"/>
      <c r="T590" s="2361"/>
      <c r="U590" s="2361"/>
      <c r="V590" s="2362"/>
      <c r="W590" s="2352">
        <f>IF(FLOOR(Q590,5)&gt;40,40,FLOOR(Q590,5))</f>
        <v>0</v>
      </c>
      <c r="X590" s="2353"/>
      <c r="Y590" s="2353"/>
      <c r="Z590" s="2353"/>
      <c r="AA590" s="2353"/>
      <c r="AB590" s="2354"/>
      <c r="AC590" s="2352">
        <f>IF(W590&gt;0,INDEX($AT$509:$BA$523,MATCH(W590,$AS$509:$AS$523,0),MATCH(K590,$AT$508:$BA$508,0)),0)</f>
        <v>0</v>
      </c>
      <c r="AD590" s="2353"/>
      <c r="AE590" s="2353"/>
      <c r="AF590" s="2353"/>
      <c r="AG590" s="2353"/>
      <c r="AH590" s="2354"/>
      <c r="AN590" s="439"/>
      <c r="AX590" s="2479">
        <f>SUM(AX585:AY589)</f>
        <v>0</v>
      </c>
      <c r="AY590" s="2480"/>
      <c r="AZ590" s="2469">
        <f>SUM(AZ586:BA589)</f>
        <v>0</v>
      </c>
      <c r="BA590" s="2471"/>
      <c r="BB590" s="2479">
        <f>SUM(BB586:BC589)</f>
        <v>0</v>
      </c>
      <c r="BC590" s="2480"/>
      <c r="BD590" s="2469">
        <f>SUM(BD585:BE589)</f>
        <v>0</v>
      </c>
      <c r="BE590" s="2471"/>
      <c r="BF590" s="2479">
        <f>SUM(BF587:BG589)</f>
        <v>0</v>
      </c>
      <c r="BG590" s="2480"/>
      <c r="BH590" s="2469">
        <f>SUM(BH585:BI589)</f>
        <v>1</v>
      </c>
      <c r="BI590" s="2471"/>
      <c r="BJ590" s="2479">
        <f>SUM(BJ585:BK589)</f>
        <v>0</v>
      </c>
      <c r="BK590" s="2480"/>
      <c r="BL590" s="2469">
        <f>SUM(BL585:BM589)</f>
        <v>2</v>
      </c>
      <c r="BM590" s="2471"/>
      <c r="BN590" s="2479">
        <f>SUM(BN585:BO589)</f>
        <v>1</v>
      </c>
      <c r="BO590" s="2480"/>
      <c r="BP590" s="2469">
        <f>SUM(BP585:BQ589)</f>
        <v>3</v>
      </c>
      <c r="BQ590" s="2471"/>
    </row>
    <row r="591" spans="2:96" s="46" customFormat="1" ht="12.75" customHeight="1">
      <c r="E591" s="2349">
        <v>21</v>
      </c>
      <c r="F591" s="2350"/>
      <c r="G591" s="2350"/>
      <c r="H591" s="2350"/>
      <c r="I591" s="2350"/>
      <c r="J591" s="2351"/>
      <c r="K591" s="2346" t="s">
        <v>2095</v>
      </c>
      <c r="L591" s="2347"/>
      <c r="M591" s="2347"/>
      <c r="N591" s="2347"/>
      <c r="O591" s="2347"/>
      <c r="P591" s="2348"/>
      <c r="Q591" s="2360">
        <f t="shared" si="6"/>
        <v>23.863636363636363</v>
      </c>
      <c r="R591" s="2361"/>
      <c r="S591" s="2361"/>
      <c r="T591" s="2361"/>
      <c r="U591" s="2361"/>
      <c r="V591" s="2362"/>
      <c r="W591" s="2352">
        <f t="shared" si="7"/>
        <v>20</v>
      </c>
      <c r="X591" s="2353"/>
      <c r="Y591" s="2353"/>
      <c r="Z591" s="2353"/>
      <c r="AA591" s="2353"/>
      <c r="AB591" s="2354"/>
      <c r="AC591" s="2352">
        <v>0</v>
      </c>
      <c r="AD591" s="2353"/>
      <c r="AE591" s="2353"/>
      <c r="AF591" s="2353"/>
      <c r="AG591" s="2353"/>
      <c r="AH591" s="2354"/>
      <c r="AN591" s="439"/>
      <c r="AX591" s="2474">
        <f>IF(AND(AX590=1,AZ590&gt;1),1,0)</f>
        <v>0</v>
      </c>
      <c r="AY591" s="2475"/>
      <c r="AZ591" s="2475"/>
      <c r="BA591" s="2476"/>
      <c r="BB591" s="2474">
        <f>IF(AND(BB590=1,BD590&gt;=1),1,0)</f>
        <v>0</v>
      </c>
      <c r="BC591" s="2475"/>
      <c r="BD591" s="2475"/>
      <c r="BE591" s="2476"/>
      <c r="BF591" s="2474">
        <f>IF(AND(BF590=1,BH590&gt;=1),1,0)</f>
        <v>0</v>
      </c>
      <c r="BG591" s="2475"/>
      <c r="BH591" s="2475"/>
      <c r="BI591" s="2476"/>
      <c r="BJ591" s="2474">
        <f>IF(AND(BJ590=1,BL590&gt;=1),1,0)</f>
        <v>0</v>
      </c>
      <c r="BK591" s="2475"/>
      <c r="BL591" s="2475"/>
      <c r="BM591" s="2476"/>
      <c r="BN591" s="2474">
        <f>IF(AND(BN590=1,BP590&gt;=1),1,0)</f>
        <v>1</v>
      </c>
      <c r="BO591" s="2475"/>
      <c r="BP591" s="2475"/>
      <c r="BQ591" s="2476"/>
    </row>
    <row r="592" spans="2:96" s="46" customFormat="1" ht="12.75" customHeight="1">
      <c r="E592" s="2589">
        <f>SUM(E583:J591)</f>
        <v>88</v>
      </c>
      <c r="F592" s="2590"/>
      <c r="G592" s="2590"/>
      <c r="H592" s="2590"/>
      <c r="I592" s="2590"/>
      <c r="J592" s="2591"/>
      <c r="K592" s="260"/>
      <c r="L592" s="260"/>
      <c r="M592" s="260"/>
      <c r="N592" s="260"/>
      <c r="O592" s="260"/>
      <c r="P592" s="260"/>
      <c r="Q592" s="260"/>
      <c r="R592" s="260"/>
      <c r="S592" s="260"/>
      <c r="T592" s="260"/>
      <c r="U592" s="254"/>
      <c r="V592" s="254"/>
      <c r="W592" s="254"/>
      <c r="X592" s="254"/>
      <c r="Y592" s="254"/>
      <c r="Z592" s="260"/>
      <c r="AA592" s="254"/>
      <c r="AB592" s="100" t="s">
        <v>671</v>
      </c>
      <c r="AC592" s="2586">
        <f>IF(SUM(AC583:AH591)&gt;0,SUM(AC583:AH591),0)</f>
        <v>70</v>
      </c>
      <c r="AD592" s="2587"/>
      <c r="AE592" s="2587"/>
      <c r="AF592" s="2587"/>
      <c r="AG592" s="2587"/>
      <c r="AH592" s="2588"/>
      <c r="AK592" s="8"/>
      <c r="AL592" s="8"/>
      <c r="AM592" s="261"/>
      <c r="AN592" s="439"/>
      <c r="AX592" s="16"/>
      <c r="AY592" s="16"/>
      <c r="AZ592" s="16"/>
      <c r="BA592" s="16"/>
      <c r="BB592" s="16"/>
      <c r="BC592" s="16"/>
      <c r="BD592" s="16"/>
      <c r="BE592" s="16"/>
      <c r="BF592" s="16"/>
      <c r="BG592" s="16"/>
      <c r="BH592" s="16"/>
      <c r="BI592" s="240" t="s">
        <v>676</v>
      </c>
      <c r="BJ592" s="2474">
        <f>AX591+BB591+BF591+BJ591+BN591</f>
        <v>1</v>
      </c>
      <c r="BK592" s="2475"/>
      <c r="BL592" s="2475"/>
      <c r="BM592" s="247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367" t="s">
        <v>114</v>
      </c>
      <c r="AH595" s="2367"/>
      <c r="AI595" s="2367"/>
      <c r="AJ595" s="2367"/>
      <c r="AK595" s="8"/>
      <c r="AL595" s="8"/>
      <c r="AM595" s="8"/>
      <c r="AN595" s="439"/>
    </row>
    <row r="596" spans="1:69" s="46" customFormat="1" ht="12.75" customHeight="1">
      <c r="B596" s="2579" t="s">
        <v>2071</v>
      </c>
      <c r="C596" s="2579"/>
      <c r="D596" s="2579"/>
      <c r="E596" s="2579"/>
      <c r="F596" s="2579"/>
      <c r="G596" s="2579"/>
      <c r="H596" s="2579"/>
      <c r="I596" s="2579"/>
      <c r="J596" s="2579"/>
      <c r="K596" s="2579"/>
      <c r="L596" s="2579"/>
      <c r="M596" s="2579"/>
      <c r="N596" s="2579"/>
      <c r="O596" s="2579"/>
      <c r="P596" s="2579"/>
      <c r="Q596" s="2579"/>
      <c r="R596" s="2579"/>
      <c r="S596" s="2579"/>
      <c r="T596" s="2579"/>
      <c r="U596" s="2579"/>
      <c r="V596" s="2579"/>
      <c r="W596" s="2579"/>
      <c r="X596" s="2579"/>
      <c r="Y596" s="2579"/>
      <c r="Z596" s="2579"/>
      <c r="AA596" s="2579"/>
      <c r="AB596" s="2579"/>
      <c r="AC596" s="2579"/>
      <c r="AD596" s="2579"/>
      <c r="AE596" s="2579"/>
      <c r="AF596" s="2579"/>
      <c r="AG596" s="2579"/>
      <c r="AH596" s="2579"/>
      <c r="AI596" s="65"/>
      <c r="AJ596" s="65"/>
      <c r="AK596" s="16"/>
      <c r="AL596" s="16"/>
      <c r="AM596" s="16"/>
      <c r="AN596" s="439"/>
    </row>
    <row r="597" spans="1:69" s="46" customFormat="1" ht="12.75" customHeight="1">
      <c r="A597" s="65"/>
      <c r="B597" s="2579"/>
      <c r="C597" s="2579"/>
      <c r="D597" s="2579"/>
      <c r="E597" s="2579"/>
      <c r="F597" s="2579"/>
      <c r="G597" s="2579"/>
      <c r="H597" s="2579"/>
      <c r="I597" s="2579"/>
      <c r="J597" s="2579"/>
      <c r="K597" s="2579"/>
      <c r="L597" s="2579"/>
      <c r="M597" s="2579"/>
      <c r="N597" s="2579"/>
      <c r="O597" s="2579"/>
      <c r="P597" s="2579"/>
      <c r="Q597" s="2579"/>
      <c r="R597" s="2579"/>
      <c r="S597" s="2579"/>
      <c r="T597" s="2579"/>
      <c r="U597" s="2579"/>
      <c r="V597" s="2579"/>
      <c r="W597" s="2579"/>
      <c r="X597" s="2579"/>
      <c r="Y597" s="2579"/>
      <c r="Z597" s="2579"/>
      <c r="AA597" s="2579"/>
      <c r="AB597" s="2579"/>
      <c r="AC597" s="2579"/>
      <c r="AD597" s="2579"/>
      <c r="AE597" s="2579"/>
      <c r="AF597" s="2579"/>
      <c r="AG597" s="2579"/>
      <c r="AH597" s="2579"/>
      <c r="AI597" s="65"/>
      <c r="AJ597" s="65"/>
      <c r="AK597" s="16"/>
      <c r="AL597" s="16"/>
      <c r="AM597" s="16"/>
      <c r="AN597" s="439"/>
    </row>
    <row r="598" spans="1:69" s="46" customFormat="1" ht="12.75" customHeight="1">
      <c r="A598" s="65"/>
      <c r="B598" s="2579"/>
      <c r="C598" s="2579"/>
      <c r="D598" s="2579"/>
      <c r="E598" s="2579"/>
      <c r="F598" s="2579"/>
      <c r="G598" s="2579"/>
      <c r="H598" s="2579"/>
      <c r="I598" s="2579"/>
      <c r="J598" s="2579"/>
      <c r="K598" s="2579"/>
      <c r="L598" s="2579"/>
      <c r="M598" s="2579"/>
      <c r="N598" s="2579"/>
      <c r="O598" s="2579"/>
      <c r="P598" s="2579"/>
      <c r="Q598" s="2579"/>
      <c r="R598" s="2579"/>
      <c r="S598" s="2579"/>
      <c r="T598" s="2579"/>
      <c r="U598" s="2579"/>
      <c r="V598" s="2579"/>
      <c r="W598" s="2579"/>
      <c r="X598" s="2579"/>
      <c r="Y598" s="2579"/>
      <c r="Z598" s="2579"/>
      <c r="AA598" s="2579"/>
      <c r="AB598" s="2579"/>
      <c r="AC598" s="2579"/>
      <c r="AD598" s="2579"/>
      <c r="AE598" s="2579"/>
      <c r="AF598" s="2579"/>
      <c r="AG598" s="2579"/>
      <c r="AH598" s="2579"/>
      <c r="AI598" s="65"/>
      <c r="AJ598" s="65"/>
      <c r="AK598" s="16"/>
      <c r="AL598" s="16"/>
      <c r="AM598" s="16"/>
      <c r="AN598" s="439"/>
    </row>
    <row r="599" spans="1:69" s="46" customFormat="1" ht="12.75" customHeight="1">
      <c r="A599" s="65"/>
      <c r="B599" s="2579"/>
      <c r="C599" s="2579"/>
      <c r="D599" s="2579"/>
      <c r="E599" s="2579"/>
      <c r="F599" s="2579"/>
      <c r="G599" s="2579"/>
      <c r="H599" s="2579"/>
      <c r="I599" s="2579"/>
      <c r="J599" s="2579"/>
      <c r="K599" s="2579"/>
      <c r="L599" s="2579"/>
      <c r="M599" s="2579"/>
      <c r="N599" s="2579"/>
      <c r="O599" s="2579"/>
      <c r="P599" s="2579"/>
      <c r="Q599" s="2579"/>
      <c r="R599" s="2579"/>
      <c r="S599" s="2579"/>
      <c r="T599" s="2579"/>
      <c r="U599" s="2579"/>
      <c r="V599" s="2579"/>
      <c r="W599" s="2579"/>
      <c r="X599" s="2579"/>
      <c r="Y599" s="2579"/>
      <c r="Z599" s="2579"/>
      <c r="AA599" s="2579"/>
      <c r="AB599" s="2579"/>
      <c r="AC599" s="2579"/>
      <c r="AD599" s="2579"/>
      <c r="AE599" s="2579"/>
      <c r="AF599" s="2579"/>
      <c r="AG599" s="2579"/>
      <c r="AH599" s="2579"/>
      <c r="AI599" s="65"/>
      <c r="AJ599" s="65"/>
      <c r="AK599" s="16"/>
      <c r="AL599" s="16"/>
      <c r="AM599" s="16"/>
      <c r="AN599" s="439"/>
    </row>
    <row r="600" spans="1:69" s="46" customFormat="1" ht="12.75" customHeight="1">
      <c r="A600" s="65"/>
      <c r="B600" s="2579"/>
      <c r="C600" s="2579"/>
      <c r="D600" s="2579"/>
      <c r="E600" s="2579"/>
      <c r="F600" s="2579"/>
      <c r="G600" s="2579"/>
      <c r="H600" s="2579"/>
      <c r="I600" s="2579"/>
      <c r="J600" s="2579"/>
      <c r="K600" s="2579"/>
      <c r="L600" s="2579"/>
      <c r="M600" s="2579"/>
      <c r="N600" s="2579"/>
      <c r="O600" s="2579"/>
      <c r="P600" s="2579"/>
      <c r="Q600" s="2579"/>
      <c r="R600" s="2579"/>
      <c r="S600" s="2579"/>
      <c r="T600" s="2579"/>
      <c r="U600" s="2579"/>
      <c r="V600" s="2579"/>
      <c r="W600" s="2579"/>
      <c r="X600" s="2579"/>
      <c r="Y600" s="2579"/>
      <c r="Z600" s="2579"/>
      <c r="AA600" s="2579"/>
      <c r="AB600" s="2579"/>
      <c r="AC600" s="2579"/>
      <c r="AD600" s="2579"/>
      <c r="AE600" s="2579"/>
      <c r="AF600" s="2579"/>
      <c r="AG600" s="2579"/>
      <c r="AH600" s="2579"/>
      <c r="AI600" s="65"/>
      <c r="AJ600" s="65"/>
      <c r="AK600" s="16"/>
      <c r="AL600" s="16"/>
      <c r="AM600" s="16"/>
      <c r="AN600" s="439"/>
    </row>
    <row r="601" spans="1:69" s="46" customFormat="1" ht="12.75" customHeight="1">
      <c r="A601" s="65"/>
      <c r="B601" s="2579"/>
      <c r="C601" s="2579"/>
      <c r="D601" s="2579"/>
      <c r="E601" s="2579"/>
      <c r="F601" s="2579"/>
      <c r="G601" s="2579"/>
      <c r="H601" s="2579"/>
      <c r="I601" s="2579"/>
      <c r="J601" s="2579"/>
      <c r="K601" s="2579"/>
      <c r="L601" s="2579"/>
      <c r="M601" s="2579"/>
      <c r="N601" s="2579"/>
      <c r="O601" s="2579"/>
      <c r="P601" s="2579"/>
      <c r="Q601" s="2579"/>
      <c r="R601" s="2579"/>
      <c r="S601" s="2579"/>
      <c r="T601" s="2579"/>
      <c r="U601" s="2579"/>
      <c r="V601" s="2579"/>
      <c r="W601" s="2579"/>
      <c r="X601" s="2579"/>
      <c r="Y601" s="2579"/>
      <c r="Z601" s="2579"/>
      <c r="AA601" s="2579"/>
      <c r="AB601" s="2579"/>
      <c r="AC601" s="2579"/>
      <c r="AD601" s="2579"/>
      <c r="AE601" s="2579"/>
      <c r="AF601" s="2579"/>
      <c r="AG601" s="2579"/>
      <c r="AH601" s="2579"/>
      <c r="AI601" s="65"/>
      <c r="AJ601" s="65"/>
      <c r="AK601" s="65"/>
      <c r="AL601" s="65"/>
      <c r="AM601" s="65"/>
      <c r="AN601" s="1132"/>
    </row>
    <row r="602" spans="1:69">
      <c r="E602" s="245"/>
      <c r="BD602" s="65"/>
      <c r="BE602" s="65"/>
      <c r="BF602" s="65"/>
      <c r="BG602" s="65"/>
      <c r="BH602" s="65"/>
    </row>
    <row r="603" spans="1:69" ht="12.75" customHeight="1">
      <c r="J603" s="2530" t="s">
        <v>871</v>
      </c>
      <c r="K603" s="2531"/>
      <c r="L603" s="2531"/>
      <c r="M603" s="2531"/>
      <c r="N603" s="2532"/>
      <c r="O603" s="2576" t="s">
        <v>1684</v>
      </c>
      <c r="P603" s="2577"/>
      <c r="Q603" s="2577"/>
      <c r="R603" s="2577"/>
      <c r="S603" s="2578"/>
      <c r="T603" s="2576" t="s">
        <v>1998</v>
      </c>
      <c r="U603" s="2577"/>
      <c r="V603" s="2577"/>
      <c r="W603" s="2577"/>
      <c r="X603" s="2578"/>
      <c r="Y603" s="2576" t="s">
        <v>1685</v>
      </c>
      <c r="Z603" s="2577"/>
      <c r="AA603" s="2577"/>
      <c r="AB603" s="2577"/>
      <c r="AC603" s="2578"/>
      <c r="AF603" s="16"/>
      <c r="AG603" s="16"/>
      <c r="AH603" s="16"/>
      <c r="AI603" s="16"/>
      <c r="AJ603" s="16"/>
    </row>
    <row r="604" spans="1:69" ht="12.75" customHeight="1">
      <c r="D604" s="16"/>
      <c r="E604" s="16"/>
      <c r="F604" s="16"/>
      <c r="G604" s="16"/>
      <c r="H604" s="16"/>
      <c r="I604" s="16"/>
      <c r="J604" s="2533"/>
      <c r="K604" s="2534"/>
      <c r="L604" s="2534"/>
      <c r="M604" s="2534"/>
      <c r="N604" s="2535"/>
      <c r="O604" s="2395"/>
      <c r="P604" s="2396"/>
      <c r="Q604" s="2396"/>
      <c r="R604" s="2396"/>
      <c r="S604" s="2397"/>
      <c r="T604" s="2395"/>
      <c r="U604" s="2396"/>
      <c r="V604" s="2396"/>
      <c r="W604" s="2396"/>
      <c r="X604" s="2397"/>
      <c r="Y604" s="2395"/>
      <c r="Z604" s="2396"/>
      <c r="AA604" s="2396"/>
      <c r="AB604" s="2396"/>
      <c r="AC604" s="2397"/>
      <c r="AF604" s="16"/>
      <c r="AG604" s="16"/>
      <c r="AH604" s="16"/>
      <c r="AI604" s="16"/>
      <c r="AJ604" s="16"/>
    </row>
    <row r="605" spans="1:69">
      <c r="I605" s="16"/>
      <c r="J605" s="2533"/>
      <c r="K605" s="2534"/>
      <c r="L605" s="2534"/>
      <c r="M605" s="2534"/>
      <c r="N605" s="2535"/>
      <c r="O605" s="2395"/>
      <c r="P605" s="2396"/>
      <c r="Q605" s="2396"/>
      <c r="R605" s="2396"/>
      <c r="S605" s="2397"/>
      <c r="T605" s="2395"/>
      <c r="U605" s="2396"/>
      <c r="V605" s="2396"/>
      <c r="W605" s="2396"/>
      <c r="X605" s="2397"/>
      <c r="Y605" s="2395"/>
      <c r="Z605" s="2396"/>
      <c r="AA605" s="2396"/>
      <c r="AB605" s="2396"/>
      <c r="AC605" s="2397"/>
      <c r="AD605" s="42"/>
      <c r="AF605" s="16"/>
      <c r="AG605" s="16"/>
      <c r="AH605" s="16"/>
      <c r="AI605" s="16"/>
      <c r="AJ605" s="16"/>
    </row>
    <row r="606" spans="1:69">
      <c r="D606" s="16"/>
      <c r="E606" s="16"/>
      <c r="F606" s="16"/>
      <c r="G606" s="16"/>
      <c r="H606" s="16"/>
      <c r="I606" s="16"/>
      <c r="J606" s="2533"/>
      <c r="K606" s="2534"/>
      <c r="L606" s="2534"/>
      <c r="M606" s="2534"/>
      <c r="N606" s="2535"/>
      <c r="O606" s="2395"/>
      <c r="P606" s="2396"/>
      <c r="Q606" s="2396"/>
      <c r="R606" s="2396"/>
      <c r="S606" s="2397"/>
      <c r="T606" s="2395"/>
      <c r="U606" s="2396"/>
      <c r="V606" s="2396"/>
      <c r="W606" s="2396"/>
      <c r="X606" s="2397"/>
      <c r="Y606" s="2395"/>
      <c r="Z606" s="2396"/>
      <c r="AA606" s="2396"/>
      <c r="AB606" s="2396"/>
      <c r="AC606" s="2397"/>
      <c r="AD606" s="42"/>
      <c r="AF606" s="16"/>
      <c r="AG606" s="16"/>
      <c r="AH606" s="16"/>
      <c r="AI606" s="16"/>
      <c r="AJ606" s="16"/>
    </row>
    <row r="607" spans="1:69">
      <c r="D607" s="16"/>
      <c r="E607" s="16"/>
      <c r="F607" s="16"/>
      <c r="G607" s="16"/>
      <c r="H607" s="16"/>
      <c r="I607" s="16"/>
      <c r="J607" s="2429" t="s">
        <v>251</v>
      </c>
      <c r="K607" s="2430"/>
      <c r="L607" s="2430"/>
      <c r="M607" s="2430"/>
      <c r="N607" s="2431"/>
      <c r="O607" s="2346">
        <f>Application!CM627</f>
        <v>0</v>
      </c>
      <c r="P607" s="2347"/>
      <c r="Q607" s="2347"/>
      <c r="R607" s="2347"/>
      <c r="S607" s="2348"/>
      <c r="T607" s="2346">
        <f>Application!DR628</f>
        <v>0</v>
      </c>
      <c r="U607" s="2347"/>
      <c r="V607" s="2347"/>
      <c r="W607" s="2347"/>
      <c r="X607" s="2348"/>
      <c r="Y607" s="2432">
        <f t="shared" ref="Y607:Y612" si="8">IF(T607&gt;0,T607/O607,0)</f>
        <v>0</v>
      </c>
      <c r="Z607" s="2433"/>
      <c r="AA607" s="2433"/>
      <c r="AB607" s="2433"/>
      <c r="AC607" s="2434"/>
      <c r="AD607" s="42"/>
      <c r="AF607" s="16"/>
      <c r="AG607" s="16"/>
      <c r="AH607" s="16"/>
      <c r="AI607" s="16"/>
      <c r="AJ607" s="16"/>
    </row>
    <row r="608" spans="1:69">
      <c r="D608" s="16"/>
      <c r="E608" s="16"/>
      <c r="F608" s="16"/>
      <c r="G608" s="16"/>
      <c r="H608" s="16"/>
      <c r="I608" s="16"/>
      <c r="J608" s="2429" t="s">
        <v>36</v>
      </c>
      <c r="K608" s="2430"/>
      <c r="L608" s="2430"/>
      <c r="M608" s="2430"/>
      <c r="N608" s="2431"/>
      <c r="O608" s="2346">
        <f>Application!CH627</f>
        <v>0</v>
      </c>
      <c r="P608" s="2347"/>
      <c r="Q608" s="2347"/>
      <c r="R608" s="2347"/>
      <c r="S608" s="2348"/>
      <c r="T608" s="2346">
        <f>Application!DM628</f>
        <v>0</v>
      </c>
      <c r="U608" s="2347"/>
      <c r="V608" s="2347"/>
      <c r="W608" s="2347"/>
      <c r="X608" s="2348"/>
      <c r="Y608" s="2432">
        <f t="shared" si="8"/>
        <v>0</v>
      </c>
      <c r="Z608" s="2433"/>
      <c r="AA608" s="2433"/>
      <c r="AB608" s="2433"/>
      <c r="AC608" s="2434"/>
      <c r="AD608" s="42"/>
      <c r="AF608" s="16"/>
      <c r="AG608" s="16"/>
      <c r="AH608" s="16"/>
      <c r="AI608" s="16"/>
      <c r="AJ608" s="16"/>
    </row>
    <row r="609" spans="1:60">
      <c r="D609" s="16"/>
      <c r="E609" s="16"/>
      <c r="F609" s="16"/>
      <c r="G609" s="16"/>
      <c r="H609" s="16"/>
      <c r="I609" s="16"/>
      <c r="J609" s="2429" t="s">
        <v>293</v>
      </c>
      <c r="K609" s="2430"/>
      <c r="L609" s="2430"/>
      <c r="M609" s="2430"/>
      <c r="N609" s="2431"/>
      <c r="O609" s="2346">
        <f>Application!CC627</f>
        <v>5</v>
      </c>
      <c r="P609" s="2347"/>
      <c r="Q609" s="2347"/>
      <c r="R609" s="2347"/>
      <c r="S609" s="2348"/>
      <c r="T609" s="2346">
        <f>Application!DH628</f>
        <v>1</v>
      </c>
      <c r="U609" s="2347"/>
      <c r="V609" s="2347"/>
      <c r="W609" s="2347"/>
      <c r="X609" s="2348"/>
      <c r="Y609" s="2432">
        <f t="shared" si="8"/>
        <v>0.2</v>
      </c>
      <c r="Z609" s="2433"/>
      <c r="AA609" s="2433"/>
      <c r="AB609" s="2433"/>
      <c r="AC609" s="2434"/>
      <c r="AD609" s="16"/>
      <c r="AF609" s="16"/>
      <c r="AG609" s="16"/>
      <c r="AH609" s="16"/>
      <c r="AI609" s="16"/>
      <c r="AJ609" s="16"/>
      <c r="AN609" s="1148"/>
    </row>
    <row r="610" spans="1:60">
      <c r="D610" s="16"/>
      <c r="E610" s="16"/>
      <c r="F610" s="16"/>
      <c r="G610" s="16"/>
      <c r="H610" s="16"/>
      <c r="I610" s="16"/>
      <c r="J610" s="2429" t="s">
        <v>292</v>
      </c>
      <c r="K610" s="2430"/>
      <c r="L610" s="2430"/>
      <c r="M610" s="2430"/>
      <c r="N610" s="2431"/>
      <c r="O610" s="2346">
        <f>Application!BX627</f>
        <v>6</v>
      </c>
      <c r="P610" s="2347"/>
      <c r="Q610" s="2347"/>
      <c r="R610" s="2347"/>
      <c r="S610" s="2348"/>
      <c r="T610" s="2346">
        <f>Application!DC628</f>
        <v>1</v>
      </c>
      <c r="U610" s="2347"/>
      <c r="V610" s="2347"/>
      <c r="W610" s="2347"/>
      <c r="X610" s="2348"/>
      <c r="Y610" s="2432">
        <f t="shared" si="8"/>
        <v>0.16666666666666666</v>
      </c>
      <c r="Z610" s="2433"/>
      <c r="AA610" s="2433"/>
      <c r="AB610" s="2433"/>
      <c r="AC610" s="2434"/>
      <c r="AD610" s="16"/>
      <c r="AF610" s="16"/>
      <c r="AG610" s="16"/>
      <c r="AH610" s="16"/>
      <c r="AI610" s="16"/>
      <c r="AJ610" s="16"/>
      <c r="AN610" s="1148"/>
      <c r="AO610" s="46"/>
      <c r="AP610" s="30"/>
      <c r="AQ610" s="30"/>
      <c r="AR610" s="30"/>
      <c r="AS610" s="30"/>
      <c r="AT610" s="30"/>
    </row>
    <row r="611" spans="1:60">
      <c r="D611" s="16"/>
      <c r="E611" s="16"/>
      <c r="F611" s="16"/>
      <c r="G611" s="16"/>
      <c r="H611" s="16"/>
      <c r="I611" s="16"/>
      <c r="J611" s="2429" t="s">
        <v>291</v>
      </c>
      <c r="K611" s="2430"/>
      <c r="L611" s="2430"/>
      <c r="M611" s="2430"/>
      <c r="N611" s="2431"/>
      <c r="O611" s="2346">
        <f>Application!BS627</f>
        <v>19</v>
      </c>
      <c r="P611" s="2347"/>
      <c r="Q611" s="2347"/>
      <c r="R611" s="2347"/>
      <c r="S611" s="2348"/>
      <c r="T611" s="2346">
        <f>Application!CX628</f>
        <v>13</v>
      </c>
      <c r="U611" s="2347"/>
      <c r="V611" s="2347"/>
      <c r="W611" s="2347"/>
      <c r="X611" s="2348"/>
      <c r="Y611" s="2432">
        <f t="shared" si="8"/>
        <v>0.68421052631578949</v>
      </c>
      <c r="Z611" s="2433"/>
      <c r="AA611" s="2433"/>
      <c r="AB611" s="2433"/>
      <c r="AC611" s="2434"/>
      <c r="AD611" s="16"/>
      <c r="AF611" s="16"/>
      <c r="AG611" s="16"/>
      <c r="AH611" s="16"/>
      <c r="AI611" s="16"/>
      <c r="AJ611" s="16"/>
      <c r="AN611" s="1148"/>
      <c r="AQ611" s="30"/>
      <c r="AR611" s="30"/>
      <c r="AS611" s="30"/>
      <c r="AT611" s="30"/>
    </row>
    <row r="612" spans="1:60">
      <c r="D612" s="16"/>
      <c r="E612" s="16"/>
      <c r="F612" s="16"/>
      <c r="G612" s="16"/>
      <c r="H612" s="16"/>
      <c r="I612" s="16"/>
      <c r="J612" s="2429" t="s">
        <v>681</v>
      </c>
      <c r="K612" s="2430"/>
      <c r="L612" s="2430"/>
      <c r="M612" s="2430"/>
      <c r="N612" s="2431"/>
      <c r="O612" s="2346">
        <f>Application!BN627</f>
        <v>58</v>
      </c>
      <c r="P612" s="2347"/>
      <c r="Q612" s="2347"/>
      <c r="R612" s="2347"/>
      <c r="S612" s="2348"/>
      <c r="T612" s="2346">
        <f>Application!CS628</f>
        <v>39</v>
      </c>
      <c r="U612" s="2347"/>
      <c r="V612" s="2347"/>
      <c r="W612" s="2347"/>
      <c r="X612" s="2348"/>
      <c r="Y612" s="2432">
        <f t="shared" si="8"/>
        <v>0.67241379310344829</v>
      </c>
      <c r="Z612" s="2433"/>
      <c r="AA612" s="2433"/>
      <c r="AB612" s="2433"/>
      <c r="AC612" s="2434"/>
      <c r="AD612" s="16"/>
      <c r="AF612" s="16"/>
      <c r="AG612" s="16"/>
      <c r="AH612" s="16"/>
      <c r="AI612" s="16"/>
      <c r="AJ612" s="16"/>
      <c r="AN612" s="1148"/>
      <c r="AQ612" s="30"/>
      <c r="AR612" s="30"/>
      <c r="AS612" s="30"/>
      <c r="AT612" s="30"/>
    </row>
    <row r="613" spans="1:60">
      <c r="D613" s="16"/>
      <c r="E613" s="16"/>
      <c r="F613" s="16"/>
      <c r="G613" s="16"/>
      <c r="H613" s="16"/>
      <c r="I613" s="16"/>
      <c r="J613" s="2573" t="s">
        <v>975</v>
      </c>
      <c r="K613" s="2574"/>
      <c r="L613" s="2574"/>
      <c r="M613" s="2574"/>
      <c r="N613" s="2575"/>
      <c r="O613" s="2570">
        <f>SUM(O607:S612)</f>
        <v>88</v>
      </c>
      <c r="P613" s="2571"/>
      <c r="Q613" s="2571"/>
      <c r="R613" s="2571"/>
      <c r="S613" s="2572"/>
      <c r="T613" s="2570">
        <f>SUM(T607:X612)</f>
        <v>54</v>
      </c>
      <c r="U613" s="2571"/>
      <c r="V613" s="2571"/>
      <c r="W613" s="2571"/>
      <c r="X613" s="2572"/>
      <c r="Y613" s="2526" t="s">
        <v>259</v>
      </c>
      <c r="Z613" s="2527"/>
      <c r="AA613" s="2527"/>
      <c r="AB613" s="2527"/>
      <c r="AC613" s="2528"/>
      <c r="AD613" s="16"/>
      <c r="AF613" s="16"/>
      <c r="AG613" s="16"/>
      <c r="AH613" s="16"/>
      <c r="AI613" s="16"/>
      <c r="AJ613" s="16"/>
      <c r="AN613" s="1148"/>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8"/>
      <c r="AO614" s="66"/>
      <c r="AP614" s="30"/>
      <c r="AQ614" s="30"/>
      <c r="AR614" s="30"/>
      <c r="AS614" s="30"/>
      <c r="AT614" s="30"/>
    </row>
    <row r="615" spans="1:60">
      <c r="A615" s="15"/>
      <c r="E615" s="16"/>
      <c r="F615" s="16"/>
      <c r="G615" s="16"/>
      <c r="H615" s="16"/>
      <c r="I615" s="16"/>
      <c r="AG615" s="16"/>
      <c r="AN615" s="1148"/>
      <c r="AR615" s="30"/>
      <c r="AS615" s="30"/>
      <c r="AT615" s="30"/>
    </row>
    <row r="616" spans="1:60">
      <c r="A616" s="1807" t="s">
        <v>1688</v>
      </c>
      <c r="B616" s="1808"/>
      <c r="C616" s="1808"/>
      <c r="D616" s="1808"/>
      <c r="E616" s="1808"/>
      <c r="F616" s="1808"/>
      <c r="G616" s="1808"/>
      <c r="H616" s="1808"/>
      <c r="I616" s="1808"/>
      <c r="J616" s="1808"/>
      <c r="K616" s="1808"/>
      <c r="L616" s="1808"/>
      <c r="M616" s="1808"/>
      <c r="N616" s="1808"/>
      <c r="O616" s="1808"/>
      <c r="P616" s="1808"/>
      <c r="Q616" s="1808"/>
      <c r="R616" s="1808"/>
      <c r="S616" s="1808"/>
      <c r="T616" s="1808"/>
      <c r="U616" s="1808"/>
      <c r="V616" s="1808"/>
      <c r="W616" s="1808"/>
      <c r="X616" s="1808"/>
      <c r="Y616" s="1808"/>
      <c r="Z616" s="1808"/>
      <c r="AA616" s="1808"/>
      <c r="AB616" s="1808"/>
      <c r="AC616" s="1808"/>
      <c r="AD616" s="1808"/>
      <c r="AE616" s="1808"/>
      <c r="AF616" s="1808"/>
      <c r="AG616" s="1808"/>
      <c r="AH616" s="1808"/>
      <c r="AI616" s="1809"/>
      <c r="AJ616" s="2562">
        <v>2</v>
      </c>
      <c r="AK616" s="2563"/>
      <c r="AN616" s="1148"/>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8"/>
      <c r="BD617" s="65"/>
      <c r="BE617" s="65"/>
      <c r="BF617" s="65"/>
      <c r="BG617" s="65"/>
      <c r="BH617" s="65"/>
    </row>
    <row r="618" spans="1:60">
      <c r="A618" s="2390" t="s">
        <v>197</v>
      </c>
      <c r="B618" s="2390"/>
      <c r="C618" s="2390"/>
      <c r="D618" s="2390"/>
      <c r="E618" s="2390"/>
      <c r="F618" s="2390"/>
      <c r="G618" s="2390"/>
      <c r="H618" s="2390"/>
      <c r="I618" s="2390"/>
      <c r="J618" s="2390"/>
      <c r="K618" s="2390"/>
      <c r="L618" s="2390"/>
      <c r="M618" s="2390"/>
      <c r="N618" s="2390"/>
      <c r="O618" s="2390"/>
      <c r="P618" s="2390"/>
      <c r="Q618" s="2390"/>
      <c r="R618" s="2390"/>
      <c r="S618" s="2390"/>
      <c r="T618" s="2390"/>
      <c r="U618" s="2390"/>
      <c r="V618" s="2390"/>
      <c r="W618" s="2390"/>
      <c r="X618" s="2390"/>
      <c r="Y618" s="2390"/>
      <c r="Z618" s="2390"/>
      <c r="AA618" s="2390"/>
      <c r="AB618" s="2390"/>
      <c r="AC618" s="2390"/>
      <c r="AD618" s="2390"/>
      <c r="AE618" s="2390"/>
      <c r="AF618" s="2390"/>
      <c r="AG618" s="2390"/>
      <c r="AH618" s="2390"/>
      <c r="AI618" s="2390"/>
      <c r="AJ618" s="2390"/>
      <c r="AK618" s="2364">
        <f>IF($AC$592=0,0,$AC$592+$AJ$616)</f>
        <v>72</v>
      </c>
      <c r="AL618" s="2365"/>
      <c r="AM618" s="2366"/>
      <c r="AN618" s="1148"/>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8"/>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8"/>
      <c r="AO620" s="46"/>
      <c r="AR620" s="30"/>
      <c r="AS620" s="30"/>
      <c r="AT620" s="30"/>
    </row>
    <row r="621" spans="1:60" ht="13.95" customHeight="1">
      <c r="A621" s="26"/>
      <c r="AI621" s="27"/>
      <c r="AJ621" s="46"/>
      <c r="AK621" s="153"/>
      <c r="AL621" s="153"/>
      <c r="AM621" s="153"/>
      <c r="AN621" s="1148"/>
      <c r="AO621" s="46"/>
      <c r="AR621" s="30"/>
      <c r="AS621" s="30"/>
      <c r="AT621" s="30"/>
    </row>
    <row r="622" spans="1:60" ht="13.95" customHeight="1">
      <c r="A622" s="29"/>
      <c r="B622" s="2569" t="s">
        <v>1689</v>
      </c>
      <c r="C622" s="2569"/>
      <c r="D622" s="2569"/>
      <c r="E622" s="2569"/>
      <c r="F622" s="2569"/>
      <c r="G622" s="2569"/>
      <c r="H622" s="2569"/>
      <c r="I622" s="2569"/>
      <c r="J622" s="2569"/>
      <c r="K622" s="2569"/>
      <c r="L622" s="2569"/>
      <c r="M622" s="2569"/>
      <c r="N622" s="2569"/>
      <c r="O622" s="2569"/>
      <c r="P622" s="2569"/>
      <c r="Q622" s="2569"/>
      <c r="R622" s="2569"/>
      <c r="S622" s="2569"/>
      <c r="T622" s="2569"/>
      <c r="U622" s="2569"/>
      <c r="V622" s="2569"/>
      <c r="W622" s="2569"/>
      <c r="X622" s="2569"/>
      <c r="Y622" s="2569"/>
      <c r="Z622" s="2569"/>
      <c r="AA622" s="2569"/>
      <c r="AB622" s="2569"/>
      <c r="AC622" s="2569"/>
      <c r="AD622" s="2569"/>
      <c r="AE622" s="2569"/>
      <c r="AF622" s="2569"/>
      <c r="AG622" s="2569"/>
      <c r="AH622" s="2569"/>
      <c r="AI622" s="27"/>
      <c r="AJ622" s="46"/>
      <c r="AK622" s="153"/>
      <c r="AL622" s="153"/>
      <c r="AM622" s="153"/>
      <c r="AN622" s="1148"/>
      <c r="AO622" s="66"/>
      <c r="AP622" s="30"/>
      <c r="AQ622" s="30"/>
      <c r="AR622" s="30"/>
      <c r="AS622" s="30"/>
      <c r="AT622" s="30"/>
    </row>
    <row r="623" spans="1:60" ht="22.95" customHeight="1">
      <c r="A623" s="28"/>
      <c r="B623" s="2569"/>
      <c r="C623" s="2569"/>
      <c r="D623" s="2569"/>
      <c r="E623" s="2569"/>
      <c r="F623" s="2569"/>
      <c r="G623" s="2569"/>
      <c r="H623" s="2569"/>
      <c r="I623" s="2569"/>
      <c r="J623" s="2569"/>
      <c r="K623" s="2569"/>
      <c r="L623" s="2569"/>
      <c r="M623" s="2569"/>
      <c r="N623" s="2569"/>
      <c r="O623" s="2569"/>
      <c r="P623" s="2569"/>
      <c r="Q623" s="2569"/>
      <c r="R623" s="2569"/>
      <c r="S623" s="2569"/>
      <c r="T623" s="2569"/>
      <c r="U623" s="2569"/>
      <c r="V623" s="2569"/>
      <c r="W623" s="2569"/>
      <c r="X623" s="2569"/>
      <c r="Y623" s="2569"/>
      <c r="Z623" s="2569"/>
      <c r="AA623" s="2569"/>
      <c r="AB623" s="2569"/>
      <c r="AC623" s="2569"/>
      <c r="AD623" s="2569"/>
      <c r="AE623" s="2569"/>
      <c r="AF623" s="2569"/>
      <c r="AG623" s="2569"/>
      <c r="AH623" s="2569"/>
      <c r="AI623" s="46"/>
      <c r="AJ623" s="46"/>
      <c r="AK623" s="46"/>
      <c r="AL623" s="46"/>
      <c r="AM623" s="153"/>
      <c r="AN623" s="1148"/>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8"/>
      <c r="AM624" s="153"/>
      <c r="AN624" s="1148"/>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8"/>
      <c r="AS625" s="30"/>
      <c r="AT625" s="30"/>
    </row>
    <row r="626" spans="1:46" ht="13.95" customHeight="1">
      <c r="A626" s="28"/>
      <c r="B626" s="203"/>
      <c r="C626" s="1696" t="s">
        <v>119</v>
      </c>
      <c r="D626" s="1696"/>
      <c r="E626" s="293"/>
      <c r="F626" s="2536" t="s">
        <v>2319</v>
      </c>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8"/>
      <c r="AE626" s="46"/>
      <c r="AF626" s="265"/>
      <c r="AG626" s="2529" t="s">
        <v>1042</v>
      </c>
      <c r="AH626" s="2529"/>
      <c r="AI626" s="2529"/>
      <c r="AJ626" s="2529"/>
      <c r="AK626" s="153"/>
      <c r="AL626" s="153"/>
      <c r="AM626" s="153"/>
      <c r="AN626" s="1148"/>
      <c r="AO626" s="46"/>
      <c r="AS626" s="30"/>
      <c r="AT626" s="30"/>
    </row>
    <row r="627" spans="1:46" ht="13.95" customHeight="1">
      <c r="A627" s="28"/>
      <c r="B627" s="203"/>
      <c r="C627" s="77"/>
      <c r="D627" s="46"/>
      <c r="E627" s="293"/>
      <c r="F627" s="2539"/>
      <c r="G627" s="2540"/>
      <c r="H627" s="2540"/>
      <c r="I627" s="2540"/>
      <c r="J627" s="2540"/>
      <c r="K627" s="2540"/>
      <c r="L627" s="2540"/>
      <c r="M627" s="2540"/>
      <c r="N627" s="2540"/>
      <c r="O627" s="2540"/>
      <c r="P627" s="2540"/>
      <c r="Q627" s="2540"/>
      <c r="R627" s="2540"/>
      <c r="S627" s="2540"/>
      <c r="T627" s="2540"/>
      <c r="U627" s="2540"/>
      <c r="V627" s="2540"/>
      <c r="W627" s="2540"/>
      <c r="X627" s="2540"/>
      <c r="Y627" s="2540"/>
      <c r="Z627" s="2540"/>
      <c r="AA627" s="2540"/>
      <c r="AB627" s="2540"/>
      <c r="AC627" s="2540"/>
      <c r="AD627" s="2541"/>
      <c r="AE627" s="46"/>
      <c r="AF627" s="265"/>
      <c r="AG627" s="265"/>
      <c r="AH627" s="265"/>
      <c r="AI627" s="265"/>
      <c r="AJ627" s="46"/>
      <c r="AK627" s="153"/>
      <c r="AL627" s="153"/>
      <c r="AM627" s="153"/>
      <c r="AN627" s="1148"/>
      <c r="AO627" s="46"/>
      <c r="AS627" s="30"/>
      <c r="AT627" s="30"/>
    </row>
    <row r="628" spans="1:46">
      <c r="A628" s="28"/>
      <c r="B628" s="203"/>
      <c r="C628" s="77"/>
      <c r="D628" s="46"/>
      <c r="E628" s="293"/>
      <c r="F628" s="2542"/>
      <c r="G628" s="2543"/>
      <c r="H628" s="2543"/>
      <c r="I628" s="2543"/>
      <c r="J628" s="2543"/>
      <c r="K628" s="2543"/>
      <c r="L628" s="2543"/>
      <c r="M628" s="2543"/>
      <c r="N628" s="2543"/>
      <c r="O628" s="2543"/>
      <c r="P628" s="2543"/>
      <c r="Q628" s="2543"/>
      <c r="R628" s="2543"/>
      <c r="S628" s="2543"/>
      <c r="T628" s="2543"/>
      <c r="U628" s="2543"/>
      <c r="V628" s="2543"/>
      <c r="W628" s="2543"/>
      <c r="X628" s="2543"/>
      <c r="Y628" s="2543"/>
      <c r="Z628" s="2543"/>
      <c r="AA628" s="2543"/>
      <c r="AB628" s="2543"/>
      <c r="AC628" s="2543"/>
      <c r="AD628" s="2544"/>
      <c r="AE628" s="46"/>
      <c r="AF628" s="265"/>
      <c r="AG628" s="265"/>
      <c r="AH628" s="265"/>
      <c r="AI628" s="265"/>
      <c r="AJ628" s="46"/>
      <c r="AK628" s="153"/>
      <c r="AL628" s="153"/>
      <c r="AM628" s="153"/>
      <c r="AN628" s="1148"/>
      <c r="AO628" s="46"/>
      <c r="AP628" s="64"/>
      <c r="AS628" s="30"/>
      <c r="AT628" s="30"/>
    </row>
    <row r="629" spans="1:46">
      <c r="A629" s="28"/>
      <c r="B629" s="203"/>
      <c r="C629" s="77"/>
      <c r="D629" s="46"/>
      <c r="E629" s="293"/>
      <c r="F629" s="1417"/>
      <c r="G629" s="1417"/>
      <c r="H629" s="1417"/>
      <c r="I629" s="1417"/>
      <c r="J629" s="1417"/>
      <c r="K629" s="1417"/>
      <c r="L629" s="1417"/>
      <c r="M629" s="1417"/>
      <c r="N629" s="1417"/>
      <c r="O629" s="1417"/>
      <c r="P629" s="1417"/>
      <c r="Q629" s="1417"/>
      <c r="R629" s="1417"/>
      <c r="S629" s="1417"/>
      <c r="T629" s="1417"/>
      <c r="U629" s="1417"/>
      <c r="V629" s="1417"/>
      <c r="W629" s="1417"/>
      <c r="X629" s="1417"/>
      <c r="Y629" s="1417"/>
      <c r="Z629" s="1417"/>
      <c r="AA629" s="1417"/>
      <c r="AB629" s="1417"/>
      <c r="AC629" s="1417"/>
      <c r="AD629" s="1417"/>
      <c r="AE629" s="162"/>
      <c r="AF629" s="265"/>
      <c r="AG629" s="265"/>
      <c r="AH629" s="265"/>
      <c r="AI629" s="265"/>
      <c r="AJ629" s="46"/>
      <c r="AK629" s="153"/>
      <c r="AL629" s="153"/>
      <c r="AM629" s="153"/>
      <c r="AN629" s="1148"/>
      <c r="AS629" s="30"/>
      <c r="AT629" s="30"/>
    </row>
    <row r="630" spans="1:46" ht="13.95" customHeight="1">
      <c r="A630" s="28"/>
      <c r="B630" s="2569" t="s">
        <v>2074</v>
      </c>
      <c r="C630" s="2569"/>
      <c r="D630" s="2569"/>
      <c r="E630" s="2569"/>
      <c r="F630" s="2569"/>
      <c r="G630" s="2569"/>
      <c r="H630" s="2569"/>
      <c r="I630" s="2569"/>
      <c r="J630" s="2569"/>
      <c r="K630" s="2569"/>
      <c r="L630" s="2569"/>
      <c r="M630" s="2569"/>
      <c r="N630" s="2569"/>
      <c r="O630" s="2569"/>
      <c r="P630" s="2569"/>
      <c r="Q630" s="2569"/>
      <c r="R630" s="2569"/>
      <c r="S630" s="2569"/>
      <c r="T630" s="2569"/>
      <c r="U630" s="2569"/>
      <c r="V630" s="2569"/>
      <c r="W630" s="2569"/>
      <c r="X630" s="2569"/>
      <c r="Y630" s="2569"/>
      <c r="Z630" s="2569"/>
      <c r="AA630" s="2569"/>
      <c r="AB630" s="2569"/>
      <c r="AC630" s="2569"/>
      <c r="AD630" s="2569"/>
      <c r="AE630" s="2569"/>
      <c r="AF630" s="2569"/>
      <c r="AG630" s="2569"/>
      <c r="AH630" s="2569"/>
      <c r="AI630" s="265"/>
      <c r="AJ630" s="46"/>
      <c r="AK630" s="153"/>
      <c r="AL630" s="153"/>
      <c r="AM630" s="153"/>
    </row>
    <row r="631" spans="1:46" ht="13.95" customHeight="1">
      <c r="B631" s="2569"/>
      <c r="C631" s="2569"/>
      <c r="D631" s="2569"/>
      <c r="E631" s="2569"/>
      <c r="F631" s="2569"/>
      <c r="G631" s="2569"/>
      <c r="H631" s="2569"/>
      <c r="I631" s="2569"/>
      <c r="J631" s="2569"/>
      <c r="K631" s="2569"/>
      <c r="L631" s="2569"/>
      <c r="M631" s="2569"/>
      <c r="N631" s="2569"/>
      <c r="O631" s="2569"/>
      <c r="P631" s="2569"/>
      <c r="Q631" s="2569"/>
      <c r="R631" s="2569"/>
      <c r="S631" s="2569"/>
      <c r="T631" s="2569"/>
      <c r="U631" s="2569"/>
      <c r="V631" s="2569"/>
      <c r="W631" s="2569"/>
      <c r="X631" s="2569"/>
      <c r="Y631" s="2569"/>
      <c r="Z631" s="2569"/>
      <c r="AA631" s="2569"/>
      <c r="AB631" s="2569"/>
      <c r="AC631" s="2569"/>
      <c r="AD631" s="2569"/>
      <c r="AE631" s="2569"/>
      <c r="AF631" s="2569"/>
      <c r="AG631" s="2569"/>
      <c r="AH631" s="2569"/>
      <c r="AI631" s="245"/>
      <c r="AJ631" s="46"/>
      <c r="AK631" s="153"/>
      <c r="AL631" s="153"/>
      <c r="AM631" s="153"/>
    </row>
    <row r="632" spans="1:46" ht="13.95" customHeight="1">
      <c r="A632" s="263"/>
      <c r="B632" s="2569"/>
      <c r="C632" s="2569"/>
      <c r="D632" s="2569"/>
      <c r="E632" s="2569"/>
      <c r="F632" s="2569"/>
      <c r="G632" s="2569"/>
      <c r="H632" s="2569"/>
      <c r="I632" s="2569"/>
      <c r="J632" s="2569"/>
      <c r="K632" s="2569"/>
      <c r="L632" s="2569"/>
      <c r="M632" s="2569"/>
      <c r="N632" s="2569"/>
      <c r="O632" s="2569"/>
      <c r="P632" s="2569"/>
      <c r="Q632" s="2569"/>
      <c r="R632" s="2569"/>
      <c r="S632" s="2569"/>
      <c r="T632" s="2569"/>
      <c r="U632" s="2569"/>
      <c r="V632" s="2569"/>
      <c r="W632" s="2569"/>
      <c r="X632" s="2569"/>
      <c r="Y632" s="2569"/>
      <c r="Z632" s="2569"/>
      <c r="AA632" s="2569"/>
      <c r="AB632" s="2569"/>
      <c r="AC632" s="2569"/>
      <c r="AD632" s="2569"/>
      <c r="AE632" s="2569"/>
      <c r="AF632" s="2569"/>
      <c r="AG632" s="2569"/>
      <c r="AH632" s="2569"/>
      <c r="AI632" s="245"/>
      <c r="AJ632" s="46"/>
      <c r="AK632" s="153"/>
      <c r="AL632" s="153"/>
      <c r="AM632" s="153"/>
      <c r="AN632" s="124"/>
    </row>
    <row r="633" spans="1:46" ht="13.95" customHeight="1">
      <c r="A633" s="46"/>
      <c r="B633" s="2569"/>
      <c r="C633" s="2569"/>
      <c r="D633" s="2569"/>
      <c r="E633" s="2569"/>
      <c r="F633" s="2569"/>
      <c r="G633" s="2569"/>
      <c r="H633" s="2569"/>
      <c r="I633" s="2569"/>
      <c r="J633" s="2569"/>
      <c r="K633" s="2569"/>
      <c r="L633" s="2569"/>
      <c r="M633" s="2569"/>
      <c r="N633" s="2569"/>
      <c r="O633" s="2569"/>
      <c r="P633" s="2569"/>
      <c r="Q633" s="2569"/>
      <c r="R633" s="2569"/>
      <c r="S633" s="2569"/>
      <c r="T633" s="2569"/>
      <c r="U633" s="2569"/>
      <c r="V633" s="2569"/>
      <c r="W633" s="2569"/>
      <c r="X633" s="2569"/>
      <c r="Y633" s="2569"/>
      <c r="Z633" s="2569"/>
      <c r="AA633" s="2569"/>
      <c r="AB633" s="2569"/>
      <c r="AC633" s="2569"/>
      <c r="AD633" s="2569"/>
      <c r="AE633" s="2569"/>
      <c r="AF633" s="2569"/>
      <c r="AG633" s="2569"/>
      <c r="AH633" s="2569"/>
      <c r="AI633" s="245"/>
      <c r="AJ633" s="46"/>
      <c r="AK633" s="153"/>
      <c r="AL633" s="153"/>
      <c r="AM633" s="153"/>
      <c r="AN633" s="124"/>
    </row>
    <row r="634" spans="1:46" ht="13.95" customHeight="1">
      <c r="A634" s="46"/>
      <c r="B634" s="2569"/>
      <c r="C634" s="2569"/>
      <c r="D634" s="2569"/>
      <c r="E634" s="2569"/>
      <c r="F634" s="2569"/>
      <c r="G634" s="2569"/>
      <c r="H634" s="2569"/>
      <c r="I634" s="2569"/>
      <c r="J634" s="2569"/>
      <c r="K634" s="2569"/>
      <c r="L634" s="2569"/>
      <c r="M634" s="2569"/>
      <c r="N634" s="2569"/>
      <c r="O634" s="2569"/>
      <c r="P634" s="2569"/>
      <c r="Q634" s="2569"/>
      <c r="R634" s="2569"/>
      <c r="S634" s="2569"/>
      <c r="T634" s="2569"/>
      <c r="U634" s="2569"/>
      <c r="V634" s="2569"/>
      <c r="W634" s="2569"/>
      <c r="X634" s="2569"/>
      <c r="Y634" s="2569"/>
      <c r="Z634" s="2569"/>
      <c r="AA634" s="2569"/>
      <c r="AB634" s="2569"/>
      <c r="AC634" s="2569"/>
      <c r="AD634" s="2569"/>
      <c r="AE634" s="2569"/>
      <c r="AF634" s="2569"/>
      <c r="AG634" s="2569"/>
      <c r="AH634" s="2569"/>
      <c r="AI634" s="245"/>
      <c r="AJ634" s="46"/>
      <c r="AK634" s="153"/>
      <c r="AL634" s="153"/>
      <c r="AM634" s="153"/>
      <c r="AN634" s="124"/>
    </row>
    <row r="635" spans="1:46" ht="13.95" customHeight="1">
      <c r="A635" s="263"/>
      <c r="B635" s="2569"/>
      <c r="C635" s="2569"/>
      <c r="D635" s="2569"/>
      <c r="E635" s="2569"/>
      <c r="F635" s="2569"/>
      <c r="G635" s="2569"/>
      <c r="H635" s="2569"/>
      <c r="I635" s="2569"/>
      <c r="J635" s="2569"/>
      <c r="K635" s="2569"/>
      <c r="L635" s="2569"/>
      <c r="M635" s="2569"/>
      <c r="N635" s="2569"/>
      <c r="O635" s="2569"/>
      <c r="P635" s="2569"/>
      <c r="Q635" s="2569"/>
      <c r="R635" s="2569"/>
      <c r="S635" s="2569"/>
      <c r="T635" s="2569"/>
      <c r="U635" s="2569"/>
      <c r="V635" s="2569"/>
      <c r="W635" s="2569"/>
      <c r="X635" s="2569"/>
      <c r="Y635" s="2569"/>
      <c r="Z635" s="2569"/>
      <c r="AA635" s="2569"/>
      <c r="AB635" s="2569"/>
      <c r="AC635" s="2569"/>
      <c r="AD635" s="2569"/>
      <c r="AE635" s="2569"/>
      <c r="AF635" s="2569"/>
      <c r="AG635" s="2569"/>
      <c r="AH635" s="2569"/>
      <c r="AI635" s="245"/>
      <c r="AJ635" s="46"/>
      <c r="AK635" s="153"/>
      <c r="AL635" s="153"/>
      <c r="AM635" s="153"/>
      <c r="AN635" s="124"/>
    </row>
    <row r="636" spans="1:46" ht="13.95" customHeight="1">
      <c r="A636" s="263"/>
      <c r="B636" s="2569"/>
      <c r="C636" s="2569"/>
      <c r="D636" s="2569"/>
      <c r="E636" s="2569"/>
      <c r="F636" s="2569"/>
      <c r="G636" s="2569"/>
      <c r="H636" s="2569"/>
      <c r="I636" s="2569"/>
      <c r="J636" s="2569"/>
      <c r="K636" s="2569"/>
      <c r="L636" s="2569"/>
      <c r="M636" s="2569"/>
      <c r="N636" s="2569"/>
      <c r="O636" s="2569"/>
      <c r="P636" s="2569"/>
      <c r="Q636" s="2569"/>
      <c r="R636" s="2569"/>
      <c r="S636" s="2569"/>
      <c r="T636" s="2569"/>
      <c r="U636" s="2569"/>
      <c r="V636" s="2569"/>
      <c r="W636" s="2569"/>
      <c r="X636" s="2569"/>
      <c r="Y636" s="2569"/>
      <c r="Z636" s="2569"/>
      <c r="AA636" s="2569"/>
      <c r="AB636" s="2569"/>
      <c r="AC636" s="2569"/>
      <c r="AD636" s="2569"/>
      <c r="AE636" s="2569"/>
      <c r="AF636" s="2569"/>
      <c r="AG636" s="2569"/>
      <c r="AH636" s="2569"/>
      <c r="AI636" s="245"/>
      <c r="AJ636" s="46"/>
      <c r="AK636" s="153"/>
      <c r="AL636" s="153"/>
      <c r="AM636" s="153"/>
      <c r="AN636" s="124"/>
    </row>
    <row r="637" spans="1:46" ht="13.95" customHeight="1">
      <c r="A637" s="263"/>
      <c r="B637" s="2569"/>
      <c r="C637" s="2569"/>
      <c r="D637" s="2569"/>
      <c r="E637" s="2569"/>
      <c r="F637" s="2569"/>
      <c r="G637" s="2569"/>
      <c r="H637" s="2569"/>
      <c r="I637" s="2569"/>
      <c r="J637" s="2569"/>
      <c r="K637" s="2569"/>
      <c r="L637" s="2569"/>
      <c r="M637" s="2569"/>
      <c r="N637" s="2569"/>
      <c r="O637" s="2569"/>
      <c r="P637" s="2569"/>
      <c r="Q637" s="2569"/>
      <c r="R637" s="2569"/>
      <c r="S637" s="2569"/>
      <c r="T637" s="2569"/>
      <c r="U637" s="2569"/>
      <c r="V637" s="2569"/>
      <c r="W637" s="2569"/>
      <c r="X637" s="2569"/>
      <c r="Y637" s="2569"/>
      <c r="Z637" s="2569"/>
      <c r="AA637" s="2569"/>
      <c r="AB637" s="2569"/>
      <c r="AC637" s="2569"/>
      <c r="AD637" s="2569"/>
      <c r="AE637" s="2569"/>
      <c r="AF637" s="2569"/>
      <c r="AG637" s="2569"/>
      <c r="AH637" s="2569"/>
      <c r="AI637" s="245"/>
      <c r="AJ637" s="46"/>
      <c r="AK637" s="153"/>
      <c r="AL637" s="153"/>
      <c r="AM637" s="153"/>
      <c r="AN637" s="124"/>
    </row>
    <row r="638" spans="1:46" ht="13.95" customHeight="1">
      <c r="A638" s="263"/>
      <c r="B638" s="2569"/>
      <c r="C638" s="2569"/>
      <c r="D638" s="2569"/>
      <c r="E638" s="2569"/>
      <c r="F638" s="2569"/>
      <c r="G638" s="2569"/>
      <c r="H638" s="2569"/>
      <c r="I638" s="2569"/>
      <c r="J638" s="2569"/>
      <c r="K638" s="2569"/>
      <c r="L638" s="2569"/>
      <c r="M638" s="2569"/>
      <c r="N638" s="2569"/>
      <c r="O638" s="2569"/>
      <c r="P638" s="2569"/>
      <c r="Q638" s="2569"/>
      <c r="R638" s="2569"/>
      <c r="S638" s="2569"/>
      <c r="T638" s="2569"/>
      <c r="U638" s="2569"/>
      <c r="V638" s="2569"/>
      <c r="W638" s="2569"/>
      <c r="X638" s="2569"/>
      <c r="Y638" s="2569"/>
      <c r="Z638" s="2569"/>
      <c r="AA638" s="2569"/>
      <c r="AB638" s="2569"/>
      <c r="AC638" s="2569"/>
      <c r="AD638" s="2569"/>
      <c r="AE638" s="2569"/>
      <c r="AF638" s="2569"/>
      <c r="AG638" s="2569"/>
      <c r="AH638" s="2569"/>
      <c r="AI638" s="245"/>
      <c r="AJ638" s="46"/>
      <c r="AK638" s="153"/>
      <c r="AL638" s="153"/>
      <c r="AM638" s="153"/>
      <c r="AN638" s="124"/>
    </row>
    <row r="639" spans="1:46">
      <c r="A639" s="263"/>
      <c r="B639" s="2569"/>
      <c r="C639" s="2569"/>
      <c r="D639" s="2569"/>
      <c r="E639" s="2569"/>
      <c r="F639" s="2569"/>
      <c r="G639" s="2569"/>
      <c r="H639" s="2569"/>
      <c r="I639" s="2569"/>
      <c r="J639" s="2569"/>
      <c r="K639" s="2569"/>
      <c r="L639" s="2569"/>
      <c r="M639" s="2569"/>
      <c r="N639" s="2569"/>
      <c r="O639" s="2569"/>
      <c r="P639" s="2569"/>
      <c r="Q639" s="2569"/>
      <c r="R639" s="2569"/>
      <c r="S639" s="2569"/>
      <c r="T639" s="2569"/>
      <c r="U639" s="2569"/>
      <c r="V639" s="2569"/>
      <c r="W639" s="2569"/>
      <c r="X639" s="2569"/>
      <c r="Y639" s="2569"/>
      <c r="Z639" s="2569"/>
      <c r="AA639" s="2569"/>
      <c r="AB639" s="2569"/>
      <c r="AC639" s="2569"/>
      <c r="AD639" s="2569"/>
      <c r="AE639" s="2569"/>
      <c r="AF639" s="2569"/>
      <c r="AG639" s="2569"/>
      <c r="AH639" s="2569"/>
      <c r="AI639" s="245"/>
      <c r="AJ639" s="46"/>
      <c r="AK639" s="153"/>
      <c r="AL639" s="153"/>
      <c r="AM639" s="153"/>
      <c r="AN639" s="124"/>
    </row>
    <row r="640" spans="1:46">
      <c r="A640" s="263"/>
      <c r="B640" s="2569"/>
      <c r="C640" s="2569"/>
      <c r="D640" s="2569"/>
      <c r="E640" s="2569"/>
      <c r="F640" s="2569"/>
      <c r="G640" s="2569"/>
      <c r="H640" s="2569"/>
      <c r="I640" s="2569"/>
      <c r="J640" s="2569"/>
      <c r="K640" s="2569"/>
      <c r="L640" s="2569"/>
      <c r="M640" s="2569"/>
      <c r="N640" s="2569"/>
      <c r="O640" s="2569"/>
      <c r="P640" s="2569"/>
      <c r="Q640" s="2569"/>
      <c r="R640" s="2569"/>
      <c r="S640" s="2569"/>
      <c r="T640" s="2569"/>
      <c r="U640" s="2569"/>
      <c r="V640" s="2569"/>
      <c r="W640" s="2569"/>
      <c r="X640" s="2569"/>
      <c r="Y640" s="2569"/>
      <c r="Z640" s="2569"/>
      <c r="AA640" s="2569"/>
      <c r="AB640" s="2569"/>
      <c r="AC640" s="2569"/>
      <c r="AD640" s="2569"/>
      <c r="AE640" s="2569"/>
      <c r="AF640" s="2569"/>
      <c r="AG640" s="2569"/>
      <c r="AH640" s="2569"/>
      <c r="AI640" s="245"/>
      <c r="AJ640" s="46"/>
      <c r="AK640" s="153"/>
      <c r="AL640" s="153"/>
      <c r="AM640" s="153"/>
      <c r="AN640" s="124"/>
    </row>
    <row r="641" spans="1:60">
      <c r="A641" s="263"/>
      <c r="B641" s="2569"/>
      <c r="C641" s="2569"/>
      <c r="D641" s="2569"/>
      <c r="E641" s="2569"/>
      <c r="F641" s="2569"/>
      <c r="G641" s="2569"/>
      <c r="H641" s="2569"/>
      <c r="I641" s="2569"/>
      <c r="J641" s="2569"/>
      <c r="K641" s="2569"/>
      <c r="L641" s="2569"/>
      <c r="M641" s="2569"/>
      <c r="N641" s="2569"/>
      <c r="O641" s="2569"/>
      <c r="P641" s="2569"/>
      <c r="Q641" s="2569"/>
      <c r="R641" s="2569"/>
      <c r="S641" s="2569"/>
      <c r="T641" s="2569"/>
      <c r="U641" s="2569"/>
      <c r="V641" s="2569"/>
      <c r="W641" s="2569"/>
      <c r="X641" s="2569"/>
      <c r="Y641" s="2569"/>
      <c r="Z641" s="2569"/>
      <c r="AA641" s="2569"/>
      <c r="AB641" s="2569"/>
      <c r="AC641" s="2569"/>
      <c r="AD641" s="2569"/>
      <c r="AE641" s="2569"/>
      <c r="AF641" s="2569"/>
      <c r="AG641" s="2569"/>
      <c r="AH641" s="2569"/>
      <c r="AI641" s="266"/>
      <c r="AJ641" s="46"/>
      <c r="AK641" s="153"/>
      <c r="AL641" s="153"/>
      <c r="AM641" s="153"/>
      <c r="AN641" s="124"/>
    </row>
    <row r="642" spans="1:60" s="1035" customFormat="1" ht="12.45" customHeight="1">
      <c r="A642" s="144"/>
      <c r="B642" s="976"/>
      <c r="C642" s="976"/>
      <c r="D642" s="976"/>
      <c r="E642" s="976"/>
      <c r="F642" s="976"/>
      <c r="G642" s="976"/>
      <c r="H642" s="976"/>
      <c r="I642" s="976"/>
      <c r="J642" s="976"/>
      <c r="K642" s="976"/>
      <c r="L642" s="976"/>
      <c r="M642" s="976"/>
      <c r="N642" s="976"/>
      <c r="O642" s="976"/>
      <c r="P642" s="976"/>
      <c r="Q642" s="976"/>
      <c r="R642" s="976"/>
      <c r="S642" s="976"/>
      <c r="T642" s="976"/>
      <c r="U642" s="976"/>
      <c r="V642" s="976"/>
      <c r="W642" s="976"/>
      <c r="X642" s="976"/>
      <c r="Y642" s="976"/>
      <c r="Z642" s="976"/>
      <c r="AA642" s="976"/>
      <c r="AB642" s="976"/>
      <c r="AC642" s="976"/>
      <c r="AD642" s="976"/>
      <c r="AE642" s="976"/>
      <c r="AF642" s="976"/>
      <c r="AG642" s="976"/>
      <c r="AH642" s="976"/>
      <c r="AI642" s="163"/>
      <c r="AJ642" s="37"/>
      <c r="AK642" s="144"/>
      <c r="AL642" s="144"/>
      <c r="AM642" s="144"/>
      <c r="AN642" s="1149"/>
      <c r="BD642" s="1037"/>
      <c r="BE642" s="1037"/>
      <c r="BF642" s="1037"/>
      <c r="BG642" s="1037"/>
      <c r="BH642" s="1037"/>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6" t="s">
        <v>198</v>
      </c>
      <c r="AK643" s="2364">
        <f>IF($C$626="yes",10,0)</f>
        <v>10</v>
      </c>
      <c r="AL643" s="2365"/>
      <c r="AM643" s="2366"/>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2"/>
      <c r="AR647" s="1"/>
      <c r="AS647" s="1"/>
      <c r="AT647" s="1"/>
      <c r="AU647" s="1"/>
      <c r="AV647" s="1033"/>
      <c r="AW647" s="1033"/>
      <c r="AX647" s="125"/>
      <c r="AY647" s="125"/>
      <c r="AZ647" s="125"/>
      <c r="BA647" s="125"/>
    </row>
    <row r="648" spans="1:60">
      <c r="C648" s="1696" t="s">
        <v>136</v>
      </c>
      <c r="D648" s="1696"/>
      <c r="E648" s="293" t="s">
        <v>641</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2"/>
      <c r="AR648" s="1"/>
      <c r="AS648" s="1"/>
      <c r="AT648" s="1"/>
      <c r="AU648" s="1"/>
      <c r="AV648" s="1033"/>
      <c r="AW648" s="1033"/>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3"/>
      <c r="AW649" s="1033"/>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3"/>
      <c r="AW650" s="1033"/>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3"/>
      <c r="AW651" s="1033"/>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6" t="s">
        <v>136</v>
      </c>
      <c r="D653" s="1696"/>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0"/>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6"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6" t="s">
        <v>119</v>
      </c>
      <c r="D657" s="1696"/>
      <c r="E657" s="293" t="s">
        <v>992</v>
      </c>
      <c r="F657" s="809"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6" t="s">
        <v>136</v>
      </c>
      <c r="D661" s="1696"/>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6" t="s">
        <v>136</v>
      </c>
      <c r="D663" s="1696"/>
      <c r="E663" s="293" t="s">
        <v>799</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0"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0"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6" t="s">
        <v>136</v>
      </c>
      <c r="D668" s="1696"/>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6" t="s">
        <v>1132</v>
      </c>
      <c r="AK671" s="2364">
        <f>$AO$654</f>
        <v>2</v>
      </c>
      <c r="AL671" s="2365"/>
      <c r="AM671" s="236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53" t="s">
        <v>789</v>
      </c>
      <c r="B674" s="2553"/>
      <c r="C674" s="2553"/>
      <c r="D674" s="2553"/>
      <c r="E674" s="2553"/>
      <c r="F674" s="2553"/>
      <c r="G674" s="2553"/>
      <c r="H674" s="2553"/>
      <c r="I674" s="2553"/>
      <c r="J674" s="2553"/>
      <c r="K674" s="2553"/>
      <c r="L674" s="2553"/>
      <c r="M674" s="2553"/>
      <c r="N674" s="2553"/>
      <c r="O674" s="2553"/>
      <c r="P674" s="2553"/>
      <c r="Q674" s="2553"/>
      <c r="R674" s="2553"/>
      <c r="S674" s="2553"/>
      <c r="T674" s="2553"/>
      <c r="U674" s="2553"/>
      <c r="V674" s="2553"/>
      <c r="W674" s="2553"/>
      <c r="X674" s="2553"/>
      <c r="Y674" s="2553"/>
      <c r="Z674" s="2553"/>
      <c r="AA674" s="2553"/>
      <c r="AB674" s="2553"/>
      <c r="AC674" s="2553"/>
      <c r="AD674" s="2553"/>
      <c r="AE674" s="2553"/>
      <c r="AF674" s="2553"/>
      <c r="AG674" s="2553"/>
      <c r="AH674" s="2553"/>
      <c r="AI674" s="2553"/>
      <c r="AJ674" s="2553"/>
      <c r="AK674" s="2553"/>
      <c r="AL674" s="2553"/>
      <c r="AM674" s="2553"/>
    </row>
    <row r="675" spans="1:43">
      <c r="A675" s="2554"/>
      <c r="B675" s="2554"/>
      <c r="C675" s="2554"/>
      <c r="D675" s="2554"/>
      <c r="E675" s="2554"/>
      <c r="F675" s="2554"/>
      <c r="G675" s="2554"/>
      <c r="H675" s="2554"/>
      <c r="I675" s="2554"/>
      <c r="J675" s="2554"/>
      <c r="K675" s="2554"/>
      <c r="L675" s="2554"/>
      <c r="M675" s="2554"/>
      <c r="N675" s="2554"/>
      <c r="O675" s="2554"/>
      <c r="P675" s="2554"/>
      <c r="Q675" s="2554"/>
      <c r="R675" s="2554"/>
      <c r="S675" s="2554"/>
      <c r="T675" s="2554"/>
      <c r="U675" s="2554"/>
      <c r="V675" s="2554"/>
      <c r="W675" s="2554"/>
      <c r="X675" s="2554"/>
      <c r="Y675" s="2554"/>
      <c r="Z675" s="2554"/>
      <c r="AA675" s="2554"/>
      <c r="AB675" s="2554"/>
      <c r="AC675" s="2554"/>
      <c r="AD675" s="2554"/>
      <c r="AE675" s="2554"/>
      <c r="AF675" s="2554"/>
      <c r="AG675" s="2554"/>
      <c r="AH675" s="2554"/>
      <c r="AI675" s="2554"/>
      <c r="AJ675" s="2554"/>
      <c r="AK675" s="2554"/>
      <c r="AL675" s="2554"/>
      <c r="AM675" s="2554"/>
      <c r="AO675" s="749"/>
      <c r="AP675" s="749"/>
      <c r="AQ675" s="749"/>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49"/>
      <c r="AP676" s="749"/>
      <c r="AQ676" s="749"/>
    </row>
    <row r="677" spans="1:43">
      <c r="A677" s="2441" t="s">
        <v>2224</v>
      </c>
      <c r="B677" s="2441"/>
      <c r="C677" s="2441"/>
      <c r="D677" s="2441"/>
      <c r="E677" s="2441"/>
      <c r="F677" s="2441"/>
      <c r="G677" s="2441"/>
      <c r="H677" s="2441"/>
      <c r="I677" s="2441"/>
      <c r="J677" s="2441"/>
      <c r="K677" s="2441"/>
      <c r="L677" s="2441"/>
      <c r="M677" s="2441"/>
      <c r="N677" s="2441"/>
      <c r="O677" s="2441"/>
      <c r="P677" s="2441"/>
      <c r="Q677" s="2441"/>
      <c r="R677" s="2441"/>
      <c r="S677" s="2441"/>
      <c r="T677" s="2441"/>
      <c r="U677" s="2441"/>
      <c r="V677" s="2441"/>
      <c r="W677" s="2441"/>
      <c r="X677" s="2441"/>
      <c r="Y677" s="2441"/>
      <c r="Z677" s="2441"/>
      <c r="AA677" s="2441"/>
      <c r="AB677" s="2441"/>
      <c r="AC677" s="2441"/>
      <c r="AD677" s="2441"/>
      <c r="AE677" s="2441"/>
      <c r="AF677" s="2441"/>
      <c r="AG677" s="2441"/>
      <c r="AH677" s="2441"/>
      <c r="AI677" s="2441"/>
      <c r="AJ677" s="2441"/>
      <c r="AK677" s="2441"/>
      <c r="AL677" s="2441"/>
      <c r="AM677" s="2441"/>
      <c r="AP677" s="753"/>
      <c r="AQ677" s="749"/>
    </row>
    <row r="678" spans="1:43">
      <c r="A678" s="2441" t="s">
        <v>2225</v>
      </c>
      <c r="B678" s="2441"/>
      <c r="C678" s="2441"/>
      <c r="D678" s="2441"/>
      <c r="E678" s="2441"/>
      <c r="F678" s="2441"/>
      <c r="G678" s="2441"/>
      <c r="H678" s="2441"/>
      <c r="I678" s="2441"/>
      <c r="J678" s="2441"/>
      <c r="K678" s="2441"/>
      <c r="L678" s="2441"/>
      <c r="M678" s="2441"/>
      <c r="N678" s="2441"/>
      <c r="O678" s="2441"/>
      <c r="P678" s="2441"/>
      <c r="Q678" s="2441"/>
      <c r="R678" s="2441"/>
      <c r="S678" s="2441"/>
      <c r="T678" s="2441"/>
      <c r="U678" s="2441"/>
      <c r="V678" s="2441"/>
      <c r="W678" s="2441"/>
      <c r="X678" s="2441"/>
      <c r="Y678" s="2441"/>
      <c r="Z678" s="2441"/>
      <c r="AA678" s="2441"/>
      <c r="AB678" s="2441"/>
      <c r="AC678" s="2441"/>
      <c r="AD678" s="2441"/>
      <c r="AE678" s="2441"/>
      <c r="AF678" s="2441"/>
      <c r="AG678" s="2441"/>
      <c r="AH678" s="2441"/>
      <c r="AI678" s="2441"/>
      <c r="AJ678" s="2441"/>
      <c r="AK678" s="2441"/>
      <c r="AL678" s="2441"/>
      <c r="AM678" s="2441"/>
      <c r="AO678" s="754">
        <f>SUM(AO679:AO680)</f>
        <v>25</v>
      </c>
      <c r="AQ678" s="749"/>
    </row>
    <row r="679" spans="1:43">
      <c r="A679" s="438"/>
      <c r="B679" s="342"/>
      <c r="C679" s="342"/>
      <c r="D679" s="342"/>
      <c r="E679" s="342"/>
      <c r="F679" s="342"/>
      <c r="G679" s="342"/>
      <c r="H679" s="342"/>
      <c r="I679" s="342"/>
      <c r="J679" s="342"/>
      <c r="K679" s="342"/>
      <c r="L679" s="342"/>
      <c r="M679" s="342"/>
      <c r="N679" s="342"/>
      <c r="O679" s="342"/>
      <c r="P679" s="342"/>
      <c r="Q679" s="342"/>
      <c r="R679" s="342"/>
      <c r="S679" s="1059"/>
      <c r="T679" s="2426" t="s">
        <v>261</v>
      </c>
      <c r="U679" s="2073"/>
      <c r="V679" s="2073"/>
      <c r="W679" s="2073"/>
      <c r="X679" s="2073"/>
      <c r="Y679" s="2074"/>
      <c r="Z679" s="2426" t="s">
        <v>260</v>
      </c>
      <c r="AA679" s="2073"/>
      <c r="AB679" s="2073"/>
      <c r="AC679" s="2073"/>
      <c r="AD679" s="2073"/>
      <c r="AE679" s="2074"/>
      <c r="AF679" s="2426" t="s">
        <v>262</v>
      </c>
      <c r="AG679" s="2073"/>
      <c r="AH679" s="2073"/>
      <c r="AI679" s="2073"/>
      <c r="AJ679" s="2073"/>
      <c r="AK679" s="2074"/>
      <c r="AL679" s="1307"/>
      <c r="AM679" s="474"/>
      <c r="AO679" s="749">
        <f>IF(T686&gt;15,15,T686)</f>
        <v>15</v>
      </c>
      <c r="AP679" s="749"/>
      <c r="AQ679" s="749"/>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7"/>
      <c r="U680" s="2075"/>
      <c r="V680" s="2075"/>
      <c r="W680" s="2075"/>
      <c r="X680" s="2075"/>
      <c r="Y680" s="2076"/>
      <c r="Z680" s="2427"/>
      <c r="AA680" s="2075"/>
      <c r="AB680" s="2075"/>
      <c r="AC680" s="2075"/>
      <c r="AD680" s="2075"/>
      <c r="AE680" s="2076"/>
      <c r="AF680" s="2427"/>
      <c r="AG680" s="2075"/>
      <c r="AH680" s="2075"/>
      <c r="AI680" s="2075"/>
      <c r="AJ680" s="2075"/>
      <c r="AK680" s="2076"/>
      <c r="AL680" s="1307"/>
      <c r="AM680" s="474"/>
      <c r="AO680" s="749">
        <f>IF(T687&gt;10,10,T687)</f>
        <v>10</v>
      </c>
      <c r="AP680" s="749"/>
      <c r="AQ680" s="749"/>
    </row>
    <row r="681" spans="1:43">
      <c r="A681" s="958" t="s">
        <v>719</v>
      </c>
      <c r="B681" s="2422" t="s">
        <v>298</v>
      </c>
      <c r="C681" s="2422"/>
      <c r="D681" s="2422"/>
      <c r="E681" s="2422"/>
      <c r="F681" s="2422"/>
      <c r="G681" s="2422"/>
      <c r="H681" s="2422"/>
      <c r="I681" s="2422"/>
      <c r="J681" s="2422"/>
      <c r="K681" s="2422"/>
      <c r="L681" s="2422"/>
      <c r="M681" s="2422"/>
      <c r="N681" s="2422"/>
      <c r="O681" s="2422"/>
      <c r="P681" s="2422"/>
      <c r="Q681" s="2422"/>
      <c r="R681" s="2422"/>
      <c r="S681" s="2423"/>
      <c r="T681" s="2449">
        <f>SUM(T682:Y683)</f>
        <v>10</v>
      </c>
      <c r="U681" s="2449"/>
      <c r="V681" s="2449"/>
      <c r="W681" s="2449"/>
      <c r="X681" s="2449"/>
      <c r="Y681" s="2449"/>
      <c r="Z681" s="1774">
        <v>10</v>
      </c>
      <c r="AA681" s="1774"/>
      <c r="AB681" s="1774"/>
      <c r="AC681" s="1774"/>
      <c r="AD681" s="1774"/>
      <c r="AE681" s="1774"/>
      <c r="AF681" s="1774">
        <f>IF(T681&gt;Z681,Z681,T681)</f>
        <v>10</v>
      </c>
      <c r="AG681" s="1774"/>
      <c r="AH681" s="1774"/>
      <c r="AI681" s="1774"/>
      <c r="AJ681" s="1774"/>
      <c r="AK681" s="1774"/>
      <c r="AL681" s="1307"/>
      <c r="AM681" s="474"/>
    </row>
    <row r="682" spans="1:43">
      <c r="A682" s="960"/>
      <c r="B682" s="961"/>
      <c r="C682" s="969"/>
      <c r="D682" s="959" t="s">
        <v>233</v>
      </c>
      <c r="E682" s="2424" t="s">
        <v>263</v>
      </c>
      <c r="F682" s="2424"/>
      <c r="G682" s="2424"/>
      <c r="H682" s="2424"/>
      <c r="I682" s="2424"/>
      <c r="J682" s="2424"/>
      <c r="K682" s="2424"/>
      <c r="L682" s="2424"/>
      <c r="M682" s="2424"/>
      <c r="N682" s="2424"/>
      <c r="O682" s="2424"/>
      <c r="P682" s="2424"/>
      <c r="Q682" s="2424"/>
      <c r="R682" s="2424"/>
      <c r="S682" s="2425"/>
      <c r="T682" s="2428">
        <f>AJ31</f>
        <v>7</v>
      </c>
      <c r="U682" s="2428"/>
      <c r="V682" s="2428"/>
      <c r="W682" s="2428"/>
      <c r="X682" s="2428"/>
      <c r="Y682" s="2428"/>
      <c r="Z682" s="2453">
        <v>7</v>
      </c>
      <c r="AA682" s="2453"/>
      <c r="AB682" s="2453"/>
      <c r="AC682" s="2453"/>
      <c r="AD682" s="2453"/>
      <c r="AE682" s="2453"/>
      <c r="AF682" s="2555"/>
      <c r="AG682" s="2555"/>
      <c r="AH682" s="2555"/>
      <c r="AI682" s="2555"/>
      <c r="AJ682" s="2555"/>
      <c r="AK682" s="2555"/>
      <c r="AL682" s="1307"/>
      <c r="AM682" s="474"/>
    </row>
    <row r="683" spans="1:43">
      <c r="A683" s="963"/>
      <c r="B683" s="961"/>
      <c r="C683" s="962"/>
      <c r="D683" s="959" t="s">
        <v>477</v>
      </c>
      <c r="E683" s="2424" t="s">
        <v>264</v>
      </c>
      <c r="F683" s="2424"/>
      <c r="G683" s="2424"/>
      <c r="H683" s="2424"/>
      <c r="I683" s="2424"/>
      <c r="J683" s="2424"/>
      <c r="K683" s="2424"/>
      <c r="L683" s="2424"/>
      <c r="M683" s="2424"/>
      <c r="N683" s="2424"/>
      <c r="O683" s="2424"/>
      <c r="P683" s="2424"/>
      <c r="Q683" s="2424"/>
      <c r="R683" s="2424"/>
      <c r="S683" s="2425"/>
      <c r="T683" s="2428">
        <f>AJ47</f>
        <v>3</v>
      </c>
      <c r="U683" s="2428"/>
      <c r="V683" s="2428"/>
      <c r="W683" s="2428"/>
      <c r="X683" s="2428"/>
      <c r="Y683" s="2428"/>
      <c r="Z683" s="2453">
        <v>3</v>
      </c>
      <c r="AA683" s="2453"/>
      <c r="AB683" s="2453"/>
      <c r="AC683" s="2453"/>
      <c r="AD683" s="2453"/>
      <c r="AE683" s="2453"/>
      <c r="AF683" s="2555"/>
      <c r="AG683" s="2555"/>
      <c r="AH683" s="2555"/>
      <c r="AI683" s="2555"/>
      <c r="AJ683" s="2555"/>
      <c r="AK683" s="2555"/>
      <c r="AL683" s="1307"/>
      <c r="AM683" s="474"/>
      <c r="AO683" s="46">
        <f>IF(T690&gt;50,50,T690)</f>
        <v>50</v>
      </c>
    </row>
    <row r="684" spans="1:43">
      <c r="A684" s="958" t="s">
        <v>8</v>
      </c>
      <c r="B684" s="2422" t="s">
        <v>299</v>
      </c>
      <c r="C684" s="2422"/>
      <c r="D684" s="2422"/>
      <c r="E684" s="2422"/>
      <c r="F684" s="2422"/>
      <c r="G684" s="2422"/>
      <c r="H684" s="2422"/>
      <c r="I684" s="2422"/>
      <c r="J684" s="2422"/>
      <c r="K684" s="2422"/>
      <c r="L684" s="2422"/>
      <c r="M684" s="2422"/>
      <c r="N684" s="2422"/>
      <c r="O684" s="2422"/>
      <c r="P684" s="2422"/>
      <c r="Q684" s="2422"/>
      <c r="R684" s="2422"/>
      <c r="S684" s="2423"/>
      <c r="T684" s="2449">
        <f>AK73</f>
        <v>10</v>
      </c>
      <c r="U684" s="2449"/>
      <c r="V684" s="2449"/>
      <c r="W684" s="2449"/>
      <c r="X684" s="2449"/>
      <c r="Y684" s="2449"/>
      <c r="Z684" s="1774">
        <v>10</v>
      </c>
      <c r="AA684" s="1774"/>
      <c r="AB684" s="1774"/>
      <c r="AC684" s="1774"/>
      <c r="AD684" s="1774"/>
      <c r="AE684" s="1774"/>
      <c r="AF684" s="1774">
        <f>IF(T684&gt;Z684,Z684,T684)</f>
        <v>10</v>
      </c>
      <c r="AG684" s="1774"/>
      <c r="AH684" s="1774"/>
      <c r="AI684" s="1774"/>
      <c r="AJ684" s="1774"/>
      <c r="AK684" s="1774"/>
      <c r="AL684" s="1307"/>
      <c r="AM684" s="474"/>
    </row>
    <row r="685" spans="1:43">
      <c r="A685" s="958" t="s">
        <v>131</v>
      </c>
      <c r="B685" s="2422" t="s">
        <v>300</v>
      </c>
      <c r="C685" s="2422"/>
      <c r="D685" s="2422"/>
      <c r="E685" s="2422"/>
      <c r="F685" s="2422"/>
      <c r="G685" s="2422"/>
      <c r="H685" s="2422"/>
      <c r="I685" s="2422"/>
      <c r="J685" s="2422"/>
      <c r="K685" s="2422"/>
      <c r="L685" s="2422"/>
      <c r="M685" s="2422"/>
      <c r="N685" s="2422"/>
      <c r="O685" s="2422"/>
      <c r="P685" s="2422"/>
      <c r="Q685" s="2422"/>
      <c r="R685" s="2422"/>
      <c r="S685" s="2423"/>
      <c r="T685" s="2449">
        <f>AO678</f>
        <v>25</v>
      </c>
      <c r="U685" s="2449">
        <f>IF(AND(AND(A686&gt;15,15+A687),A687&gt;10,A686+10),A685,0)</f>
        <v>0</v>
      </c>
      <c r="V685" s="2449">
        <f>IF(AND(AND(B686&gt;15,15+B687),B687&gt;10,B686+10),#REF!,0)</f>
        <v>0</v>
      </c>
      <c r="W685" s="2449">
        <f>IF(AND(AND(C686&gt;15,15+C687),C687&gt;10,C686+10),B685,0)</f>
        <v>0</v>
      </c>
      <c r="X685" s="2449" t="e">
        <f>IF(AND(AND(D686&gt;15,15+D687),D687&gt;10,D686+10),D685,0)</f>
        <v>#VALUE!</v>
      </c>
      <c r="Y685" s="2449" t="e">
        <f>IF(AND(AND(E686&gt;15,15+E687),E687&gt;10,E686+10),E685,0)</f>
        <v>#VALUE!</v>
      </c>
      <c r="Z685" s="1774">
        <v>25</v>
      </c>
      <c r="AA685" s="1774"/>
      <c r="AB685" s="1774"/>
      <c r="AC685" s="1774"/>
      <c r="AD685" s="1774"/>
      <c r="AE685" s="1774"/>
      <c r="AF685" s="1774">
        <f>IF(T685&gt;Z685,Z685,T685)</f>
        <v>25</v>
      </c>
      <c r="AG685" s="1774"/>
      <c r="AH685" s="1774"/>
      <c r="AI685" s="1774"/>
      <c r="AJ685" s="1774"/>
      <c r="AK685" s="1774"/>
      <c r="AL685" s="1307"/>
      <c r="AM685" s="474"/>
    </row>
    <row r="686" spans="1:43">
      <c r="A686" s="958"/>
      <c r="B686" s="961"/>
      <c r="C686" s="962"/>
      <c r="D686" s="959" t="s">
        <v>1641</v>
      </c>
      <c r="E686" s="2424" t="s">
        <v>324</v>
      </c>
      <c r="F686" s="2424"/>
      <c r="G686" s="2424"/>
      <c r="H686" s="2424"/>
      <c r="I686" s="2424"/>
      <c r="J686" s="2424"/>
      <c r="K686" s="2424"/>
      <c r="L686" s="2424"/>
      <c r="M686" s="2424"/>
      <c r="N686" s="2424"/>
      <c r="O686" s="2424"/>
      <c r="P686" s="2424"/>
      <c r="Q686" s="2424"/>
      <c r="R686" s="2424"/>
      <c r="S686" s="2425"/>
      <c r="T686" s="2428">
        <f>AK285</f>
        <v>20</v>
      </c>
      <c r="U686" s="2428"/>
      <c r="V686" s="2428"/>
      <c r="W686" s="2428"/>
      <c r="X686" s="2428"/>
      <c r="Y686" s="2428"/>
      <c r="Z686" s="2453">
        <v>15</v>
      </c>
      <c r="AA686" s="2453"/>
      <c r="AB686" s="2453"/>
      <c r="AC686" s="2453"/>
      <c r="AD686" s="2453"/>
      <c r="AE686" s="2453"/>
      <c r="AF686" s="2555"/>
      <c r="AG686" s="2555"/>
      <c r="AH686" s="2555"/>
      <c r="AI686" s="2555"/>
      <c r="AJ686" s="2555"/>
      <c r="AK686" s="2555"/>
      <c r="AL686" s="1307"/>
      <c r="AM686" s="474"/>
    </row>
    <row r="687" spans="1:43">
      <c r="A687" s="964"/>
      <c r="B687" s="965"/>
      <c r="C687" s="966"/>
      <c r="D687" s="967" t="s">
        <v>1642</v>
      </c>
      <c r="E687" s="2424" t="s">
        <v>325</v>
      </c>
      <c r="F687" s="2424"/>
      <c r="G687" s="2424"/>
      <c r="H687" s="2424"/>
      <c r="I687" s="2424"/>
      <c r="J687" s="2424"/>
      <c r="K687" s="2424"/>
      <c r="L687" s="2424"/>
      <c r="M687" s="2424"/>
      <c r="N687" s="2424"/>
      <c r="O687" s="2424"/>
      <c r="P687" s="2424"/>
      <c r="Q687" s="2424"/>
      <c r="R687" s="2424"/>
      <c r="S687" s="2425"/>
      <c r="T687" s="2428">
        <f>AK476</f>
        <v>16</v>
      </c>
      <c r="U687" s="2428"/>
      <c r="V687" s="2428"/>
      <c r="W687" s="2428"/>
      <c r="X687" s="2428"/>
      <c r="Y687" s="2428"/>
      <c r="Z687" s="2453">
        <v>10</v>
      </c>
      <c r="AA687" s="2453"/>
      <c r="AB687" s="2453"/>
      <c r="AC687" s="2453"/>
      <c r="AD687" s="2453"/>
      <c r="AE687" s="2453"/>
      <c r="AF687" s="2555"/>
      <c r="AG687" s="2555"/>
      <c r="AH687" s="2555"/>
      <c r="AI687" s="2555"/>
      <c r="AJ687" s="2555"/>
      <c r="AK687" s="2555"/>
      <c r="AL687" s="1307"/>
      <c r="AM687" s="474"/>
    </row>
    <row r="688" spans="1:43" hidden="1">
      <c r="A688" s="958" t="s">
        <v>134</v>
      </c>
      <c r="B688" s="2422" t="s">
        <v>599</v>
      </c>
      <c r="C688" s="2422"/>
      <c r="D688" s="2422"/>
      <c r="E688" s="2422"/>
      <c r="F688" s="2422"/>
      <c r="G688" s="2422"/>
      <c r="H688" s="2422"/>
      <c r="I688" s="2422"/>
      <c r="J688" s="2422"/>
      <c r="K688" s="2422"/>
      <c r="L688" s="2422"/>
      <c r="M688" s="2422"/>
      <c r="N688" s="2422"/>
      <c r="O688" s="2422"/>
      <c r="P688" s="2422"/>
      <c r="Q688" s="2422"/>
      <c r="R688" s="2422"/>
      <c r="S688" s="2423"/>
      <c r="T688" s="2449"/>
      <c r="U688" s="2449"/>
      <c r="V688" s="2449"/>
      <c r="W688" s="2449"/>
      <c r="X688" s="2449"/>
      <c r="Y688" s="2449"/>
      <c r="Z688" s="1774"/>
      <c r="AA688" s="1774"/>
      <c r="AB688" s="1774"/>
      <c r="AC688" s="1774"/>
      <c r="AD688" s="1774"/>
      <c r="AE688" s="1774"/>
      <c r="AF688" s="1774"/>
      <c r="AG688" s="1774"/>
      <c r="AH688" s="1774"/>
      <c r="AI688" s="1774"/>
      <c r="AJ688" s="1774"/>
      <c r="AK688" s="1774"/>
      <c r="AL688" s="1307"/>
      <c r="AM688" s="474"/>
    </row>
    <row r="689" spans="1:39">
      <c r="A689" s="1390" t="s">
        <v>134</v>
      </c>
      <c r="B689" s="2422" t="s">
        <v>600</v>
      </c>
      <c r="C689" s="2422"/>
      <c r="D689" s="2422"/>
      <c r="E689" s="2422"/>
      <c r="F689" s="2422"/>
      <c r="G689" s="2422"/>
      <c r="H689" s="2422"/>
      <c r="I689" s="2422"/>
      <c r="J689" s="2422"/>
      <c r="K689" s="2422"/>
      <c r="L689" s="2422"/>
      <c r="M689" s="2422"/>
      <c r="N689" s="2422"/>
      <c r="O689" s="2422"/>
      <c r="P689" s="2422"/>
      <c r="Q689" s="2422"/>
      <c r="R689" s="2422"/>
      <c r="S689" s="2423"/>
      <c r="T689" s="2545">
        <f>IF(SUM(T690:Y691)&gt;52,52,SUM(T690:Y691))</f>
        <v>52</v>
      </c>
      <c r="U689" s="2546"/>
      <c r="V689" s="2546"/>
      <c r="W689" s="2546"/>
      <c r="X689" s="2546"/>
      <c r="Y689" s="2546"/>
      <c r="Z689" s="2546">
        <v>52</v>
      </c>
      <c r="AA689" s="2546"/>
      <c r="AB689" s="2546"/>
      <c r="AC689" s="2546"/>
      <c r="AD689" s="2546"/>
      <c r="AE689" s="2546"/>
      <c r="AF689" s="2546">
        <f>$AO$683+$T$691</f>
        <v>52</v>
      </c>
      <c r="AG689" s="2546"/>
      <c r="AH689" s="2546"/>
      <c r="AI689" s="2546"/>
      <c r="AJ689" s="2546"/>
      <c r="AK689" s="2546"/>
      <c r="AL689" s="1307"/>
      <c r="AM689" s="474"/>
    </row>
    <row r="690" spans="1:39">
      <c r="A690" s="968"/>
      <c r="B690" s="970"/>
      <c r="C690" s="971"/>
      <c r="D690" s="972" t="s">
        <v>1643</v>
      </c>
      <c r="E690" s="2424" t="s">
        <v>200</v>
      </c>
      <c r="F690" s="2424"/>
      <c r="G690" s="2424"/>
      <c r="H690" s="2424"/>
      <c r="I690" s="2424"/>
      <c r="J690" s="2424"/>
      <c r="K690" s="2424"/>
      <c r="L690" s="2424"/>
      <c r="M690" s="2424"/>
      <c r="N690" s="2424"/>
      <c r="O690" s="2424"/>
      <c r="P690" s="2424"/>
      <c r="Q690" s="2424"/>
      <c r="R690" s="2424"/>
      <c r="S690" s="2425"/>
      <c r="T690" s="2450">
        <f>AC592</f>
        <v>70</v>
      </c>
      <c r="U690" s="2451"/>
      <c r="V690" s="2451"/>
      <c r="W690" s="2451"/>
      <c r="X690" s="2451"/>
      <c r="Y690" s="2452"/>
      <c r="Z690" s="2450">
        <v>50</v>
      </c>
      <c r="AA690" s="2451"/>
      <c r="AB690" s="2451"/>
      <c r="AC690" s="2451"/>
      <c r="AD690" s="2451"/>
      <c r="AE690" s="2452"/>
      <c r="AF690" s="2550"/>
      <c r="AG690" s="2551"/>
      <c r="AH690" s="2551"/>
      <c r="AI690" s="2551"/>
      <c r="AJ690" s="2551"/>
      <c r="AK690" s="2552"/>
      <c r="AL690" s="1307"/>
      <c r="AM690" s="46"/>
    </row>
    <row r="691" spans="1:39">
      <c r="A691" s="973"/>
      <c r="B691" s="961"/>
      <c r="C691" s="962"/>
      <c r="D691" s="959" t="s">
        <v>1644</v>
      </c>
      <c r="E691" s="2424" t="s">
        <v>297</v>
      </c>
      <c r="F691" s="2424"/>
      <c r="G691" s="2424"/>
      <c r="H691" s="2424"/>
      <c r="I691" s="2424"/>
      <c r="J691" s="2424"/>
      <c r="K691" s="2424"/>
      <c r="L691" s="2424"/>
      <c r="M691" s="2424"/>
      <c r="N691" s="2424"/>
      <c r="O691" s="2424"/>
      <c r="P691" s="2424"/>
      <c r="Q691" s="2424"/>
      <c r="R691" s="2424"/>
      <c r="S691" s="2425"/>
      <c r="T691" s="2387">
        <f>IF(AJ616&gt;0,2,0)</f>
        <v>2</v>
      </c>
      <c r="U691" s="2388"/>
      <c r="V691" s="2388"/>
      <c r="W691" s="2388"/>
      <c r="X691" s="2388"/>
      <c r="Y691" s="2389"/>
      <c r="Z691" s="2364">
        <v>2</v>
      </c>
      <c r="AA691" s="2365"/>
      <c r="AB691" s="2365"/>
      <c r="AC691" s="2365"/>
      <c r="AD691" s="2365"/>
      <c r="AE691" s="2366"/>
      <c r="AF691" s="2566"/>
      <c r="AG691" s="2567"/>
      <c r="AH691" s="2567"/>
      <c r="AI691" s="2567"/>
      <c r="AJ691" s="2567"/>
      <c r="AK691" s="2568"/>
      <c r="AL691" s="1307"/>
      <c r="AM691" s="46"/>
    </row>
    <row r="692" spans="1:39">
      <c r="A692" s="968" t="s">
        <v>135</v>
      </c>
      <c r="B692" s="2422" t="s">
        <v>601</v>
      </c>
      <c r="C692" s="2422"/>
      <c r="D692" s="2422"/>
      <c r="E692" s="2422"/>
      <c r="F692" s="2422"/>
      <c r="G692" s="2422"/>
      <c r="H692" s="2422"/>
      <c r="I692" s="2422"/>
      <c r="J692" s="2422"/>
      <c r="K692" s="2422"/>
      <c r="L692" s="2422"/>
      <c r="M692" s="2422"/>
      <c r="N692" s="2422"/>
      <c r="O692" s="2422"/>
      <c r="P692" s="2422"/>
      <c r="Q692" s="2422"/>
      <c r="R692" s="2422"/>
      <c r="S692" s="2423"/>
      <c r="T692" s="2449">
        <f>AK643</f>
        <v>10</v>
      </c>
      <c r="U692" s="2449"/>
      <c r="V692" s="2449"/>
      <c r="W692" s="2449"/>
      <c r="X692" s="2449"/>
      <c r="Y692" s="2449"/>
      <c r="Z692" s="1774">
        <v>10</v>
      </c>
      <c r="AA692" s="1774"/>
      <c r="AB692" s="1774"/>
      <c r="AC692" s="1774"/>
      <c r="AD692" s="1774"/>
      <c r="AE692" s="1774"/>
      <c r="AF692" s="2086">
        <f>IF(T692&gt;Z692,Z692,T692)</f>
        <v>10</v>
      </c>
      <c r="AG692" s="2087"/>
      <c r="AH692" s="2087"/>
      <c r="AI692" s="2087"/>
      <c r="AJ692" s="2087"/>
      <c r="AK692" s="2106"/>
      <c r="AL692" s="1307"/>
      <c r="AM692" s="205"/>
    </row>
    <row r="693" spans="1:39">
      <c r="A693" s="968" t="s">
        <v>137</v>
      </c>
      <c r="B693" s="2422" t="s">
        <v>1089</v>
      </c>
      <c r="C693" s="2422"/>
      <c r="D693" s="2422"/>
      <c r="E693" s="2422"/>
      <c r="F693" s="2422"/>
      <c r="G693" s="2422"/>
      <c r="H693" s="2422"/>
      <c r="I693" s="2422"/>
      <c r="J693" s="2422"/>
      <c r="K693" s="2422"/>
      <c r="L693" s="2422"/>
      <c r="M693" s="2422"/>
      <c r="N693" s="2422"/>
      <c r="O693" s="2422"/>
      <c r="P693" s="2422"/>
      <c r="Q693" s="2422"/>
      <c r="R693" s="2422"/>
      <c r="S693" s="2423"/>
      <c r="T693" s="2547">
        <f>IF(AK671&gt;2,2,AK671)</f>
        <v>2</v>
      </c>
      <c r="U693" s="2548"/>
      <c r="V693" s="2548"/>
      <c r="W693" s="2548"/>
      <c r="X693" s="2548"/>
      <c r="Y693" s="2549"/>
      <c r="Z693" s="2086">
        <v>2</v>
      </c>
      <c r="AA693" s="2087"/>
      <c r="AB693" s="2087"/>
      <c r="AC693" s="2087"/>
      <c r="AD693" s="2087"/>
      <c r="AE693" s="2106"/>
      <c r="AF693" s="2086">
        <f>IF(T693&gt;Z693,Z693,T693)</f>
        <v>2</v>
      </c>
      <c r="AG693" s="2564"/>
      <c r="AH693" s="2564"/>
      <c r="AI693" s="2564"/>
      <c r="AJ693" s="2564"/>
      <c r="AK693" s="2565"/>
      <c r="AL693" s="358"/>
      <c r="AM693" s="205"/>
    </row>
    <row r="694" spans="1:39">
      <c r="A694" s="2421" t="s">
        <v>327</v>
      </c>
      <c r="B694" s="2422"/>
      <c r="C694" s="2422"/>
      <c r="D694" s="2422"/>
      <c r="E694" s="2422"/>
      <c r="F694" s="2422"/>
      <c r="G694" s="2422"/>
      <c r="H694" s="2422"/>
      <c r="I694" s="2422"/>
      <c r="J694" s="2422"/>
      <c r="K694" s="2422"/>
      <c r="L694" s="2422"/>
      <c r="M694" s="2422"/>
      <c r="N694" s="2422"/>
      <c r="O694" s="2422"/>
      <c r="P694" s="2422"/>
      <c r="Q694" s="2422"/>
      <c r="R694" s="2422"/>
      <c r="S694" s="2423"/>
      <c r="T694" s="2109"/>
      <c r="U694" s="2109"/>
      <c r="V694" s="2109"/>
      <c r="W694" s="2109"/>
      <c r="X694" s="2109"/>
      <c r="Y694" s="2109"/>
      <c r="Z694" s="2453" t="s">
        <v>326</v>
      </c>
      <c r="AA694" s="2453"/>
      <c r="AB694" s="2453"/>
      <c r="AC694" s="2453"/>
      <c r="AD694" s="2453"/>
      <c r="AE694" s="2453"/>
      <c r="AF694" s="2086">
        <f>IF(T694&gt;0,T694,0)</f>
        <v>0</v>
      </c>
      <c r="AG694" s="2087"/>
      <c r="AH694" s="2087"/>
      <c r="AI694" s="2087"/>
      <c r="AJ694" s="2087"/>
      <c r="AK694" s="2106"/>
      <c r="AL694" s="1298"/>
      <c r="AM694" s="205"/>
    </row>
    <row r="695" spans="1:39" ht="15.6">
      <c r="A695" s="2435" t="s">
        <v>788</v>
      </c>
      <c r="B695" s="2436"/>
      <c r="C695" s="2436"/>
      <c r="D695" s="2436"/>
      <c r="E695" s="2436"/>
      <c r="F695" s="2436"/>
      <c r="G695" s="2436"/>
      <c r="H695" s="2436"/>
      <c r="I695" s="2436"/>
      <c r="J695" s="2436"/>
      <c r="K695" s="2436"/>
      <c r="L695" s="2436"/>
      <c r="M695" s="2436"/>
      <c r="N695" s="2436"/>
      <c r="O695" s="2436"/>
      <c r="P695" s="2436"/>
      <c r="Q695" s="2436"/>
      <c r="R695" s="2436"/>
      <c r="S695" s="2436"/>
      <c r="T695" s="2436"/>
      <c r="U695" s="2436"/>
      <c r="V695" s="2436"/>
      <c r="W695" s="2436"/>
      <c r="X695" s="2436"/>
      <c r="Y695" s="2436"/>
      <c r="Z695" s="2436"/>
      <c r="AA695" s="2436"/>
      <c r="AB695" s="2436"/>
      <c r="AC695" s="2436"/>
      <c r="AD695" s="2436"/>
      <c r="AE695" s="2437"/>
      <c r="AF695" s="2556">
        <f>SUM(AF681:AK693)-AF694</f>
        <v>109</v>
      </c>
      <c r="AG695" s="2557"/>
      <c r="AH695" s="2557"/>
      <c r="AI695" s="2557"/>
      <c r="AJ695" s="2557"/>
      <c r="AK695" s="2558"/>
      <c r="AL695" s="1308"/>
      <c r="AM695" s="46"/>
    </row>
    <row r="696" spans="1:39" ht="15.6">
      <c r="A696" s="2438"/>
      <c r="B696" s="2439"/>
      <c r="C696" s="2439"/>
      <c r="D696" s="2439"/>
      <c r="E696" s="2439"/>
      <c r="F696" s="2439"/>
      <c r="G696" s="2439"/>
      <c r="H696" s="2439"/>
      <c r="I696" s="2439"/>
      <c r="J696" s="2439"/>
      <c r="K696" s="2439"/>
      <c r="L696" s="2439"/>
      <c r="M696" s="2439"/>
      <c r="N696" s="2439"/>
      <c r="O696" s="2439"/>
      <c r="P696" s="2439"/>
      <c r="Q696" s="2439"/>
      <c r="R696" s="2439"/>
      <c r="S696" s="2439"/>
      <c r="T696" s="2439"/>
      <c r="U696" s="2439"/>
      <c r="V696" s="2439"/>
      <c r="W696" s="2439"/>
      <c r="X696" s="2439"/>
      <c r="Y696" s="2439"/>
      <c r="Z696" s="2439"/>
      <c r="AA696" s="2439"/>
      <c r="AB696" s="2439"/>
      <c r="AC696" s="2439"/>
      <c r="AD696" s="2439"/>
      <c r="AE696" s="2440"/>
      <c r="AF696" s="2559"/>
      <c r="AG696" s="2560"/>
      <c r="AH696" s="2560"/>
      <c r="AI696" s="2560"/>
      <c r="AJ696" s="2560"/>
      <c r="AK696" s="2561"/>
      <c r="AL696" s="1308"/>
      <c r="AM696" s="46"/>
    </row>
    <row r="697" spans="1:39">
      <c r="A697" s="1630" t="s">
        <v>7</v>
      </c>
      <c r="B697" s="1630"/>
      <c r="C697" s="1630"/>
      <c r="D697" s="1630"/>
      <c r="E697" s="1630"/>
      <c r="F697" s="1630"/>
      <c r="G697" s="1630"/>
      <c r="H697" s="1630"/>
      <c r="I697" s="1630"/>
      <c r="J697" s="1630"/>
      <c r="K697" s="1630"/>
      <c r="L697" s="1630"/>
      <c r="M697" s="1630"/>
      <c r="N697" s="1630"/>
      <c r="O697" s="1630"/>
      <c r="P697" s="1630"/>
      <c r="Q697" s="1630"/>
      <c r="R697" s="1630"/>
      <c r="S697" s="1630"/>
      <c r="T697" s="1630"/>
      <c r="U697" s="1630"/>
      <c r="V697" s="1630"/>
      <c r="W697" s="1630"/>
      <c r="X697" s="1630"/>
      <c r="Y697" s="1630"/>
      <c r="Z697" s="1630"/>
      <c r="AA697" s="1630"/>
      <c r="AB697" s="1630"/>
      <c r="AC697" s="1630"/>
      <c r="AD697" s="1630"/>
      <c r="AE697" s="1630"/>
      <c r="AF697" s="1630"/>
      <c r="AG697" s="1630"/>
      <c r="AH697" s="1630"/>
      <c r="AI697" s="1630"/>
      <c r="AJ697" s="1630"/>
      <c r="AK697" s="1630"/>
      <c r="AL697" s="1630"/>
      <c r="AM697" s="2614"/>
    </row>
    <row r="698" spans="1:39" ht="12.45" customHeight="1">
      <c r="A698" s="1630"/>
      <c r="B698" s="1630"/>
      <c r="C698" s="1630"/>
      <c r="D698" s="1630"/>
      <c r="E698" s="1630"/>
      <c r="F698" s="1630"/>
      <c r="G698" s="1630"/>
      <c r="H698" s="1630"/>
      <c r="I698" s="1630"/>
      <c r="J698" s="1630"/>
      <c r="K698" s="1630"/>
      <c r="L698" s="1630"/>
      <c r="M698" s="1630"/>
      <c r="N698" s="1630"/>
      <c r="O698" s="1630"/>
      <c r="P698" s="1630"/>
      <c r="Q698" s="1630"/>
      <c r="R698" s="1630"/>
      <c r="S698" s="1630"/>
      <c r="T698" s="1630"/>
      <c r="U698" s="1630"/>
      <c r="V698" s="1630"/>
      <c r="W698" s="1630"/>
      <c r="X698" s="1630"/>
      <c r="Y698" s="1630"/>
      <c r="Z698" s="1630"/>
      <c r="AA698" s="1630"/>
      <c r="AB698" s="1630"/>
      <c r="AC698" s="1630"/>
      <c r="AD698" s="1630"/>
      <c r="AE698" s="1630"/>
      <c r="AF698" s="1630"/>
      <c r="AG698" s="1630"/>
      <c r="AH698" s="1630"/>
      <c r="AI698" s="1630"/>
      <c r="AJ698" s="1630"/>
      <c r="AK698" s="1630"/>
      <c r="AL698" s="1630"/>
      <c r="AM698" s="2614"/>
    </row>
    <row r="699" spans="1:39" ht="56.25" customHeight="1">
      <c r="A699" s="1630"/>
      <c r="B699" s="1630"/>
      <c r="C699" s="1630"/>
      <c r="D699" s="1630"/>
      <c r="E699" s="1630"/>
      <c r="F699" s="1630"/>
      <c r="G699" s="1630"/>
      <c r="H699" s="1630"/>
      <c r="I699" s="1630"/>
      <c r="J699" s="1630"/>
      <c r="K699" s="1630"/>
      <c r="L699" s="1630"/>
      <c r="M699" s="1630"/>
      <c r="N699" s="1630"/>
      <c r="O699" s="1630"/>
      <c r="P699" s="1630"/>
      <c r="Q699" s="1630"/>
      <c r="R699" s="1630"/>
      <c r="S699" s="1630"/>
      <c r="T699" s="1630"/>
      <c r="U699" s="1630"/>
      <c r="V699" s="1630"/>
      <c r="W699" s="1630"/>
      <c r="X699" s="1630"/>
      <c r="Y699" s="1630"/>
      <c r="Z699" s="1630"/>
      <c r="AA699" s="1630"/>
      <c r="AB699" s="1630"/>
      <c r="AC699" s="1630"/>
      <c r="AD699" s="1630"/>
      <c r="AE699" s="1630"/>
      <c r="AF699" s="1630"/>
      <c r="AG699" s="1630"/>
      <c r="AH699" s="1630"/>
      <c r="AI699" s="1630"/>
      <c r="AJ699" s="1630"/>
      <c r="AK699" s="1630"/>
      <c r="AL699" s="1630"/>
      <c r="AM699" s="2614"/>
    </row>
    <row r="700" spans="1:39" ht="12.45" hidden="1" customHeight="1">
      <c r="A700" s="1630"/>
      <c r="B700" s="1630"/>
      <c r="C700" s="1630"/>
      <c r="D700" s="1630"/>
      <c r="E700" s="1630"/>
      <c r="F700" s="1630"/>
      <c r="G700" s="1630"/>
      <c r="H700" s="1630"/>
      <c r="I700" s="1630"/>
      <c r="J700" s="1630"/>
      <c r="K700" s="1630"/>
      <c r="L700" s="1630"/>
      <c r="M700" s="1630"/>
      <c r="N700" s="1630"/>
      <c r="O700" s="1630"/>
      <c r="P700" s="1630"/>
      <c r="Q700" s="1630"/>
      <c r="R700" s="1630"/>
      <c r="S700" s="1630"/>
      <c r="T700" s="1630"/>
      <c r="U700" s="1630"/>
      <c r="V700" s="1630"/>
      <c r="W700" s="1630"/>
      <c r="X700" s="1630"/>
      <c r="Y700" s="1630"/>
      <c r="Z700" s="1630"/>
      <c r="AA700" s="1630"/>
      <c r="AB700" s="1630"/>
      <c r="AC700" s="1630"/>
      <c r="AD700" s="1630"/>
      <c r="AE700" s="1630"/>
      <c r="AF700" s="1630"/>
      <c r="AG700" s="1630"/>
      <c r="AH700" s="1630"/>
      <c r="AI700" s="1630"/>
      <c r="AJ700" s="1630"/>
      <c r="AK700" s="1630"/>
      <c r="AL700" s="1630"/>
      <c r="AM700" s="2614"/>
    </row>
    <row r="701" spans="1:39" ht="12.45" hidden="1" customHeight="1">
      <c r="A701" s="1630"/>
      <c r="B701" s="1630"/>
      <c r="C701" s="1630"/>
      <c r="D701" s="1630"/>
      <c r="E701" s="1630"/>
      <c r="F701" s="1630"/>
      <c r="G701" s="1630"/>
      <c r="H701" s="1630"/>
      <c r="I701" s="1630"/>
      <c r="J701" s="1630"/>
      <c r="K701" s="1630"/>
      <c r="L701" s="1630"/>
      <c r="M701" s="1630"/>
      <c r="N701" s="1630"/>
      <c r="O701" s="1630"/>
      <c r="P701" s="1630"/>
      <c r="Q701" s="1630"/>
      <c r="R701" s="1630"/>
      <c r="S701" s="1630"/>
      <c r="T701" s="1630"/>
      <c r="U701" s="1630"/>
      <c r="V701" s="1630"/>
      <c r="W701" s="1630"/>
      <c r="X701" s="1630"/>
      <c r="Y701" s="1630"/>
      <c r="Z701" s="1630"/>
      <c r="AA701" s="1630"/>
      <c r="AB701" s="1630"/>
      <c r="AC701" s="1630"/>
      <c r="AD701" s="1630"/>
      <c r="AE701" s="1630"/>
      <c r="AF701" s="1630"/>
      <c r="AG701" s="1630"/>
      <c r="AH701" s="1630"/>
      <c r="AI701" s="1630"/>
      <c r="AJ701" s="1630"/>
      <c r="AK701" s="1630"/>
      <c r="AL701" s="1630"/>
      <c r="AM701" s="2614"/>
    </row>
    <row r="702" spans="1:39" ht="12.45" hidden="1" customHeight="1">
      <c r="A702" s="1630"/>
      <c r="B702" s="1630"/>
      <c r="C702" s="1630"/>
      <c r="D702" s="1630"/>
      <c r="E702" s="1630"/>
      <c r="F702" s="1630"/>
      <c r="G702" s="1630"/>
      <c r="H702" s="1630"/>
      <c r="I702" s="1630"/>
      <c r="J702" s="1630"/>
      <c r="K702" s="1630"/>
      <c r="L702" s="1630"/>
      <c r="M702" s="1630"/>
      <c r="N702" s="1630"/>
      <c r="O702" s="1630"/>
      <c r="P702" s="1630"/>
      <c r="Q702" s="1630"/>
      <c r="R702" s="1630"/>
      <c r="S702" s="1630"/>
      <c r="T702" s="1630"/>
      <c r="U702" s="1630"/>
      <c r="V702" s="1630"/>
      <c r="W702" s="1630"/>
      <c r="X702" s="1630"/>
      <c r="Y702" s="1630"/>
      <c r="Z702" s="1630"/>
      <c r="AA702" s="1630"/>
      <c r="AB702" s="1630"/>
      <c r="AC702" s="1630"/>
      <c r="AD702" s="1630"/>
      <c r="AE702" s="1630"/>
      <c r="AF702" s="1630"/>
      <c r="AG702" s="1630"/>
      <c r="AH702" s="1630"/>
      <c r="AI702" s="1630"/>
      <c r="AJ702" s="1630"/>
      <c r="AK702" s="1630"/>
      <c r="AL702" s="1630"/>
      <c r="AM702" s="261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6" zoomScaleNormal="100" zoomScaleSheetLayoutView="80" workbookViewId="0">
      <selection activeCell="F15" sqref="F15"/>
    </sheetView>
  </sheetViews>
  <sheetFormatPr defaultColWidth="9" defaultRowHeight="13.8" zeroHeight="1"/>
  <cols>
    <col min="1" max="2" width="2.44140625" style="449" customWidth="1"/>
    <col min="3" max="3" width="3.6640625" style="449" customWidth="1"/>
    <col min="4" max="4" width="15.44140625" style="449" customWidth="1"/>
    <col min="5" max="5" width="32.44140625" style="449" customWidth="1"/>
    <col min="6" max="8" width="15.44140625" style="449" customWidth="1"/>
    <col min="9" max="9" width="40.44140625" style="449" customWidth="1"/>
    <col min="10" max="10" width="30.44140625" style="449" customWidth="1"/>
    <col min="11" max="13" width="2.44140625" style="449" customWidth="1"/>
    <col min="14" max="14" width="29.6640625" style="449" customWidth="1"/>
    <col min="15" max="24" width="2.44140625" style="449" customWidth="1"/>
    <col min="25" max="33" width="9" style="449" customWidth="1"/>
    <col min="34" max="16384" width="9" style="449"/>
  </cols>
  <sheetData>
    <row r="1" spans="1:33">
      <c r="A1" s="2623" t="s">
        <v>129</v>
      </c>
      <c r="B1" s="2623"/>
      <c r="C1" s="2623"/>
      <c r="D1" s="2623"/>
      <c r="E1" s="2623"/>
      <c r="F1" s="2623"/>
      <c r="G1" s="2623"/>
      <c r="H1" s="2623"/>
      <c r="I1" s="2623"/>
      <c r="J1" s="2623"/>
      <c r="K1" s="2623"/>
      <c r="L1" s="448"/>
      <c r="M1" s="448"/>
      <c r="N1" s="448"/>
      <c r="O1" s="448"/>
      <c r="P1" s="448"/>
      <c r="Q1" s="448"/>
      <c r="R1" s="448"/>
      <c r="S1" s="448"/>
      <c r="T1" s="448"/>
      <c r="U1" s="448"/>
      <c r="V1" s="448"/>
      <c r="W1" s="448"/>
      <c r="X1" s="448"/>
      <c r="Y1" s="448"/>
      <c r="Z1" s="448"/>
      <c r="AA1" s="448"/>
      <c r="AB1" s="448"/>
      <c r="AC1" s="448"/>
      <c r="AD1" s="448"/>
      <c r="AE1" s="448"/>
      <c r="AF1" s="448"/>
      <c r="AG1" s="448"/>
    </row>
    <row r="2" spans="1:33">
      <c r="A2" s="2623"/>
      <c r="B2" s="2623"/>
      <c r="C2" s="2623"/>
      <c r="D2" s="2623"/>
      <c r="E2" s="2623"/>
      <c r="F2" s="2623"/>
      <c r="G2" s="2623"/>
      <c r="H2" s="2623"/>
      <c r="I2" s="2623"/>
      <c r="J2" s="2623"/>
      <c r="K2" s="262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5" t="s">
        <v>654</v>
      </c>
      <c r="D4" s="2635"/>
      <c r="E4" s="2635"/>
      <c r="F4" s="2635"/>
      <c r="G4" s="2635"/>
      <c r="H4" s="2635"/>
      <c r="I4" s="2635"/>
      <c r="J4" s="2635"/>
    </row>
    <row r="5" spans="1:33">
      <c r="C5" s="2635"/>
      <c r="D5" s="2635"/>
      <c r="E5" s="2635"/>
      <c r="F5" s="2635"/>
      <c r="G5" s="2635"/>
      <c r="H5" s="2635"/>
      <c r="I5" s="2635"/>
      <c r="J5" s="2635"/>
    </row>
    <row r="6" spans="1:33">
      <c r="C6" s="462"/>
      <c r="D6" s="462"/>
      <c r="E6" s="462"/>
      <c r="F6" s="462"/>
      <c r="G6" s="462"/>
      <c r="H6" s="462"/>
      <c r="I6" s="462"/>
      <c r="J6" s="462"/>
    </row>
    <row r="7" spans="1:33">
      <c r="C7" s="463" t="s">
        <v>814</v>
      </c>
      <c r="D7" s="462"/>
      <c r="E7" s="2630" t="str">
        <f>Application!H15</f>
        <v>Burbank Housing Development Corporation</v>
      </c>
      <c r="F7" s="2630"/>
      <c r="G7" s="2630"/>
      <c r="H7" s="462"/>
      <c r="I7" s="463" t="s">
        <v>1947</v>
      </c>
      <c r="J7" s="1092">
        <f>Application!AG433+Application!AG431</f>
        <v>88</v>
      </c>
    </row>
    <row r="8" spans="1:33">
      <c r="C8" s="463" t="s">
        <v>815</v>
      </c>
      <c r="D8" s="462"/>
      <c r="E8" s="2630" t="str">
        <f>Application!H17</f>
        <v>Heritage House &amp; Valle Verde</v>
      </c>
      <c r="F8" s="2630"/>
      <c r="G8" s="2630"/>
      <c r="H8" s="462"/>
      <c r="I8" s="463" t="s">
        <v>1948</v>
      </c>
      <c r="J8" s="1095">
        <f>Application!$CQ$650</f>
        <v>104</v>
      </c>
    </row>
    <row r="9" spans="1:33" ht="14.25" customHeight="1">
      <c r="C9" s="463" t="s">
        <v>816</v>
      </c>
      <c r="D9" s="462"/>
      <c r="E9" s="2636" t="str">
        <f>Application!D214</f>
        <v>Special Needs</v>
      </c>
      <c r="F9" s="2636"/>
      <c r="G9" s="2636"/>
      <c r="H9" s="462"/>
      <c r="I9" s="463" t="s">
        <v>1949</v>
      </c>
      <c r="J9" s="730">
        <v>44</v>
      </c>
      <c r="N9" s="1091"/>
    </row>
    <row r="10" spans="1:33" ht="26.7" customHeight="1">
      <c r="C10" s="2635" t="s">
        <v>1946</v>
      </c>
      <c r="D10" s="2635"/>
      <c r="E10" s="2637" t="str">
        <f>Application!$E$217</f>
        <v>At least 20% 1-bedroom units and 10% larger than 1-bedroom units</v>
      </c>
      <c r="F10" s="2637"/>
      <c r="G10" s="2637"/>
      <c r="H10" s="1089"/>
      <c r="I10" s="1094" t="s">
        <v>1950</v>
      </c>
      <c r="J10" s="1093">
        <f>IF(J9&gt;0,J8-J9,J8)</f>
        <v>60</v>
      </c>
      <c r="N10" s="1091"/>
    </row>
    <row r="11" spans="1:33">
      <c r="C11" s="451"/>
      <c r="N11" s="1091"/>
    </row>
    <row r="12" spans="1:33" ht="15" customHeight="1">
      <c r="C12" s="2624" t="s">
        <v>960</v>
      </c>
      <c r="D12" s="2625"/>
      <c r="E12" s="2626"/>
      <c r="F12" s="2631" t="s">
        <v>1219</v>
      </c>
      <c r="G12" s="2631" t="s">
        <v>961</v>
      </c>
      <c r="H12" s="2633" t="s">
        <v>2067</v>
      </c>
      <c r="I12" s="2631" t="s">
        <v>1220</v>
      </c>
      <c r="J12" s="2631" t="s">
        <v>2066</v>
      </c>
      <c r="N12" s="1091"/>
    </row>
    <row r="13" spans="1:33" ht="68.25" customHeight="1">
      <c r="C13" s="2627"/>
      <c r="D13" s="2628"/>
      <c r="E13" s="2629"/>
      <c r="F13" s="2632"/>
      <c r="G13" s="2632"/>
      <c r="H13" s="2634"/>
      <c r="I13" s="2632"/>
      <c r="J13" s="2632"/>
    </row>
    <row r="14" spans="1:33" ht="15" customHeight="1">
      <c r="C14" s="1107" t="s">
        <v>2208</v>
      </c>
      <c r="D14" s="1108"/>
      <c r="E14" s="1108"/>
      <c r="F14" s="1105"/>
      <c r="G14" s="1105"/>
      <c r="H14" s="1106"/>
      <c r="I14" s="1106"/>
      <c r="J14" s="1106"/>
    </row>
    <row r="15" spans="1:33">
      <c r="C15" s="452" t="s">
        <v>962</v>
      </c>
      <c r="D15" s="449" t="s">
        <v>972</v>
      </c>
      <c r="F15" s="459" t="s">
        <v>2564</v>
      </c>
      <c r="G15" s="460">
        <v>55000</v>
      </c>
      <c r="H15" s="640" t="s">
        <v>2548</v>
      </c>
      <c r="I15" s="640" t="s">
        <v>2549</v>
      </c>
      <c r="J15" s="640" t="s">
        <v>2550</v>
      </c>
    </row>
    <row r="16" spans="1:33">
      <c r="C16" s="452" t="s">
        <v>963</v>
      </c>
      <c r="D16" s="449" t="s">
        <v>973</v>
      </c>
      <c r="F16" s="459"/>
      <c r="G16" s="637"/>
      <c r="H16" s="640"/>
      <c r="I16" s="640"/>
      <c r="J16" s="640"/>
    </row>
    <row r="17" spans="3:10">
      <c r="C17" s="452" t="s">
        <v>964</v>
      </c>
      <c r="D17" s="449" t="s">
        <v>1118</v>
      </c>
      <c r="F17" s="459" t="s">
        <v>2554</v>
      </c>
      <c r="G17" s="637" t="s">
        <v>2555</v>
      </c>
      <c r="H17" s="640" t="s">
        <v>2548</v>
      </c>
      <c r="I17" s="640" t="s">
        <v>2549</v>
      </c>
      <c r="J17" s="640" t="s">
        <v>2550</v>
      </c>
    </row>
    <row r="18" spans="3:10">
      <c r="C18" s="452" t="s">
        <v>965</v>
      </c>
      <c r="D18" s="450" t="s">
        <v>1119</v>
      </c>
      <c r="E18" s="450"/>
      <c r="F18" s="459"/>
      <c r="G18" s="637"/>
      <c r="H18" s="640"/>
      <c r="I18" s="640"/>
      <c r="J18" s="640"/>
    </row>
    <row r="19" spans="3:10">
      <c r="C19" s="452" t="s">
        <v>966</v>
      </c>
      <c r="D19" s="450" t="s">
        <v>386</v>
      </c>
      <c r="E19" s="450"/>
      <c r="F19" s="459"/>
      <c r="G19" s="637"/>
      <c r="H19" s="640"/>
      <c r="I19" s="640"/>
      <c r="J19" s="640"/>
    </row>
    <row r="20" spans="3:10">
      <c r="C20" s="452" t="s">
        <v>967</v>
      </c>
      <c r="D20" s="450" t="s">
        <v>387</v>
      </c>
      <c r="E20" s="1119"/>
      <c r="F20" s="1118"/>
      <c r="G20" s="637"/>
      <c r="H20" s="640"/>
      <c r="I20" s="640"/>
      <c r="J20" s="640"/>
    </row>
    <row r="21" spans="3:10">
      <c r="C21" s="1096"/>
      <c r="D21" s="1097"/>
      <c r="E21" s="1098"/>
      <c r="F21" s="1118"/>
      <c r="G21" s="637"/>
      <c r="H21" s="640"/>
      <c r="I21" s="640"/>
      <c r="J21" s="640"/>
    </row>
    <row r="22" spans="3:10">
      <c r="C22" s="1109" t="s">
        <v>1890</v>
      </c>
      <c r="D22" s="1110"/>
      <c r="E22" s="1110"/>
      <c r="F22" s="1111"/>
      <c r="G22" s="1112"/>
      <c r="H22" s="1113"/>
      <c r="I22" s="1113"/>
      <c r="J22" s="1113"/>
    </row>
    <row r="23" spans="3:10">
      <c r="C23" s="452" t="s">
        <v>968</v>
      </c>
      <c r="D23" s="450" t="s">
        <v>1120</v>
      </c>
      <c r="E23" s="450"/>
      <c r="F23" s="459" t="s">
        <v>2565</v>
      </c>
      <c r="G23" s="637">
        <v>81250</v>
      </c>
      <c r="H23" s="640" t="s">
        <v>2548</v>
      </c>
      <c r="I23" s="640" t="s">
        <v>2549</v>
      </c>
      <c r="J23" s="640" t="s">
        <v>2550</v>
      </c>
    </row>
    <row r="24" spans="3:10">
      <c r="C24" s="452" t="s">
        <v>969</v>
      </c>
      <c r="D24" s="450" t="s">
        <v>1121</v>
      </c>
      <c r="E24" s="450"/>
      <c r="F24" s="459"/>
      <c r="G24" s="637"/>
      <c r="H24" s="640"/>
      <c r="I24" s="640"/>
      <c r="J24" s="640"/>
    </row>
    <row r="25" spans="3:10">
      <c r="C25" s="452" t="s">
        <v>970</v>
      </c>
      <c r="D25" s="449" t="s">
        <v>1118</v>
      </c>
      <c r="E25" s="450"/>
      <c r="F25" s="459" t="s">
        <v>2554</v>
      </c>
      <c r="G25" s="637" t="s">
        <v>2555</v>
      </c>
      <c r="H25" s="640" t="s">
        <v>2548</v>
      </c>
      <c r="I25" s="640" t="s">
        <v>2549</v>
      </c>
      <c r="J25" s="640" t="s">
        <v>2550</v>
      </c>
    </row>
    <row r="26" spans="3:10">
      <c r="C26" s="452" t="s">
        <v>1122</v>
      </c>
      <c r="D26" s="450" t="s">
        <v>1964</v>
      </c>
      <c r="E26" s="450"/>
      <c r="F26" s="459"/>
      <c r="G26" s="637"/>
      <c r="H26" s="640"/>
      <c r="I26" s="640"/>
      <c r="J26" s="640"/>
    </row>
    <row r="27" spans="3:10">
      <c r="C27" s="452" t="s">
        <v>1123</v>
      </c>
      <c r="D27" s="450" t="s">
        <v>386</v>
      </c>
      <c r="E27" s="450"/>
      <c r="F27" s="459"/>
      <c r="G27" s="637"/>
      <c r="H27" s="640"/>
      <c r="I27" s="640"/>
      <c r="J27" s="640"/>
    </row>
    <row r="28" spans="3:10">
      <c r="C28" s="452" t="s">
        <v>1124</v>
      </c>
      <c r="D28" s="450" t="s">
        <v>387</v>
      </c>
      <c r="E28" s="450"/>
      <c r="F28" s="459"/>
      <c r="G28" s="637"/>
      <c r="H28" s="640"/>
      <c r="I28" s="640"/>
      <c r="J28" s="640"/>
    </row>
    <row r="29" spans="3:10">
      <c r="C29" s="1120"/>
      <c r="D29" s="451"/>
      <c r="E29" s="451"/>
      <c r="F29" s="459"/>
      <c r="G29" s="637"/>
      <c r="H29" s="640"/>
      <c r="I29" s="640"/>
      <c r="J29" s="640"/>
    </row>
    <row r="30" spans="3:10">
      <c r="C30" s="1114" t="s">
        <v>971</v>
      </c>
      <c r="D30" s="1110"/>
      <c r="E30" s="1110"/>
      <c r="F30" s="1115"/>
      <c r="G30" s="1116"/>
      <c r="H30" s="1117"/>
      <c r="I30" s="1117"/>
      <c r="J30" s="1117"/>
    </row>
    <row r="31" spans="3:10">
      <c r="C31" s="452"/>
      <c r="D31" s="457" t="s">
        <v>2551</v>
      </c>
      <c r="E31" s="457"/>
      <c r="F31" s="459" t="s">
        <v>2566</v>
      </c>
      <c r="G31" s="637">
        <v>22500</v>
      </c>
      <c r="H31" s="640" t="s">
        <v>2548</v>
      </c>
      <c r="I31" s="640" t="s">
        <v>2549</v>
      </c>
      <c r="J31" s="640" t="s">
        <v>2550</v>
      </c>
    </row>
    <row r="32" spans="3:10">
      <c r="C32" s="452"/>
      <c r="D32" s="457" t="s">
        <v>2552</v>
      </c>
      <c r="E32" s="457"/>
      <c r="F32" s="459"/>
      <c r="G32" s="637">
        <v>39688</v>
      </c>
      <c r="H32" s="640" t="s">
        <v>2548</v>
      </c>
      <c r="I32" s="640" t="s">
        <v>2549</v>
      </c>
      <c r="J32" s="640" t="s">
        <v>2550</v>
      </c>
    </row>
    <row r="33" spans="3:10">
      <c r="C33" s="452"/>
      <c r="D33" s="458" t="s">
        <v>2553</v>
      </c>
      <c r="E33" s="457"/>
      <c r="F33" s="459"/>
      <c r="G33" s="637">
        <v>56346</v>
      </c>
      <c r="H33" s="640" t="s">
        <v>2548</v>
      </c>
      <c r="I33" s="640" t="s">
        <v>2549</v>
      </c>
      <c r="J33" s="640" t="s">
        <v>2550</v>
      </c>
    </row>
    <row r="34" spans="3:10">
      <c r="C34" s="452"/>
      <c r="F34" s="453"/>
      <c r="G34" s="453"/>
      <c r="H34" s="453"/>
      <c r="I34" s="453"/>
      <c r="J34" s="453"/>
    </row>
    <row r="35" spans="3:10">
      <c r="C35" s="454" t="s">
        <v>974</v>
      </c>
      <c r="D35" s="455"/>
      <c r="E35" s="455"/>
      <c r="F35" s="638"/>
      <c r="G35" s="456">
        <f>SUM(G15:G33)</f>
        <v>254784</v>
      </c>
      <c r="H35" s="639"/>
      <c r="I35" s="639"/>
      <c r="J35" s="639"/>
    </row>
    <row r="36" spans="3:10"/>
    <row r="37" spans="3:10" ht="16.2">
      <c r="C37" s="447" t="s">
        <v>1965</v>
      </c>
    </row>
    <row r="38" spans="3:10" s="461" customFormat="1" ht="17.25" customHeight="1">
      <c r="C38" s="476" t="s">
        <v>2068</v>
      </c>
    </row>
    <row r="39" spans="3:10" s="461" customFormat="1" ht="14.4">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Sheet1</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 Caballero</cp:lastModifiedBy>
  <cp:lastPrinted>2021-01-13T01:22:16Z</cp:lastPrinted>
  <dcterms:created xsi:type="dcterms:W3CDTF">2007-12-27T18:26:28Z</dcterms:created>
  <dcterms:modified xsi:type="dcterms:W3CDTF">2021-07-01T20:58:49Z</dcterms:modified>
</cp:coreProperties>
</file>