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 - 4th Corner Union Bank\4th Corner\Project Management\Funding Applications\2021 TCAC 9_2ND ROUND 7.1.21\FINAL APPLICATION\"/>
    </mc:Choice>
  </mc:AlternateContent>
  <xr:revisionPtr revIDLastSave="0" documentId="8_{4CA1831D-8BBF-4383-A3B8-AC4C23D15FD2}" xr6:coauthVersionLast="47" xr6:coauthVersionMax="47" xr10:uidLastSave="{00000000-0000-0000-0000-000000000000}"/>
  <bookViews>
    <workbookView xWindow="-120" yWindow="-120" windowWidth="20730" windowHeight="11160"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 i="9" l="1"/>
  <c r="E5" i="4" l="1"/>
  <c r="O632" i="3" l="1"/>
  <c r="S83" i="4" l="1"/>
  <c r="T21" i="5"/>
  <c r="AC864" i="3"/>
  <c r="C74" i="4"/>
  <c r="E102" i="4"/>
  <c r="E101" i="4"/>
  <c r="E100" i="4"/>
  <c r="E99" i="4"/>
  <c r="E98" i="4"/>
  <c r="E94" i="4"/>
  <c r="E93" i="4"/>
  <c r="E92" i="4"/>
  <c r="E91" i="4"/>
  <c r="E90" i="4"/>
  <c r="E89" i="4"/>
  <c r="E88" i="4"/>
  <c r="E87" i="4"/>
  <c r="E86" i="4"/>
  <c r="E85" i="4"/>
  <c r="E84" i="4"/>
  <c r="E83" i="4"/>
  <c r="E82" i="4"/>
  <c r="E79" i="4"/>
  <c r="E75" i="4"/>
  <c r="E73" i="4"/>
  <c r="E72" i="4"/>
  <c r="E71" i="4"/>
  <c r="E68" i="4"/>
  <c r="E67" i="4"/>
  <c r="E66" i="4"/>
  <c r="E65" i="4"/>
  <c r="E64" i="4"/>
  <c r="E60" i="4"/>
  <c r="E59" i="4"/>
  <c r="E58" i="4"/>
  <c r="E57" i="4"/>
  <c r="E56"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4" i="4"/>
  <c r="C52" i="4"/>
  <c r="C92" i="4"/>
  <c r="C49" i="4"/>
  <c r="AA911" i="3" l="1"/>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D102" i="15"/>
  <c r="B103" i="15"/>
  <c r="C103" i="15"/>
  <c r="D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E94" i="15" s="1"/>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01" i="15" l="1"/>
  <c r="E103" i="15"/>
  <c r="E66" i="15"/>
  <c r="E25" i="15"/>
  <c r="E34" i="15"/>
  <c r="E74" i="15"/>
  <c r="E75" i="15"/>
  <c r="E85" i="15"/>
  <c r="E53" i="15"/>
  <c r="E49" i="15"/>
  <c r="E69" i="15"/>
  <c r="E95" i="15"/>
  <c r="E102" i="15"/>
  <c r="E2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8" i="25" s="1"/>
  <c r="G91" i="25"/>
  <c r="G92" i="25"/>
  <c r="G93" i="25"/>
  <c r="G94" i="25"/>
  <c r="G95" i="25"/>
  <c r="G96" i="25"/>
  <c r="G97" i="25"/>
  <c r="Q91" i="25"/>
  <c r="Q93" i="25" s="1"/>
  <c r="B15" i="4"/>
  <c r="AB47" i="27" s="1"/>
  <c r="Q48" i="25"/>
  <c r="D8" i="4"/>
  <c r="D11" i="4"/>
  <c r="D26" i="4"/>
  <c r="B26" i="4" s="1"/>
  <c r="D38" i="4"/>
  <c r="D42" i="4"/>
  <c r="D53" i="4"/>
  <c r="D61" i="4"/>
  <c r="D69" i="4"/>
  <c r="D76" i="4"/>
  <c r="D80" i="4"/>
  <c r="B80" i="4" s="1"/>
  <c r="D95" i="4"/>
  <c r="B95" i="4" s="1"/>
  <c r="D103" i="4"/>
  <c r="C8" i="4"/>
  <c r="B8" i="4" s="1"/>
  <c r="C11" i="4"/>
  <c r="C26" i="4"/>
  <c r="C38" i="4"/>
  <c r="C42" i="4"/>
  <c r="C53" i="4"/>
  <c r="B52" i="18" s="1"/>
  <c r="C61" i="4"/>
  <c r="B60" i="18" s="1"/>
  <c r="C69" i="4"/>
  <c r="C76" i="4"/>
  <c r="C80" i="4"/>
  <c r="B79" i="18" s="1"/>
  <c r="C95" i="4"/>
  <c r="B94" i="18" s="1"/>
  <c r="C103" i="4"/>
  <c r="C65" i="25"/>
  <c r="C66" i="25"/>
  <c r="G67" i="25" s="1"/>
  <c r="Y20" i="5"/>
  <c r="Y22" i="5"/>
  <c r="AI20" i="5"/>
  <c r="S26" i="4"/>
  <c r="F25" i="18"/>
  <c r="F37" i="18"/>
  <c r="F41" i="18"/>
  <c r="F52" i="18"/>
  <c r="F68" i="18"/>
  <c r="F79" i="18"/>
  <c r="F94" i="18"/>
  <c r="F102" i="18"/>
  <c r="T20" i="5"/>
  <c r="T22" i="5"/>
  <c r="T26" i="4"/>
  <c r="T38" i="4"/>
  <c r="H37" i="18" s="1"/>
  <c r="T42" i="4"/>
  <c r="H41" i="18" s="1"/>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20" i="27" s="1"/>
  <c r="Y22" i="27" s="1"/>
  <c r="Y14" i="27"/>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20" i="26" s="1"/>
  <c r="Y22" i="26" s="1"/>
  <c r="Y14" i="26"/>
  <c r="Y15" i="26"/>
  <c r="Y16" i="26"/>
  <c r="Y17" i="26"/>
  <c r="Y18" i="26"/>
  <c r="Y19" i="26"/>
  <c r="AD13" i="26"/>
  <c r="AD20" i="26" s="1"/>
  <c r="AD22" i="26" s="1"/>
  <c r="AI13" i="26"/>
  <c r="T14" i="26"/>
  <c r="AD14" i="26"/>
  <c r="AI14" i="26"/>
  <c r="T15" i="26"/>
  <c r="AD15" i="26"/>
  <c r="AI15" i="26"/>
  <c r="T16" i="26"/>
  <c r="AD16" i="26"/>
  <c r="AI16" i="26"/>
  <c r="T17" i="26"/>
  <c r="AD17" i="26"/>
  <c r="AI17" i="26"/>
  <c r="T18" i="26"/>
  <c r="AD18" i="26"/>
  <c r="AI18" i="26"/>
  <c r="T19" i="26"/>
  <c r="AD19" i="26"/>
  <c r="AI19" i="26"/>
  <c r="AD67" i="26"/>
  <c r="AI20"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B78" i="18"/>
  <c r="E78" i="18"/>
  <c r="H78" i="18"/>
  <c r="B79" i="4"/>
  <c r="B78" i="4"/>
  <c r="E78" i="4" s="1"/>
  <c r="R78" i="4" s="1"/>
  <c r="S78" i="4" s="1"/>
  <c r="R79" i="4"/>
  <c r="S79" i="4" s="1"/>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0" i="18"/>
  <c r="E89" i="18"/>
  <c r="E88" i="18"/>
  <c r="E85" i="18"/>
  <c r="E84" i="18"/>
  <c r="E83" i="18"/>
  <c r="E82" i="18"/>
  <c r="E63" i="18"/>
  <c r="E50" i="18"/>
  <c r="E46" i="18"/>
  <c r="E44" i="18"/>
  <c r="E40" i="18"/>
  <c r="E36" i="18"/>
  <c r="E33" i="18"/>
  <c r="E32"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S85" i="4" s="1"/>
  <c r="S95" i="4" s="1"/>
  <c r="E94" i="18" s="1"/>
  <c r="R86" i="4"/>
  <c r="R87" i="4"/>
  <c r="R88" i="4"/>
  <c r="S88" i="4" s="1"/>
  <c r="E87" i="18" s="1"/>
  <c r="R89" i="4"/>
  <c r="R90" i="4"/>
  <c r="R91" i="4"/>
  <c r="R92" i="4"/>
  <c r="S92" i="4" s="1"/>
  <c r="E91" i="18" s="1"/>
  <c r="R93" i="4"/>
  <c r="R60" i="4"/>
  <c r="R59" i="4"/>
  <c r="R58" i="4"/>
  <c r="R57" i="4"/>
  <c r="R56" i="4"/>
  <c r="R52" i="4"/>
  <c r="S52" i="4" s="1"/>
  <c r="E51" i="18" s="1"/>
  <c r="R51" i="4"/>
  <c r="S51" i="4" s="1"/>
  <c r="R50" i="4"/>
  <c r="S50" i="4" s="1"/>
  <c r="E49" i="18" s="1"/>
  <c r="R49" i="4"/>
  <c r="S49" i="4" s="1"/>
  <c r="E48" i="18" s="1"/>
  <c r="R48" i="4"/>
  <c r="S48" i="4" s="1"/>
  <c r="E47" i="18" s="1"/>
  <c r="R47" i="4"/>
  <c r="R46" i="4"/>
  <c r="S46" i="4" s="1"/>
  <c r="S53" i="4" s="1"/>
  <c r="E52" i="18" s="1"/>
  <c r="R45" i="4"/>
  <c r="R43" i="4"/>
  <c r="S43" i="4" s="1"/>
  <c r="E42" i="18" s="1"/>
  <c r="R41" i="4"/>
  <c r="R40" i="4"/>
  <c r="S40" i="4" s="1"/>
  <c r="S42" i="4" s="1"/>
  <c r="E41" i="18" s="1"/>
  <c r="R37" i="4"/>
  <c r="R35" i="4"/>
  <c r="S35" i="4" s="1"/>
  <c r="E34" i="18" s="1"/>
  <c r="R34" i="4"/>
  <c r="R33" i="4"/>
  <c r="R32" i="4"/>
  <c r="S32" i="4" s="1"/>
  <c r="E31" i="18" s="1"/>
  <c r="R30" i="4"/>
  <c r="S30" i="4" s="1"/>
  <c r="E29" i="18" s="1"/>
  <c r="R31" i="4"/>
  <c r="S31" i="4" s="1"/>
  <c r="E30" i="18" s="1"/>
  <c r="R29" i="4"/>
  <c r="S29" i="4" s="1"/>
  <c r="E28" i="18" s="1"/>
  <c r="R27" i="4"/>
  <c r="R25" i="4"/>
  <c r="R23" i="4"/>
  <c r="R22" i="4"/>
  <c r="R21" i="4"/>
  <c r="R20" i="4"/>
  <c r="R19" i="4"/>
  <c r="R18" i="4"/>
  <c r="R17" i="4"/>
  <c r="R15" i="4"/>
  <c r="R14" i="4"/>
  <c r="R13" i="4"/>
  <c r="S13" i="4" s="1"/>
  <c r="E13" i="18" s="1"/>
  <c r="R7" i="4"/>
  <c r="R6" i="4"/>
  <c r="D5" i="15"/>
  <c r="D6" i="15"/>
  <c r="D7" i="15"/>
  <c r="D8" i="15"/>
  <c r="D10" i="15"/>
  <c r="D11" i="15"/>
  <c r="D14" i="15"/>
  <c r="D15" i="15"/>
  <c r="D16" i="15"/>
  <c r="D18" i="15"/>
  <c r="H25"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E55" i="4" s="1"/>
  <c r="E61" i="4" s="1"/>
  <c r="B56" i="4"/>
  <c r="B57" i="4"/>
  <c r="B58" i="4"/>
  <c r="B59" i="4"/>
  <c r="B60" i="4"/>
  <c r="G61" i="4"/>
  <c r="H61" i="4"/>
  <c r="B64" i="4"/>
  <c r="R64" i="4"/>
  <c r="S64" i="4" s="1"/>
  <c r="S69" i="4" s="1"/>
  <c r="E68" i="18" s="1"/>
  <c r="B68" i="4"/>
  <c r="R68" i="4"/>
  <c r="S68" i="4" s="1"/>
  <c r="E67" i="18" s="1"/>
  <c r="E69" i="4"/>
  <c r="G69" i="4"/>
  <c r="H69" i="4"/>
  <c r="B71" i="4"/>
  <c r="B72" i="4"/>
  <c r="B73" i="4"/>
  <c r="B74" i="4"/>
  <c r="E74" i="4" s="1"/>
  <c r="R74" i="4"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AM572" i="3" s="1"/>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N12" i="4"/>
  <c r="E25" i="18"/>
  <c r="T692" i="6"/>
  <c r="AF692" i="6" s="1"/>
  <c r="E14" i="9"/>
  <c r="G14" i="9" s="1"/>
  <c r="E76" i="4" l="1"/>
  <c r="S80" i="4"/>
  <c r="E79" i="18" s="1"/>
  <c r="E77" i="18"/>
  <c r="R55" i="4"/>
  <c r="E45" i="18"/>
  <c r="E39" i="18"/>
  <c r="S38" i="4"/>
  <c r="E37" i="18" s="1"/>
  <c r="D12" i="4"/>
  <c r="B61" i="4"/>
  <c r="O12" i="4"/>
  <c r="B11" i="4"/>
  <c r="F12" i="4"/>
  <c r="P12" i="4"/>
  <c r="B53" i="4"/>
  <c r="T22" i="27"/>
  <c r="AI22" i="26"/>
  <c r="R80" i="4"/>
  <c r="B104" i="15"/>
  <c r="C104" i="15"/>
  <c r="D104" i="15"/>
  <c r="B81" i="15"/>
  <c r="C81" i="15"/>
  <c r="E81" i="15" s="1"/>
  <c r="D81" i="15"/>
  <c r="B96" i="15"/>
  <c r="C96" i="15"/>
  <c r="D96" i="15"/>
  <c r="B76" i="4"/>
  <c r="D77" i="15"/>
  <c r="B77" i="15"/>
  <c r="C77" i="15"/>
  <c r="G12" i="4"/>
  <c r="B68" i="18"/>
  <c r="D70" i="15"/>
  <c r="B70" i="15"/>
  <c r="C70" i="15"/>
  <c r="AC42" i="9"/>
  <c r="B62" i="15"/>
  <c r="C62" i="15"/>
  <c r="D62" i="15"/>
  <c r="U69" i="25"/>
  <c r="D54" i="15"/>
  <c r="B54" i="15"/>
  <c r="C54" i="15"/>
  <c r="B43" i="15"/>
  <c r="D43" i="15"/>
  <c r="C43" i="15"/>
  <c r="T62" i="4"/>
  <c r="T96" i="4" s="1"/>
  <c r="B39" i="15"/>
  <c r="C39" i="15"/>
  <c r="D39" i="15"/>
  <c r="D27" i="15"/>
  <c r="C27" i="15"/>
  <c r="B27"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BI746" i="3"/>
  <c r="AM731"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E104" i="15"/>
  <c r="E43" i="15"/>
  <c r="G53" i="25"/>
  <c r="E54" i="15"/>
  <c r="E27" i="15"/>
  <c r="E62" i="15"/>
  <c r="E39" i="15"/>
  <c r="E96" i="15"/>
  <c r="E70"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6" s="1"/>
  <c r="AB48" i="26" s="1"/>
  <c r="AB53" i="26" s="1"/>
  <c r="AB54" i="26" s="1"/>
  <c r="E97" i="15"/>
  <c r="BE576" i="6"/>
  <c r="AP586" i="6"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J58" i="25"/>
  <c r="B76" i="25" s="1"/>
  <c r="O76" i="25" s="1"/>
  <c r="AC447" i="3"/>
  <c r="AB46" i="5"/>
  <c r="AB48" i="5" s="1"/>
  <c r="AB53" i="5" s="1"/>
  <c r="AB54" i="5"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AD38" i="5" s="1"/>
  <c r="AD40"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Q71" i="25"/>
  <c r="O75" i="25" s="1"/>
  <c r="R75" i="2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R42"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Y41" i="5" s="1"/>
  <c r="AB55" i="5" s="1"/>
  <c r="M44" i="9"/>
  <c r="M59" i="9" s="1"/>
  <c r="O10" i="9"/>
  <c r="O36" i="9" s="1"/>
  <c r="O44" i="9" s="1"/>
  <c r="K66" i="9"/>
  <c r="K65" i="9"/>
  <c r="K61" i="9"/>
  <c r="K68" i="9"/>
  <c r="K67" i="9"/>
  <c r="G69" i="9"/>
  <c r="G71" i="9" s="1"/>
  <c r="I69" i="9"/>
  <c r="I71" i="9" s="1"/>
  <c r="Q5" i="9"/>
  <c r="S4" i="9"/>
  <c r="W8" i="9"/>
  <c r="U9" i="9"/>
  <c r="S6" i="9"/>
  <c r="Q7" i="9"/>
  <c r="W21" i="9"/>
  <c r="W34" i="9" s="1"/>
  <c r="Y14" i="9"/>
  <c r="M25" i="3" l="1"/>
  <c r="P203" i="3" s="1"/>
  <c r="BE15" i="28"/>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AA69" i="9" s="1"/>
  <c r="Y69" i="9"/>
  <c r="Y71" i="9" s="1"/>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rgb="FF000000"/>
            <rFont val="Arial"/>
            <family val="2"/>
          </rPr>
          <t xml:space="preserve">DO NOT USE if Rural set-aside projects:  </t>
        </r>
      </text>
    </comment>
    <comment ref="E589" authorId="1" shapeId="0" xr:uid="{00000000-0006-0000-0700-00000D000000}">
      <text>
        <r>
          <rPr>
            <sz val="9"/>
            <color rgb="FF000000"/>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<sst xmlns="http://schemas.openxmlformats.org/spreadsheetml/2006/main" count="4735" uniqueCount="2553">
  <si>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</si>
  <si>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</si>
  <si>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</si>
  <si>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</si>
  <si>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</si>
  <si>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</si>
  <si>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</si>
  <si>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</si>
  <si>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</si>
  <si>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</si>
  <si>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</si>
  <si>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</si>
  <si>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</si>
  <si>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</si>
  <si>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</si>
  <si>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</si>
  <si>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</si>
  <si>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</si>
  <si>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</si>
  <si>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</si>
  <si>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</si>
  <si>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</si>
  <si>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</si>
  <si>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</si>
  <si>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</si>
  <si>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</si>
  <si>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</si>
  <si>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</si>
  <si>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</si>
  <si>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</si>
  <si>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</si>
  <si>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</si>
  <si>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</si>
  <si>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</si>
  <si>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</si>
  <si>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</si>
  <si>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</si>
  <si>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</si>
  <si>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</si>
  <si>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</si>
  <si>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</si>
  <si>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</si>
  <si>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</si>
  <si>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</si>
  <si>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</si>
  <si>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</si>
  <si>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</si>
  <si>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</si>
  <si>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</si>
  <si>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</si>
  <si>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</si>
  <si>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</si>
  <si>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</si>
  <si>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</si>
  <si>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</si>
  <si>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</si>
  <si>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</si>
  <si>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</si>
  <si>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</si>
  <si>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</si>
  <si>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</si>
  <si>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</si>
  <si>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</si>
  <si>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</si>
  <si>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</si>
  <si>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</si>
  <si>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</si>
  <si>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</si>
  <si>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</si>
  <si>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</si>
  <si>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</si>
  <si>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</si>
  <si>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</si>
  <si>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</si>
  <si>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</si>
  <si>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</si>
  <si>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</si>
  <si>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</si>
  <si>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</si>
  <si>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</si>
  <si>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</si>
  <si>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</si>
  <si>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</si>
  <si>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</si>
  <si>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</si>
  <si>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</si>
  <si>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</si>
  <si>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</si>
  <si>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</si>
  <si>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</si>
  <si>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</si>
  <si>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</si>
  <si>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</si>
  <si>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</si>
  <si>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</si>
  <si>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</si>
  <si>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</si>
  <si>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</si>
  <si>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</si>
  <si>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</si>
  <si>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</si>
  <si>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</si>
  <si>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</si>
  <si>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</si>
  <si>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</si>
  <si>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</si>
  <si>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</si>
  <si>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</si>
  <si>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</si>
  <si>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</si>
  <si>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</si>
  <si>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</si>
  <si>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</si>
  <si>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</si>
  <si>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</si>
  <si>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</si>
  <si>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</si>
  <si>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</si>
  <si>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</si>
  <si>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</si>
  <si>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</si>
  <si>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</si>
  <si>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</si>
  <si>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</si>
  <si>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</si>
  <si>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</si>
  <si>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</si>
  <si>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</si>
  <si>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</si>
  <si>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</si>
  <si>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</si>
  <si>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</si>
  <si>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</si>
  <si>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</si>
  <si>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</si>
  <si>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</si>
  <si>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</si>
  <si>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</si>
  <si>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</si>
  <si>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</si>
  <si>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</si>
  <si>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</si>
  <si>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</si>
  <si>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</si>
  <si>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</si>
  <si>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</si>
  <si>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</si>
  <si>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</si>
  <si>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</si>
  <si>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</si>
  <si>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</si>
  <si>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</si>
  <si>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</si>
  <si>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</si>
  <si>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</si>
  <si>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</si>
  <si>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</si>
  <si>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</si>
  <si>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</si>
  <si>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</si>
  <si>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</si>
  <si>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</si>
  <si>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</si>
  <si>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</si>
  <si>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</si>
  <si>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</si>
  <si>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</si>
  <si>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</si>
  <si>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</si>
  <si>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</si>
  <si>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</si>
  <si>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</si>
  <si>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</si>
  <si>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</si>
  <si>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</si>
  <si>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</si>
  <si>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</si>
  <si>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</si>
  <si>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</si>
  <si>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</si>
  <si>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</si>
  <si>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</si>
  <si>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</si>
  <si>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</si>
  <si>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</si>
  <si>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</si>
  <si>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</si>
  <si>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</si>
  <si>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</si>
  <si>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</si>
  <si>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</si>
  <si>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</si>
  <si>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</si>
  <si>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</si>
  <si>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</si>
  <si>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</si>
  <si>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</si>
  <si>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</si>
  <si>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</si>
  <si>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</si>
  <si>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</si>
  <si>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</si>
  <si>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</si>
  <si>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</si>
  <si>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</si>
  <si>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</si>
  <si>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</si>
  <si>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</si>
  <si>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</si>
  <si>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</si>
  <si>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</si>
  <si>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</si>
  <si>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</si>
  <si>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</si>
  <si>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</si>
  <si>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</si>
  <si>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</si>
  <si>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</si>
  <si>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</si>
  <si>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</si>
  <si>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</si>
  <si>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</si>
  <si>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</si>
  <si>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</si>
  <si>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</si>
  <si>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</si>
  <si>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</si>
  <si>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</si>
  <si>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</si>
  <si>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</si>
  <si>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</si>
  <si>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</si>
  <si>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</si>
  <si>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</si>
  <si>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</si>
  <si>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</si>
  <si>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</si>
  <si>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</si>
  <si>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</si>
  <si>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</si>
  <si>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</si>
  <si>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</si>
  <si>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</si>
  <si>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</si>
  <si>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</si>
  <si>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</si>
  <si>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</si>
  <si>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</si>
  <si>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</si>
  <si>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</si>
  <si>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</si>
  <si>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</si>
  <si>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</si>
  <si>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</si>
  <si>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</si>
  <si>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</si>
  <si>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</si>
  <si>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</si>
  <si>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</si>
  <si>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</si>
  <si>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</si>
  <si>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</si>
  <si>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</si>
  <si>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</si>
  <si>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</si>
  <si>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</si>
  <si>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</si>
  <si>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</si>
  <si>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</si>
  <si>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</si>
  <si>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</si>
  <si>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</si>
  <si>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</si>
  <si>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</si>
  <si>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</si>
  <si>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</si>
  <si>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</si>
  <si>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</si>
  <si>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</si>
  <si>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</si>
  <si>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</si>
  <si>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</si>
  <si>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</si>
  <si>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</si>
  <si>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</si>
  <si>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</si>
  <si>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</si>
  <si>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</si>
  <si>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</si>
  <si>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</si>
  <si>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</si>
  <si>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</si>
  <si>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</si>
  <si>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</si>
  <si>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</si>
  <si>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</si>
  <si>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</si>
  <si>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</si>
  <si>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</si>
  <si>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</si>
  <si>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</si>
  <si>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</si>
  <si>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</si>
  <si>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</si>
  <si>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</si>
  <si>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</si>
  <si>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</si>
  <si>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</si>
  <si>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</si>
  <si>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</si>
  <si>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</si>
  <si>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</si>
  <si>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</si>
  <si>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</si>
  <si>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</si>
  <si>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</si>
  <si>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</si>
  <si>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</si>
  <si>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</si>
  <si>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</si>
  <si>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</si>
  <si>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</si>
  <si>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</si>
  <si>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</si>
  <si>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</si>
  <si>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</si>
  <si>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</si>
  <si>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</si>
  <si>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</si>
  <si>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</si>
  <si>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</si>
  <si>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</si>
  <si>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</si>
  <si>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</si>
  <si>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</si>
  <si>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</si>
  <si>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</si>
  <si>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</si>
  <si>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</si>
  <si>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</si>
  <si>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</si>
  <si>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</si>
  <si>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</si>
  <si>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</si>
  <si>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</si>
  <si>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</si>
  <si>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</si>
  <si>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</si>
  <si>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</si>
  <si>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</si>
  <si>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</si>
  <si>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</si>
  <si>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</si>
  <si>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</si>
  <si>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</si>
  <si>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</si>
  <si>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</si>
  <si>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</si>
  <si>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</si>
  <si>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</si>
  <si>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</si>
  <si>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</si>
  <si>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</si>
  <si>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</si>
  <si>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</si>
  <si>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</si>
  <si>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</si>
  <si>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</si>
  <si>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</si>
  <si>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</si>
  <si>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</si>
  <si>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</si>
  <si>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</si>
  <si>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</si>
  <si>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</si>
  <si>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</si>
  <si>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</si>
  <si>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</si>
  <si>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</si>
  <si>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</si>
  <si>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</si>
  <si>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</si>
  <si>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</si>
  <si>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</si>
  <si>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</si>
  <si>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</si>
  <si>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</si>
  <si>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</si>
  <si>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</si>
  <si>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</si>
  <si>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</si>
  <si>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</si>
  <si>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</si>
  <si>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</si>
  <si>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</si>
  <si>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</si>
  <si>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</si>
  <si>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</si>
  <si>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</si>
  <si>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</si>
  <si>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</si>
  <si>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</si>
  <si>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</si>
  <si>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</si>
  <si>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</si>
  <si>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</si>
  <si>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</si>
  <si>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</si>
  <si>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</si>
  <si>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</si>
  <si>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</si>
  <si>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</si>
  <si>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</si>
  <si>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</si>
  <si>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</si>
  <si>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</si>
  <si>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</si>
  <si>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</si>
  <si>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</si>
  <si>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</si>
  <si>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</si>
  <si>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</si>
  <si>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</si>
  <si>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</si>
  <si>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</si>
  <si>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</si>
  <si>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</si>
  <si>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</si>
  <si>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</si>
  <si>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</si>
  <si>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</si>
  <si>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</si>
  <si>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</si>
  <si>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</si>
  <si>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</si>
  <si>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</si>
  <si>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</si>
  <si>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</si>
  <si>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</si>
  <si>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</si>
  <si>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</si>
  <si>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</si>
  <si>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</si>
  <si>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</si>
  <si>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</si>
  <si>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</si>
  <si>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</si>
  <si>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</si>
  <si>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</si>
  <si>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</si>
  <si>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</si>
  <si>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</si>
  <si>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</si>
  <si>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</si>
  <si>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</si>
  <si>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</si>
  <si>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</si>
  <si>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</si>
  <si>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</si>
  <si>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</si>
  <si>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</si>
  <si>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</si>
  <si>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</si>
  <si>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</si>
  <si>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</si>
  <si>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</si>
  <si>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</si>
  <si>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</si>
  <si>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</si>
  <si>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</si>
  <si>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</si>
  <si>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</si>
  <si>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</si>
  <si>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</si>
  <si>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</si>
  <si>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</si>
  <si>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</si>
  <si>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</si>
  <si>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</si>
  <si>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</si>
  <si>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</si>
  <si>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</si>
  <si>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</si>
  <si>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</si>
  <si>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</si>
  <si>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</si>
  <si>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</si>
  <si>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</si>
  <si>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</si>
  <si>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</si>
  <si>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</si>
  <si>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</si>
  <si>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</si>
  <si>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</si>
  <si>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</si>
  <si>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</si>
  <si>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</si>
  <si>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</si>
  <si>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</si>
  <si>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</si>
  <si>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</si>
  <si>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</si>
  <si>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</si>
  <si>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</si>
  <si>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</si>
  <si>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</si>
  <si>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</si>
  <si>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</si>
  <si>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</si>
  <si>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</si>
  <si>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</si>
  <si>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</si>
  <si>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</si>
  <si>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</si>
  <si>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</si>
  <si>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</si>
  <si>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</si>
  <si>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</si>
  <si>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</si>
  <si>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</si>
  <si>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</si>
  <si>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</si>
  <si>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</si>
  <si>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</si>
  <si>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</si>
  <si>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</si>
  <si>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</si>
  <si>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</si>
  <si>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</si>
  <si>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</si>
  <si>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</si>
  <si>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</si>
  <si>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</si>
  <si>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</si>
  <si>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</si>
  <si>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</si>
  <si>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</si>
  <si>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</si>
  <si>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</si>
  <si>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</si>
  <si>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</si>
  <si>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</si>
  <si>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</si>
  <si>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</si>
  <si>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</si>
  <si>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</si>
  <si>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</si>
  <si>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</si>
  <si>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</si>
  <si>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</si>
  <si>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</si>
  <si>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</si>
  <si>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</si>
  <si>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</si>
  <si>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</si>
  <si>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</si>
  <si>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</si>
  <si>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</si>
  <si>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</si>
  <si>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</si>
  <si>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</si>
  <si>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</si>
  <si>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</si>
  <si>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</si>
  <si>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</si>
  <si>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</si>
  <si>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</si>
  <si>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</si>
  <si>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</si>
  <si>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</si>
  <si>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</si>
  <si>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</si>
  <si>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</si>
  <si>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</si>
  <si>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</si>
  <si>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</si>
  <si>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</si>
  <si>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</si>
  <si>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</si>
  <si>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</si>
  <si>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</si>
  <si>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</si>
  <si>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</si>
  <si>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</si>
  <si>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</si>
  <si>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</si>
  <si>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</si>
  <si>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</si>
  <si>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</si>
  <si>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</si>
  <si>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</si>
  <si>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</si>
  <si>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</si>
  <si>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</si>
  <si>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</si>
  <si>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</si>
  <si>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</si>
  <si>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</si>
  <si>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</si>
  <si>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</si>
  <si>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</si>
  <si>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</si>
  <si>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</si>
  <si>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</si>
  <si>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</si>
  <si>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</si>
  <si>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</si>
  <si>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</si>
  <si>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</si>
  <si>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</si>
  <si>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</si>
  <si>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</si>
  <si>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</si>
  <si>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</si>
  <si>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</si>
  <si>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</si>
  <si>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</si>
  <si>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</si>
  <si>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</si>
  <si>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</si>
  <si>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</si>
  <si>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</si>
  <si>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</si>
  <si>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</si>
  <si>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</si>
  <si>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</si>
  <si>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</si>
  <si>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</si>
  <si>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</si>
  <si>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</si>
  <si>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</si>
  <si>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</si>
  <si>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</si>
  <si>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</si>
  <si>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</si>
  <si>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</si>
  <si>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</si>
  <si>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</si>
  <si>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</si>
  <si>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</si>
  <si>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</si>
  <si>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</si>
  <si>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</si>
  <si>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</si>
  <si>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</si>
  <si>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</si>
  <si>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</si>
  <si>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</si>
  <si>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</si>
  <si>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</si>
  <si>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</si>
  <si>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</si>
  <si>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</si>
  <si>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</si>
  <si>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</si>
  <si>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</si>
  <si>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</si>
  <si>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</si>
  <si>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</si>
  <si>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</si>
  <si>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</si>
  <si>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</si>
  <si>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</si>
  <si>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</si>
  <si>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</si>
  <si>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</si>
  <si>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</si>
  <si>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</si>
  <si>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</si>
  <si>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</si>
  <si>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</si>
  <si>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</si>
  <si>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</si>
  <si>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</si>
  <si>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</si>
  <si>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</si>
  <si>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</si>
  <si>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</si>
  <si>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</si>
  <si>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</si>
  <si>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</si>
  <si>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</si>
  <si>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</si>
  <si>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</si>
  <si>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</si>
  <si>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</si>
  <si>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</si>
  <si>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</si>
  <si>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</si>
  <si>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</si>
  <si>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</si>
  <si>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</si>
  <si>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</si>
  <si>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</si>
  <si>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</si>
  <si>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</si>
  <si>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</si>
  <si>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</si>
  <si>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</si>
  <si>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</si>
  <si>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</si>
  <si>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</si>
  <si>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</si>
  <si>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</si>
  <si>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</si>
  <si>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</si>
  <si>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</si>
  <si>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</si>
  <si>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</si>
  <si>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</si>
  <si>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</si>
  <si>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</si>
  <si>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</si>
  <si>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</si>
  <si>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</si>
  <si>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</si>
  <si>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</si>
  <si>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</si>
  <si>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</si>
  <si>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</si>
  <si>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</si>
  <si>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</si>
  <si>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</si>
  <si>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</si>
  <si>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</si>
  <si>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</si>
  <si>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</si>
  <si>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</si>
  <si>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</si>
  <si>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</si>
  <si>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</si>
  <si>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</si>
  <si>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</si>
  <si>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</si>
  <si>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</si>
  <si>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</si>
  <si>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</si>
  <si>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</si>
  <si>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</si>
  <si>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</si>
  <si>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</si>
  <si>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</si>
  <si>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</si>
  <si>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</si>
  <si>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</si>
  <si>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</si>
  <si>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</si>
  <si>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</si>
  <si>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</si>
  <si>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</si>
  <si>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</si>
  <si>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</si>
  <si>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</si>
  <si>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</si>
  <si>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</si>
  <si>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</si>
  <si>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</si>
  <si>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</si>
  <si>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</si>
  <si>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</si>
  <si>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</si>
  <si>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</si>
  <si>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</si>
  <si>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</si>
  <si>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</si>
  <si>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</si>
  <si>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</si>
  <si>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</si>
  <si>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</si>
  <si>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</si>
  <si>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</si>
  <si>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</si>
  <si>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</si>
  <si>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</si>
  <si>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</si>
  <si>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</si>
  <si>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</si>
  <si>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</si>
  <si>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</si>
  <si>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</si>
  <si>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</si>
  <si>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</si>
  <si>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</si>
  <si>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</si>
  <si>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</si>
  <si>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</si>
  <si>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</si>
  <si>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</si>
  <si>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</si>
  <si>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</si>
  <si>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</si>
  <si>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</si>
  <si>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</si>
  <si>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</si>
  <si>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</si>
  <si>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</si>
  <si>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</si>
  <si>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</si>
  <si>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</si>
  <si>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</si>
  <si>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</si>
  <si>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</si>
  <si>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</si>
  <si>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</si>
  <si>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</si>
  <si>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</si>
  <si>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</si>
  <si>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</si>
  <si>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</si>
  <si>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</si>
  <si>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</si>
  <si>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</si>
  <si>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</si>
  <si>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</si>
  <si>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</si>
  <si>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</si>
  <si>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</si>
  <si>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</si>
  <si>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</si>
  <si>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</si>
  <si>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</si>
  <si>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</si>
  <si>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</si>
  <si>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</si>
  <si>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</si>
  <si>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</si>
  <si>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</si>
  <si>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</si>
  <si>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</si>
  <si>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</si>
  <si>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</si>
  <si>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</si>
  <si>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</si>
  <si>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</si>
  <si>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</si>
  <si>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</si>
  <si>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</si>
  <si>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</si>
  <si>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</si>
  <si>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</si>
  <si>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</si>
  <si>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</si>
  <si>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</si>
  <si>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</si>
  <si>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</si>
  <si>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</si>
  <si>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</si>
  <si>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</si>
  <si>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</si>
  <si>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</si>
  <si>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</si>
  <si>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</si>
  <si>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</si>
  <si>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</si>
  <si>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</si>
  <si>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</si>
  <si>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</si>
  <si>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</si>
  <si>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</si>
  <si>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</si>
  <si>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</si>
  <si>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</si>
  <si>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</si>
  <si>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</si>
  <si>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</si>
  <si>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</si>
  <si>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</si>
  <si>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</si>
  <si>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</si>
  <si>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</si>
  <si>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</si>
  <si>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</si>
  <si>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</si>
  <si>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</si>
  <si>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</si>
  <si>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</si>
  <si>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</si>
  <si>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</si>
  <si>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</si>
  <si>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</si>
  <si>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</si>
  <si>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</si>
  <si>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</si>
  <si>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</si>
  <si>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</si>
  <si>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</si>
  <si>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</si>
  <si>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</si>
  <si>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</si>
  <si>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</si>
  <si>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</si>
  <si>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</si>
  <si>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</si>
  <si>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</si>
  <si>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</si>
  <si>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</si>
  <si>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</si>
  <si>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</si>
  <si>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</si>
  <si>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</si>
  <si>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</si>
  <si>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</si>
  <si>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</si>
  <si>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</si>
  <si>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</si>
  <si>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</si>
  <si>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</si>
  <si>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</si>
  <si>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</si>
  <si>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</si>
  <si>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</si>
  <si>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</si>
  <si>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</si>
  <si>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</si>
  <si>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</si>
  <si>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</si>
  <si>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</si>
  <si>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</si>
  <si>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</si>
  <si>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</si>
  <si>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</si>
  <si>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</si>
  <si>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</si>
  <si>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</si>
  <si>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</si>
  <si>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</si>
  <si>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</si>
  <si>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</si>
  <si>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</si>
  <si>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</si>
  <si>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</si>
  <si>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</si>
  <si>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</si>
  <si>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</si>
  <si>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</si>
  <si>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</si>
  <si>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</si>
  <si>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</si>
  <si>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</si>
  <si>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</si>
  <si>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</si>
  <si>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</si>
  <si>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</si>
  <si>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</si>
  <si>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</si>
  <si>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</si>
  <si>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</si>
  <si>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</si>
  <si>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</si>
  <si>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</si>
  <si>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</si>
  <si>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</si>
  <si>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</si>
  <si>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</si>
  <si>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</si>
  <si>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</si>
  <si>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</si>
  <si>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</si>
  <si>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</si>
  <si>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</si>
  <si>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</si>
  <si>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</si>
  <si>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</si>
  <si>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</si>
  <si>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</si>
  <si>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</si>
  <si>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</si>
  <si>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</si>
  <si>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</si>
  <si>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</si>
  <si>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</si>
  <si>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</si>
  <si>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</si>
  <si>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</si>
  <si>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</si>
  <si>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</si>
  <si>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</si>
  <si>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</si>
  <si>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</si>
  <si>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</si>
  <si>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</si>
  <si>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</si>
  <si>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</si>
  <si>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</si>
  <si>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</si>
  <si>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</si>
  <si>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</si>
  <si>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</si>
  <si>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</si>
  <si>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</si>
  <si>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</si>
  <si>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</si>
  <si>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</si>
  <si>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</si>
  <si>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</si>
  <si>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</si>
  <si>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</si>
  <si>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</si>
  <si>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</si>
  <si>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</si>
  <si>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</si>
  <si>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</si>
  <si>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</si>
  <si>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</si>
  <si>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</si>
  <si>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</si>
  <si>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</si>
  <si>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</si>
  <si>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</si>
  <si>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</si>
  <si>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</si>
  <si>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</si>
  <si>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</si>
  <si>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</si>
  <si>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</si>
  <si>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</si>
  <si>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</si>
  <si>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</si>
  <si>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</si>
  <si>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</si>
  <si>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</si>
  <si>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</si>
  <si>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</si>
  <si>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</si>
  <si>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</si>
  <si>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</si>
  <si>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</si>
  <si>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</si>
  <si>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</si>
  <si>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</si>
  <si>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</si>
  <si>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</si>
  <si>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</si>
  <si>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</si>
  <si>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</si>
  <si>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</si>
  <si>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</si>
  <si>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</si>
  <si>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</si>
  <si>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</si>
  <si>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</si>
  <si>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</si>
  <si>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</si>
  <si>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</si>
  <si>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</si>
  <si>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</si>
  <si>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</si>
  <si>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</si>
  <si>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</si>
  <si>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</si>
  <si>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</si>
  <si>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</si>
  <si>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</si>
  <si>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</si>
  <si>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</si>
  <si>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</si>
  <si>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</si>
  <si>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</si>
  <si>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</si>
  <si>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</si>
  <si>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</si>
  <si>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</si>
  <si>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</si>
  <si>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</si>
  <si>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</si>
  <si>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</si>
  <si>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</si>
  <si>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</si>
  <si>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</si>
  <si>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</si>
  <si>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</si>
  <si>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</si>
  <si>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</si>
  <si>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</si>
  <si>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</si>
  <si>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</si>
  <si>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</si>
  <si>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</si>
  <si>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</si>
  <si>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</si>
  <si>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</si>
  <si>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</si>
  <si>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</si>
  <si>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</si>
  <si>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</si>
  <si>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</si>
  <si>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</si>
  <si>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</si>
  <si>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</si>
  <si>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</si>
  <si>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</si>
  <si>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</si>
  <si>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</si>
  <si>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</si>
  <si>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</si>
  <si>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</si>
  <si>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</si>
  <si>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</si>
  <si>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</si>
  <si>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</si>
  <si>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</si>
  <si>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</si>
  <si>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</si>
  <si>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</si>
  <si>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</si>
  <si>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</si>
  <si>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</si>
  <si>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</si>
  <si>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</si>
  <si>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</si>
  <si>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</si>
  <si>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</si>
  <si>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</si>
  <si>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</si>
  <si>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</si>
  <si>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</si>
  <si>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</si>
  <si>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</si>
  <si>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</si>
  <si>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</si>
  <si>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</si>
  <si>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</si>
  <si>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</si>
  <si>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</si>
  <si>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</si>
  <si>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</si>
  <si>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</si>
  <si>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</si>
  <si>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</si>
  <si>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</si>
  <si>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</si>
  <si>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</si>
  <si>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</si>
  <si>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</si>
  <si>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</si>
  <si>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</si>
  <si>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</si>
  <si>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</si>
  <si>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</si>
  <si>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</si>
  <si>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</si>
  <si>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</si>
  <si>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</si>
  <si>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</si>
  <si>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</si>
  <si>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</si>
  <si>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</si>
  <si>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</si>
  <si>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</si>
  <si>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</si>
  <si>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</si>
  <si>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</si>
  <si>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</si>
  <si>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</si>
  <si>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</si>
  <si>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</si>
  <si>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</si>
  <si>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</si>
  <si>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</si>
  <si>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</si>
  <si>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</si>
  <si>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</si>
  <si>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</si>
  <si>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</si>
  <si>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</si>
  <si>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</si>
  <si>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</si>
  <si>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</si>
  <si>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</si>
  <si>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</si>
  <si>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</si>
  <si>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</si>
  <si>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</si>
  <si>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</si>
  <si>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</si>
  <si>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</si>
  <si>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</si>
  <si>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</si>
  <si>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</si>
  <si>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</si>
  <si>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</si>
  <si>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</si>
  <si>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</si>
  <si>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</si>
  <si>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</si>
  <si>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</si>
  <si>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</si>
  <si>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</si>
  <si>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</si>
  <si>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</si>
  <si>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</si>
  <si>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</si>
  <si>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</si>
  <si>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</si>
  <si>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</si>
  <si>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</si>
  <si>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</si>
  <si>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</si>
  <si>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</si>
  <si>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</si>
  <si>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</si>
  <si>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</si>
  <si>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</si>
  <si>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</si>
  <si>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</si>
  <si>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</si>
  <si>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</si>
  <si>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</si>
  <si>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</si>
  <si>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</si>
  <si>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</si>
  <si>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</si>
  <si>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</si>
  <si>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</si>
  <si>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</si>
  <si>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</si>
  <si>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</si>
  <si>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</si>
  <si>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</si>
  <si>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</si>
  <si>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</si>
  <si>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</si>
  <si>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</si>
  <si>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</si>
  <si>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</si>
  <si>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</si>
  <si>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</si>
  <si>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</si>
  <si>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</si>
  <si>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</si>
  <si>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</si>
  <si>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</si>
  <si>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</si>
  <si>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</si>
  <si>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</si>
  <si>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</si>
  <si>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</si>
  <si>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</si>
  <si>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</si>
  <si>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</si>
  <si>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</si>
  <si>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</si>
  <si>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</si>
  <si>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</si>
  <si>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</si>
  <si>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</si>
  <si>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</si>
  <si>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</si>
  <si>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</si>
  <si>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</si>
  <si>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</si>
  <si>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</si>
  <si>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</si>
  <si>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</si>
  <si>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</si>
  <si>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</si>
  <si>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</si>
  <si>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</si>
  <si>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</si>
  <si>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</si>
  <si>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</si>
  <si>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</si>
  <si>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</si>
  <si>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</si>
  <si>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</si>
  <si>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</si>
  <si>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</si>
  <si>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</si>
  <si>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</si>
  <si>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</si>
  <si>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</si>
  <si>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</si>
  <si>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</si>
  <si>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</si>
  <si>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</si>
  <si>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</si>
  <si>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</si>
  <si>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</si>
  <si>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</si>
  <si>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</si>
  <si>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</si>
  <si>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</si>
  <si>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</si>
  <si>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</si>
  <si>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</si>
  <si>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</si>
  <si>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</si>
  <si>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</si>
  <si>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</si>
  <si>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</si>
  <si>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</si>
  <si>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</si>
  <si>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</si>
  <si>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</si>
  <si>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</si>
  <si>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</si>
  <si>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</si>
  <si>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</si>
  <si>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</si>
  <si>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</si>
  <si>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</si>
  <si>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</si>
  <si>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</si>
  <si>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</si>
  <si>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</si>
  <si>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</si>
  <si>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</si>
  <si>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</si>
  <si>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</si>
  <si>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</si>
  <si>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</si>
  <si>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</si>
  <si>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</si>
  <si>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</si>
  <si>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</si>
  <si>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</si>
  <si>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</si>
  <si>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</si>
  <si>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</si>
  <si>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</si>
  <si>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</si>
  <si>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</si>
  <si>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</si>
  <si>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</si>
  <si>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</si>
  <si>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</si>
  <si>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</si>
  <si>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</si>
  <si>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</si>
  <si>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</si>
  <si>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</si>
  <si>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</si>
  <si>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</si>
  <si>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</si>
  <si>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</si>
  <si>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</si>
  <si>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</si>
  <si>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</si>
  <si>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</si>
  <si>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</si>
  <si>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</si>
  <si>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</si>
  <si>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</si>
  <si>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</si>
  <si>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</si>
  <si>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</si>
  <si>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</si>
  <si>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</si>
  <si>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</si>
  <si>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</si>
  <si>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</si>
  <si>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</si>
  <si>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</si>
  <si>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</si>
  <si>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</si>
  <si>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</si>
  <si>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</si>
  <si>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</si>
  <si>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</si>
  <si>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</si>
  <si>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</si>
  <si>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</si>
  <si>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</si>
  <si>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</si>
  <si>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</si>
  <si>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</si>
  <si>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</si>
  <si>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</si>
  <si>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</si>
  <si>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</si>
  <si>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</si>
  <si>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</si>
  <si>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</si>
  <si>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</si>
  <si>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</si>
  <si>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</si>
  <si>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</si>
  <si>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</si>
  <si>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</si>
  <si>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</si>
  <si>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</si>
  <si>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</si>
  <si>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</si>
  <si>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</si>
  <si>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</si>
  <si>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</si>
  <si>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</si>
  <si>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</si>
  <si>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</si>
  <si>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</si>
  <si>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</si>
  <si>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</si>
  <si>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</si>
  <si>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</si>
  <si>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</si>
  <si>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</si>
  <si>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</si>
  <si>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</si>
  <si>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</si>
  <si>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</si>
  <si>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</si>
  <si>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</si>
  <si>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</si>
  <si>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</si>
  <si>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</si>
  <si>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</si>
  <si>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</si>
  <si>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</si>
  <si>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</si>
  <si>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</si>
  <si>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</si>
  <si>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</si>
  <si>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</si>
  <si>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</si>
  <si>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</si>
  <si>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</si>
  <si>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</si>
  <si>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</si>
  <si>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</si>
  <si>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</si>
  <si>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</si>
  <si>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</si>
  <si>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</si>
  <si>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</si>
  <si>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</si>
  <si>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</si>
  <si>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</si>
  <si>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</si>
  <si>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</si>
  <si>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</si>
  <si>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</si>
  <si>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</si>
  <si>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</si>
  <si>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</si>
  <si>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</si>
  <si>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</si>
  <si>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</si>
  <si>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</si>
  <si>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</si>
  <si>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</si>
  <si>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</si>
  <si>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</si>
  <si>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</si>
  <si>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</si>
  <si>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</si>
  <si>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</si>
  <si>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</si>
  <si>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</si>
  <si>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</si>
  <si>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</si>
  <si>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</si>
  <si>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</si>
  <si>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</si>
  <si>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</si>
  <si>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</si>
  <si>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</si>
  <si>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</si>
  <si>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</si>
  <si>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</si>
  <si>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</si>
  <si>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</si>
  <si>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</si>
  <si>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</si>
  <si>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</si>
  <si>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</si>
  <si>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</si>
  <si>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</si>
  <si>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</si>
  <si>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</si>
  <si>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</si>
  <si>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</si>
  <si>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</si>
  <si>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</si>
  <si>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</si>
  <si>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</si>
  <si>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</si>
  <si>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</si>
  <si>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</si>
  <si>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</si>
  <si>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</si>
  <si>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</si>
  <si>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</si>
  <si>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</si>
  <si>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</si>
  <si>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</si>
  <si>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</si>
  <si>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</si>
  <si>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</si>
  <si>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</si>
  <si>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</si>
  <si>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</si>
  <si>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</si>
  <si>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</si>
  <si>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</si>
  <si>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</si>
  <si>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</si>
  <si>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</si>
  <si>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</si>
  <si>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</si>
  <si>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</si>
  <si>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</si>
  <si>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</si>
  <si>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</si>
  <si>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</si>
  <si>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</si>
  <si>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</si>
  <si>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</si>
  <si>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</si>
  <si>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</si>
  <si>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</si>
  <si>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</si>
  <si>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</si>
  <si>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</si>
  <si>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</si>
  <si>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</si>
  <si>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</si>
  <si>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</si>
  <si>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</si>
  <si>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</si>
  <si>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</si>
  <si>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</si>
  <si>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</si>
  <si>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</si>
  <si>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</si>
  <si>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</si>
  <si>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</si>
  <si>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</si>
  <si>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</si>
  <si>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</si>
  <si>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</si>
  <si>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</si>
  <si>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</si>
  <si>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</si>
  <si>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</si>
  <si>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</si>
  <si>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</si>
  <si>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</si>
  <si>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</si>
  <si>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</si>
  <si>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</si>
  <si>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</si>
  <si>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</si>
  <si>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</si>
  <si>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</si>
  <si>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</si>
  <si>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</si>
  <si>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</si>
  <si>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</si>
  <si>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</si>
  <si>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</si>
  <si>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</si>
  <si>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</si>
  <si>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</si>
  <si>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</si>
  <si>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</si>
  <si>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</si>
  <si>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</si>
  <si>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</si>
  <si>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</si>
  <si>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</si>
  <si>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</si>
  <si>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</si>
  <si>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</si>
  <si>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</si>
  <si>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</si>
  <si>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</si>
  <si>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</si>
  <si>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</si>
  <si>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</si>
  <si>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</si>
  <si>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</si>
  <si>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</si>
  <si>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</si>
  <si>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</si>
  <si>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</si>
  <si>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</si>
  <si>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</si>
  <si>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</si>
  <si>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</si>
  <si>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</si>
  <si>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</si>
  <si>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</si>
  <si>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</si>
  <si>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</si>
  <si>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</si>
  <si>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</si>
  <si>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</si>
  <si>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</si>
  <si>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</si>
  <si>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</si>
  <si>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</si>
  <si>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</si>
  <si>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</si>
  <si>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</si>
  <si>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</si>
  <si>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</si>
  <si>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</si>
  <si>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</si>
  <si>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</si>
  <si>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</si>
  <si>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</si>
  <si>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</si>
  <si>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</si>
  <si>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</si>
  <si>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</si>
  <si>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</si>
  <si>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</si>
  <si>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</si>
  <si>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</si>
  <si>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</si>
  <si>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</si>
  <si>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</si>
  <si>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</si>
  <si>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</si>
  <si>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</si>
  <si>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</si>
  <si>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</si>
  <si>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</si>
  <si>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</si>
  <si>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</si>
  <si>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</si>
  <si>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</si>
  <si>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</si>
  <si>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</si>
  <si>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</si>
  <si>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</si>
  <si>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</si>
  <si>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</si>
  <si>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</si>
  <si>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</si>
  <si>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</si>
  <si>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</si>
  <si>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</si>
  <si>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</si>
  <si>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</si>
  <si>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</si>
  <si>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</si>
  <si>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</si>
  <si>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</si>
  <si>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</si>
  <si>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</si>
  <si>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</si>
  <si>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</si>
  <si>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</si>
  <si>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</si>
  <si>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</si>
  <si>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</si>
  <si>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</si>
  <si>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</si>
  <si>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</si>
  <si>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</si>
  <si>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</si>
  <si>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</si>
  <si>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</si>
  <si>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</si>
  <si>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</si>
  <si>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</si>
  <si>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</si>
  <si>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</si>
  <si>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</si>
  <si>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</si>
  <si>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</si>
  <si>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</si>
  <si>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</si>
  <si>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</si>
  <si>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</si>
  <si>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</si>
  <si>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</si>
  <si>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</si>
  <si>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</si>
  <si>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</si>
  <si>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</si>
  <si>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</si>
  <si>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</si>
  <si>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</si>
  <si>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</si>
  <si>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</si>
  <si>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</si>
  <si>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</si>
  <si>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</si>
  <si>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</si>
  <si>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</si>
  <si>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</si>
  <si>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</si>
  <si>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</si>
  <si>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</si>
  <si>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</si>
  <si>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</si>
  <si>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</si>
  <si>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</si>
  <si>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</si>
  <si>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</si>
  <si>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</si>
  <si>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</si>
  <si>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</si>
  <si>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</si>
  <si>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</si>
  <si>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</si>
  <si>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</si>
  <si>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</si>
  <si>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</si>
  <si>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</si>
  <si>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</si>
  <si>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</si>
  <si>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</si>
  <si>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</si>
  <si>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</si>
  <si>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</si>
  <si>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</si>
  <si>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</si>
  <si>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</si>
  <si>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</si>
  <si>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</si>
  <si>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</si>
  <si>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</si>
  <si>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</si>
  <si>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</si>
  <si>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</si>
  <si>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</si>
  <si>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</si>
  <si>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</si>
  <si>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</si>
  <si>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</si>
  <si>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</si>
  <si>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</si>
  <si>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</si>
  <si>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</si>
  <si>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</si>
  <si>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</si>
  <si>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</si>
  <si>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</si>
  <si>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</si>
  <si>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</si>
  <si>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</si>
  <si>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</si>
  <si>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</si>
  <si>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</si>
  <si>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</si>
  <si>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</si>
  <si>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</si>
  <si>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</si>
  <si>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</si>
  <si>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</si>
  <si>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</si>
  <si>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</si>
  <si>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</si>
  <si>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</si>
  <si>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</si>
  <si>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</si>
  <si>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</si>
  <si>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</si>
  <si>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</si>
  <si>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</si>
  <si>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</si>
  <si>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</si>
  <si>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</si>
  <si>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</si>
  <si>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</si>
  <si>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</si>
  <si>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</si>
  <si>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</si>
  <si>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</si>
  <si>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</si>
  <si>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</si>
  <si>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</si>
  <si>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</si>
  <si>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</si>
  <si>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</si>
  <si>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</si>
  <si>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</si>
  <si>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</si>
  <si>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</si>
  <si>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</si>
  <si>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</si>
  <si>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</si>
  <si>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</si>
  <si>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</si>
  <si>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</si>
  <si>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</si>
  <si>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</si>
  <si>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</si>
  <si>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</si>
  <si>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</si>
  <si>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</si>
  <si>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</si>
  <si>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</si>
  <si>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</si>
  <si>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</si>
  <si>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</si>
  <si>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</si>
  <si>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</si>
  <si>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</si>
  <si>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</si>
  <si>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</si>
  <si>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</si>
  <si>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</si>
  <si>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</si>
  <si>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</si>
  <si>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</si>
  <si>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</si>
  <si>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</si>
  <si>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</si>
  <si>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</si>
  <si>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</si>
  <si>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</si>
  <si>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</si>
  <si>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</si>
  <si>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</si>
  <si>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</si>
  <si>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</si>
  <si>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</si>
  <si>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</si>
  <si>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</si>
  <si>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</si>
  <si>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</si>
  <si>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</si>
  <si>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</si>
  <si>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</si>
  <si>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</si>
  <si>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</si>
  <si>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</si>
  <si>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</si>
  <si>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</si>
  <si>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</si>
  <si>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</si>
  <si>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</si>
  <si>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</si>
  <si>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</si>
  <si>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</si>
  <si>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</si>
  <si>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</si>
  <si>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</si>
  <si>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</si>
  <si>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</si>
  <si>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</si>
  <si>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</si>
  <si>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</si>
  <si>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</si>
  <si>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</si>
  <si>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</si>
  <si>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</si>
  <si>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</si>
  <si>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</si>
  <si>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</si>
  <si>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</si>
  <si>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</si>
  <si>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</si>
  <si>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</si>
  <si>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</si>
  <si>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</si>
  <si>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</si>
  <si>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</si>
  <si>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</si>
  <si>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</si>
  <si>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</si>
  <si>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</si>
  <si>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</si>
  <si>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</si>
  <si>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</si>
  <si>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</si>
  <si>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</si>
  <si>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</si>
  <si>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</si>
  <si>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</si>
  <si>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</si>
  <si>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</si>
  <si>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</si>
  <si>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</si>
  <si>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</si>
  <si>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</si>
  <si>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</si>
  <si>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</si>
  <si>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</si>
  <si>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</si>
  <si>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</si>
  <si>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</si>
  <si>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</si>
  <si>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</si>
  <si>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</si>
  <si>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</si>
  <si>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</si>
  <si>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</si>
  <si>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</si>
  <si>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</si>
  <si>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</si>
  <si>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</si>
  <si>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</si>
  <si>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</si>
  <si>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</si>
  <si>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</si>
  <si>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</si>
  <si>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</si>
  <si>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</si>
  <si>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</si>
  <si>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</si>
  <si>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</si>
  <si>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</si>
  <si>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</si>
  <si>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</si>
  <si>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</si>
  <si>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</si>
  <si>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</si>
  <si>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</si>
  <si>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</si>
  <si>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</si>
  <si>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</si>
  <si>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</si>
  <si>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</si>
  <si>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</si>
  <si>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</si>
  <si>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</si>
  <si>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</si>
  <si>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</si>
  <si>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</si>
  <si>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</si>
  <si>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</si>
  <si>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</si>
  <si>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</si>
  <si>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</si>
  <si>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</si>
  <si>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</si>
  <si>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</si>
  <si>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</si>
  <si>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</si>
  <si>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</si>
  <si>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</si>
  <si>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</si>
  <si>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</si>
  <si>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</si>
  <si>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</si>
  <si>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</si>
  <si>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</si>
  <si>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</si>
  <si>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</si>
  <si>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</si>
  <si>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</si>
  <si>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</si>
  <si>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</si>
  <si>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</si>
  <si>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</si>
  <si>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</si>
  <si>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</si>
  <si>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</si>
  <si>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</si>
  <si>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</si>
  <si>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</si>
  <si>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</si>
  <si>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</si>
  <si>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</si>
  <si>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</si>
  <si>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</si>
  <si>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</si>
  <si>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</si>
  <si>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</si>
  <si>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</si>
  <si>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</si>
  <si>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</si>
  <si>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</si>
  <si>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</si>
  <si>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</si>
  <si>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</si>
  <si>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</si>
  <si>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</si>
  <si>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</si>
  <si>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</si>
  <si>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</si>
  <si>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</si>
  <si>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</si>
  <si>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</si>
  <si>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</si>
  <si>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</si>
  <si>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</si>
  <si>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</si>
  <si>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</si>
  <si>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</si>
  <si>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</si>
  <si>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</si>
  <si>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</si>
  <si>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</si>
  <si>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</si>
  <si>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</si>
  <si>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</si>
  <si>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</si>
  <si>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</si>
  <si>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</si>
  <si>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</si>
  <si>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</si>
  <si>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</si>
  <si>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</si>
  <si>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</si>
  <si>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</si>
  <si>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</si>
  <si>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</si>
  <si>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</si>
  <si>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</si>
  <si>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</si>
  <si>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</si>
  <si>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</si>
  <si>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</si>
  <si>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</si>
  <si>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</si>
  <si>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</si>
  <si>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</si>
  <si>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</si>
  <si>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</si>
  <si>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</si>
  <si>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</si>
  <si>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</si>
  <si>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</si>
  <si>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</si>
  <si>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</si>
  <si>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</si>
  <si>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</si>
  <si>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</si>
  <si>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</si>
  <si>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</si>
  <si>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</si>
  <si>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</si>
  <si>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</si>
  <si>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</si>
  <si>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</si>
  <si>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</si>
  <si>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</si>
  <si>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</si>
  <si>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</si>
  <si>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</si>
  <si>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</si>
  <si>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</si>
  <si>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</si>
  <si>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</si>
  <si>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</si>
  <si>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</si>
  <si>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</si>
  <si>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</si>
  <si>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</si>
  <si>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</si>
  <si>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</si>
  <si>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</si>
  <si>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</si>
  <si>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</si>
  <si>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</si>
  <si>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</si>
  <si>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</si>
  <si>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</si>
  <si>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</si>
  <si>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</si>
  <si>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</si>
  <si>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</si>
  <si>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</si>
  <si>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</si>
  <si>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</si>
  <si>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</si>
  <si>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</si>
  <si>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</si>
  <si>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</si>
  <si>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</si>
  <si>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</si>
  <si>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</si>
  <si>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</si>
  <si>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</si>
  <si>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</si>
  <si>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</si>
  <si>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</si>
  <si>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</si>
  <si>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</si>
  <si>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</si>
  <si>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</si>
  <si>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</si>
  <si>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</si>
  <si>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</si>
  <si>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</si>
  <si>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</si>
  <si>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</si>
  <si>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</si>
  <si>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</si>
  <si>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</si>
  <si>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</si>
  <si>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</si>
  <si>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</si>
  <si>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</si>
  <si>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</si>
  <si>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</si>
  <si>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</si>
  <si>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</si>
  <si>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</si>
  <si>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</si>
  <si>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</si>
  <si>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</si>
  <si>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</si>
  <si>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</si>
  <si>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</si>
  <si>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</si>
  <si>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</si>
  <si>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</si>
  <si>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</si>
  <si>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</si>
  <si>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</si>
  <si>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</si>
  <si>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</si>
  <si>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</si>
  <si>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</si>
  <si>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</si>
  <si>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</si>
  <si>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</si>
  <si>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</si>
  <si>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</si>
  <si>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</si>
  <si>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</si>
  <si>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</si>
  <si>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</si>
  <si>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</si>
  <si>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</si>
  <si>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</si>
  <si>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</si>
  <si>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</si>
  <si>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</si>
  <si>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</si>
  <si>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</si>
  <si>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</si>
  <si>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</si>
  <si>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</si>
  <si>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</si>
  <si>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</si>
  <si>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</si>
  <si>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</si>
  <si>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</si>
  <si>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</si>
  <si>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</si>
  <si>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</si>
  <si>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</si>
  <si>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</si>
  <si>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</si>
  <si>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</si>
  <si>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</si>
  <si>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</si>
  <si>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</si>
  <si>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</si>
  <si>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</si>
  <si>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</si>
  <si>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</si>
  <si>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</si>
  <si>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</si>
  <si>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</si>
  <si>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</si>
  <si>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</si>
  <si>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</si>
  <si>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</si>
  <si>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</si>
  <si>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</si>
  <si>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</si>
  <si>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</si>
  <si>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</si>
  <si>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</si>
  <si>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</si>
  <si>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</si>
  <si>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</si>
  <si>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</si>
  <si>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</si>
  <si>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</si>
  <si>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</si>
  <si>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</si>
  <si>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</si>
  <si>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</si>
  <si>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</si>
  <si>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</si>
  <si>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</si>
  <si>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</si>
  <si>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</si>
  <si>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</si>
  <si>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</si>
  <si>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</si>
  <si>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</si>
  <si>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</si>
  <si>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</si>
  <si>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</si>
  <si>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</si>
  <si>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</si>
  <si>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</si>
  <si>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</si>
  <si>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</si>
  <si>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</si>
  <si>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</si>
  <si>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</si>
  <si>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</si>
  <si>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</si>
  <si>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</si>
  <si>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</si>
  <si>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</si>
  <si>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</si>
  <si>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</si>
  <si>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</si>
  <si>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</si>
  <si>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</si>
  <si>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</si>
  <si>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</si>
  <si>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</si>
  <si>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</si>
  <si>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</si>
  <si>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</si>
  <si>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</si>
  <si>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</si>
  <si>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</si>
  <si>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</si>
  <si>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</si>
  <si>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</si>
  <si>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</si>
  <si>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</si>
  <si>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</si>
  <si>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</si>
  <si>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</si>
  <si>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</si>
  <si>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</si>
  <si>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</si>
  <si>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</si>
  <si>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</si>
  <si>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</si>
  <si>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</si>
  <si>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</si>
  <si>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</si>
  <si>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</si>
  <si>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</si>
  <si>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</si>
  <si>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</si>
  <si>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</si>
  <si>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</si>
  <si>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</si>
  <si>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</si>
  <si>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</si>
  <si>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</si>
  <si>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</si>
  <si>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</si>
  <si>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</si>
  <si>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</si>
  <si>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</si>
  <si>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</si>
  <si>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</si>
  <si>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</si>
  <si>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</si>
  <si>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</si>
  <si>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</si>
  <si>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</si>
  <si>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</si>
  <si>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</si>
  <si>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</si>
  <si>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</si>
  <si>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</si>
  <si>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</si>
  <si>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</si>
  <si>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</si>
  <si>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</si>
  <si>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</si>
  <si>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</si>
  <si>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</si>
  <si>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</si>
  <si>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</si>
  <si>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</si>
  <si>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</si>
  <si>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</si>
  <si>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</si>
  <si>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</si>
  <si>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</si>
  <si>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</si>
  <si>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</si>
  <si>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</si>
  <si>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</si>
  <si>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</si>
  <si>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</si>
  <si>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</si>
  <si>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</si>
  <si>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</si>
  <si>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</si>
  <si>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</si>
  <si>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</si>
  <si>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</si>
  <si>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</si>
  <si>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</si>
  <si>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</si>
  <si>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</si>
  <si>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</si>
  <si>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</si>
  <si>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</si>
  <si>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</si>
  <si>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</si>
  <si>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</si>
  <si>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</si>
  <si>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</si>
  <si>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</si>
  <si>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</si>
  <si>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</si>
  <si>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</si>
  <si>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</si>
  <si>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</si>
  <si>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</si>
  <si>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</si>
  <si>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</si>
  <si>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</si>
  <si>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</si>
  <si>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</si>
  <si>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</si>
  <si>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</si>
  <si>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</si>
  <si>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</si>
  <si>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</si>
  <si>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</si>
  <si>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</si>
  <si>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</si>
  <si>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</si>
  <si>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</si>
  <si>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</si>
  <si>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</si>
  <si>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</si>
  <si>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</si>
  <si>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</si>
  <si>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</si>
  <si>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</si>
  <si>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</si>
  <si>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</si>
  <si>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</si>
  <si>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</si>
  <si>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</si>
  <si>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</si>
  <si>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</si>
  <si>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</si>
  <si>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</si>
  <si>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</si>
  <si>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</si>
  <si>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</si>
  <si>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</si>
  <si>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</si>
  <si>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</si>
  <si>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</si>
  <si>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</si>
  <si>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</si>
  <si>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</si>
  <si>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</si>
  <si>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</si>
  <si>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</si>
  <si>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</si>
  <si>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</si>
  <si>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</si>
  <si>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</si>
  <si>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</si>
  <si>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</si>
  <si>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</si>
  <si>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</si>
  <si>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</si>
  <si>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</si>
  <si>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</si>
  <si>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</si>
  <si>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</si>
  <si>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</si>
  <si>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</si>
  <si>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</si>
  <si>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</si>
  <si>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</si>
  <si>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</si>
  <si>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</si>
  <si>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</si>
  <si>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</si>
  <si>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</si>
  <si>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</si>
  <si>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</si>
  <si>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</si>
  <si>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</si>
  <si>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</si>
  <si>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</si>
  <si>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</si>
  <si>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</si>
  <si>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</si>
  <si>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Wakeland Price Fourth Corner LP</t>
  </si>
  <si>
    <t>Fourth Corner Apartments</t>
  </si>
  <si>
    <t>San Diego Housing Commission</t>
  </si>
  <si>
    <t>June</t>
  </si>
  <si>
    <t>Kenneth L. Sauder</t>
  </si>
  <si>
    <t>President &amp; CEO</t>
  </si>
  <si>
    <t>Colin Miller</t>
  </si>
  <si>
    <t>1122 Broadway, Suite 300</t>
  </si>
  <si>
    <t xml:space="preserve">San Diego  </t>
  </si>
  <si>
    <t>619-578-7426</t>
  </si>
  <si>
    <t>619-578-7356</t>
  </si>
  <si>
    <t>colinm@sdhc.org</t>
  </si>
  <si>
    <t>4021, 4029, 4035, 4037, 4061 Fairmount Ave.</t>
  </si>
  <si>
    <t>471-461-04, 05, 06, 07, 08, 09</t>
  </si>
  <si>
    <t>40%/60%</t>
  </si>
  <si>
    <t>1230 Columbia Street, Suite 950</t>
  </si>
  <si>
    <t>Peter Armstrong</t>
  </si>
  <si>
    <t>619-677-2300</t>
  </si>
  <si>
    <t>619-235-2296</t>
  </si>
  <si>
    <t>parmstrong@wakelandhdc.com</t>
  </si>
  <si>
    <t>Wakeland Housing and Development Corporation</t>
  </si>
  <si>
    <t>Wakeland Price Fourth Corner LLC</t>
  </si>
  <si>
    <t>Managing GP</t>
  </si>
  <si>
    <t>CA</t>
  </si>
  <si>
    <t>Wakeland Housing &amp; Development Corporation</t>
  </si>
  <si>
    <t>US Bank Construction Loan</t>
  </si>
  <si>
    <t>Price Philanthropies Soft Loan</t>
  </si>
  <si>
    <t>Price Philanthropies Land Donation</t>
  </si>
  <si>
    <t>US Bank Permanent Loan</t>
  </si>
  <si>
    <t>San Diego, CA 92101</t>
  </si>
  <si>
    <t>ksauder@wakelandhdc.com</t>
  </si>
  <si>
    <t>4859 West Mountain View Drive</t>
  </si>
  <si>
    <t>San Diego, CA 92116</t>
  </si>
  <si>
    <t>Deborah Smithton, Principal</t>
  </si>
  <si>
    <t>619-573-5522</t>
  </si>
  <si>
    <t>deborah@smithtonarchitects.com</t>
  </si>
  <si>
    <t>Gubb &amp; Barshay LLP</t>
  </si>
  <si>
    <t>505 14th Street, Suite 450</t>
  </si>
  <si>
    <t>Oakland, CA 94612</t>
  </si>
  <si>
    <t>Scott Barshay</t>
  </si>
  <si>
    <t>415-781-6600</t>
  </si>
  <si>
    <t>415-781-6967</t>
  </si>
  <si>
    <t>sbarshay@gubbandbarshay.com</t>
  </si>
  <si>
    <t>Sun Country Builders</t>
  </si>
  <si>
    <t>3156 Lionshead Ave, Suite 2</t>
  </si>
  <si>
    <t>Carlsbad, CA 92010</t>
  </si>
  <si>
    <t>John Ahlswede</t>
  </si>
  <si>
    <t>760-630-8042</t>
  </si>
  <si>
    <t>jahlswede@suncountrybuilders.net</t>
  </si>
  <si>
    <t>Novogradac &amp; Company LLP</t>
  </si>
  <si>
    <t>1000 SW Broadway, Ste 1680</t>
  </si>
  <si>
    <t>Portland, OR 97205</t>
  </si>
  <si>
    <t>Warren Sebra</t>
  </si>
  <si>
    <t>503-821-2710</t>
  </si>
  <si>
    <t>Warren.Sebra@novoco.com</t>
  </si>
  <si>
    <t>g.r.e.g. Consulting, Inc.</t>
  </si>
  <si>
    <t>2647 Gateway Road, #105-345</t>
  </si>
  <si>
    <t>Carlsbad, CA 92009</t>
  </si>
  <si>
    <t>Carol Roberts</t>
  </si>
  <si>
    <t>760-585-5310</t>
  </si>
  <si>
    <t>carol@gregconsulting.net</t>
  </si>
  <si>
    <t>Kinetic Valuation Group</t>
  </si>
  <si>
    <t>P.O. Box 68</t>
  </si>
  <si>
    <t>Corona Del Mar, CA 92625</t>
  </si>
  <si>
    <t>Jay Wortman</t>
  </si>
  <si>
    <t>818-914-1892</t>
  </si>
  <si>
    <t>jay@kvgteam.com</t>
  </si>
  <si>
    <t>California Housing Partnership Corporation</t>
  </si>
  <si>
    <t>4231 Balboa Avenue, #1018</t>
  </si>
  <si>
    <t>San Diego, CA 92117</t>
  </si>
  <si>
    <t>Diep Do</t>
  </si>
  <si>
    <t>(858) 617-0579</t>
  </si>
  <si>
    <t>ddo@@chpc.net</t>
  </si>
  <si>
    <t>ConAm</t>
  </si>
  <si>
    <t>3990 Ruffin Rd., #100</t>
  </si>
  <si>
    <t>San Diego, CA 92123</t>
  </si>
  <si>
    <t>Crystal Freel</t>
  </si>
  <si>
    <t>(858) 614-7259</t>
  </si>
  <si>
    <t>(858) 614-7576</t>
  </si>
  <si>
    <t>cfreel@conam.com</t>
  </si>
  <si>
    <t>City Heights Realty LLC</t>
  </si>
  <si>
    <t>Jeffrey Fisher</t>
  </si>
  <si>
    <t>Sophie Bernabe</t>
  </si>
  <si>
    <t>Secretary</t>
  </si>
  <si>
    <t>7777 Fay Ave., Suite 300</t>
  </si>
  <si>
    <t>La Jolla, CA 92037</t>
  </si>
  <si>
    <t>Chief Financial Officer</t>
  </si>
  <si>
    <t>619-784-9760</t>
  </si>
  <si>
    <t>Inner City Infill Site</t>
  </si>
  <si>
    <t>The project will include a 1,818 square community meeting space that will be made available to nonprofit organziations in City Heights for meetings and community events. The space will be available to the general public and not for the exclusive use of the residents.</t>
  </si>
  <si>
    <t>ADA Accessible Units</t>
  </si>
  <si>
    <t>Commercial Mixed Use</t>
  </si>
  <si>
    <t>CUPD-DU-2-3, 43 du per acre</t>
  </si>
  <si>
    <t>same zoning, unlimited density per density bonus</t>
  </si>
  <si>
    <t>Affordability restrictions up to 60% AMI per SB 1763</t>
  </si>
  <si>
    <t>83' maximum</t>
  </si>
  <si>
    <t>RTCIP Fee Waiver</t>
  </si>
  <si>
    <t>Costs Deferred Until Conversion</t>
  </si>
  <si>
    <t>Variable</t>
  </si>
  <si>
    <t>Fixed</t>
  </si>
  <si>
    <t>Interest only</t>
  </si>
  <si>
    <t>None</t>
  </si>
  <si>
    <t>1307 Washington Ave., Ste 300</t>
  </si>
  <si>
    <t>St. Louis, MO 63103</t>
  </si>
  <si>
    <t>Jennifer Craig</t>
  </si>
  <si>
    <t>314-622-7533</t>
  </si>
  <si>
    <t>bank construction loan</t>
  </si>
  <si>
    <t>Jeffrey Fisher, CFO</t>
  </si>
  <si>
    <t>(858) 373-2062</t>
  </si>
  <si>
    <t>residual receipts loan</t>
  </si>
  <si>
    <t>land donation</t>
  </si>
  <si>
    <t>9485 Aero Drive</t>
  </si>
  <si>
    <t>Colette Redon</t>
  </si>
  <si>
    <t>619-553-3685</t>
  </si>
  <si>
    <t>waived impact fees</t>
  </si>
  <si>
    <t>(619) 235-2296</t>
  </si>
  <si>
    <t>deferred costs</t>
  </si>
  <si>
    <t>bank permanent loan</t>
  </si>
  <si>
    <t>619.533.3685</t>
  </si>
  <si>
    <t>Admin Office Expenses</t>
  </si>
  <si>
    <t>Payroll Taxes/Benefits</t>
  </si>
  <si>
    <t>Other maintenance/janitorial</t>
  </si>
  <si>
    <t>Misc Taxes/Licenses/Permits</t>
  </si>
  <si>
    <t>Commercial TI Allowance</t>
  </si>
  <si>
    <t>Construction Lender Expenses/Inspections</t>
  </si>
  <si>
    <t>Permanent Lender Legal</t>
  </si>
  <si>
    <t>Borrower Construction Legal</t>
  </si>
  <si>
    <t>3rd Party Construction Manager/Security During Construction</t>
  </si>
  <si>
    <t>ConAm Management Co.</t>
  </si>
  <si>
    <t>San Diego Metropolitan Transit System</t>
  </si>
  <si>
    <t>1255 Imperial Ave., Ste 1000</t>
  </si>
  <si>
    <t>San Diego 92101</t>
  </si>
  <si>
    <t>Customer Service</t>
  </si>
  <si>
    <t>619-557-4555</t>
  </si>
  <si>
    <t>www.sdmts.com</t>
  </si>
  <si>
    <t>Highland and Landis Park</t>
  </si>
  <si>
    <t>4380 Landis Street</t>
  </si>
  <si>
    <t>San Diego 92105</t>
  </si>
  <si>
    <t>Raul Contreras, Area Manager II</t>
  </si>
  <si>
    <t>619-641-6125</t>
  </si>
  <si>
    <t>https://www.sandiego.gov/park-and-recreation/centers/recctr/cityhts</t>
  </si>
  <si>
    <t>City Heights Weingart Library</t>
  </si>
  <si>
    <t>3795 Fairmount Ave</t>
  </si>
  <si>
    <t>San Diego, 92105</t>
  </si>
  <si>
    <t>Jennifer Geran</t>
  </si>
  <si>
    <t>619-641-6100</t>
  </si>
  <si>
    <t>https://www.sandiego.gov/public-library/locations/city-heights-weingart-library-and-performance-annex</t>
  </si>
  <si>
    <t>El Super</t>
  </si>
  <si>
    <t>4421 University Ave</t>
  </si>
  <si>
    <t>Customerservice@elsuper.org</t>
  </si>
  <si>
    <t>619-400-2150</t>
  </si>
  <si>
    <t>https://www.elsupermarkets.com/store-locator</t>
  </si>
  <si>
    <t>Hoover High School</t>
  </si>
  <si>
    <t>4474 El Cajon Blvd</t>
  </si>
  <si>
    <t>San Diego 92115</t>
  </si>
  <si>
    <t>Jason Babineau, Principal</t>
  </si>
  <si>
    <t>619-344-4500</t>
  </si>
  <si>
    <t>https://hoover.sandiegounified.org/</t>
  </si>
  <si>
    <t>La Maestra Community Clinic</t>
  </si>
  <si>
    <t>4060 Fairmount Ave</t>
  </si>
  <si>
    <t>Zara Marselian, President &amp; CEO</t>
  </si>
  <si>
    <t>619-255-9155</t>
  </si>
  <si>
    <t>http://lamaestracenter.org/</t>
  </si>
  <si>
    <t>Walgreens Pharmacy</t>
  </si>
  <si>
    <t>4029 43rd Street</t>
  </si>
  <si>
    <t>619-521-9753</t>
  </si>
  <si>
    <t>https://www.walgreens.com/locator/walgreens-4029+43rd+st-san+diego-ca-92105/id=13161</t>
  </si>
  <si>
    <t>Cash flow from operations</t>
  </si>
  <si>
    <t>Commitment Letter</t>
  </si>
  <si>
    <t>.28 FTE</t>
  </si>
  <si>
    <t>60 hours/Yr</t>
  </si>
  <si>
    <t>.03 miles</t>
  </si>
  <si>
    <t>.21 miles</t>
  </si>
  <si>
    <t>.18 miles</t>
  </si>
  <si>
    <t>.10 miles</t>
  </si>
  <si>
    <t>.36 miles</t>
  </si>
  <si>
    <t>.05 miles</t>
  </si>
  <si>
    <t>.04 miles</t>
  </si>
  <si>
    <t>619-235-5386</t>
  </si>
  <si>
    <t>TBD</t>
  </si>
  <si>
    <t>Price Philanthropies soft loan</t>
  </si>
  <si>
    <t>Limited Partner Equity (Net)</t>
  </si>
  <si>
    <t>Smithton Architects (fka DESS Partners)</t>
  </si>
  <si>
    <t>0.5 spaces per unit under Density Bonus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</si>
</sst>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5" t="s">
        <v>2130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2134</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2316</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2317</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2041</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2313</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1421</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1265</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9" t="s">
        <v>1899</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9" t="s">
        <v>2129</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1" t="s">
        <v>2131</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213</v>
      </c>
      <c r="G51" s="1552" t="s">
        <v>1900</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9" t="s">
        <v>1903</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213</v>
      </c>
      <c r="G61" s="1549" t="s">
        <v>1902</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9" t="s">
        <v>1904</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213</v>
      </c>
      <c r="G67" s="1549" t="s">
        <v>1905</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1920</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1921</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1906</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1907</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1913</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1914</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1915</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1916</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1917</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1918</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1919</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1922</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49" t="s">
        <v>1923</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9" t="s">
        <v>1924</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9" t="s">
        <v>1925</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9" t="s">
        <v>1926</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2055</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1003</v>
      </c>
      <c r="F348" s="1549" t="s">
        <v>2056</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1004</v>
      </c>
      <c r="F352" s="1549" t="s">
        <v>2057</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2052</v>
      </c>
    </row>
    <row r="366" spans="1:38" s="1555" customFormat="1">
      <c r="A366" s="1"/>
      <c r="B366" s="358"/>
      <c r="C366" s="1"/>
      <c r="D366" s="1"/>
    </row>
    <row r="367" spans="1:38">
      <c r="A367" s="1"/>
      <c r="B367" s="358"/>
      <c r="C367" s="1"/>
      <c r="D367" s="1"/>
      <c r="E367" s="1"/>
      <c r="F367" s="1553" t="s">
        <v>2053</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zoomScale="130" zoomScaleNormal="130" workbookViewId="0">
      <selection activeCell="A19" sqref="A19:AQ19"/>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39" t="s">
        <v>2340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37" t="s">
        <v>530</v>
      </c>
      <c r="V6" s="2637"/>
      <c r="W6" s="2637"/>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45"/>
      <c r="Q9" s="2645"/>
      <c r="R9" s="2645"/>
      <c r="S9" s="2645"/>
      <c r="T9" s="2645"/>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118</v>
      </c>
    </row>
    <row r="12" spans="1:57">
      <c r="A12" s="1513"/>
      <c r="B12" s="1513"/>
      <c r="E12" s="1514"/>
      <c r="I12" s="1516"/>
      <c r="K12" s="1517"/>
      <c r="BC12" s="1511" t="s">
        <v>530</v>
      </c>
    </row>
    <row r="13" spans="1:57">
      <c r="A13" s="1513"/>
      <c r="B13" s="1513"/>
      <c r="D13" s="1511" t="s">
        <v>2348</v>
      </c>
      <c r="E13" s="1514"/>
      <c r="I13" s="1516"/>
      <c r="K13" s="1517"/>
      <c r="T13" s="2637" t="s">
        <v>530</v>
      </c>
      <c r="U13" s="2637"/>
      <c r="V13" s="2637"/>
    </row>
    <row r="14" spans="1:57">
      <c r="A14" s="1513"/>
      <c r="B14" s="1513"/>
      <c r="E14" s="1514" t="s">
        <v>2355</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1338479</v>
      </c>
    </row>
    <row r="16" spans="1:57">
      <c r="A16" s="1513"/>
      <c r="B16" s="1513"/>
      <c r="BC16" s="1511" t="s">
        <v>2364</v>
      </c>
      <c r="BE16" s="1511">
        <f>'Basis &amp; Credits'!T11+'Basis &amp; Credits'!AD11</f>
        <v>35381139</v>
      </c>
    </row>
    <row r="17" spans="1:43">
      <c r="A17" s="1513"/>
      <c r="B17" s="1513"/>
      <c r="D17" s="1511" t="s">
        <v>2350</v>
      </c>
      <c r="E17" s="1514"/>
      <c r="I17" s="1516"/>
      <c r="K17" s="1517"/>
      <c r="U17" s="2644" t="str">
        <f>IF(T13="yes",(BE15/BE16)," ")</f>
        <v xml:space="preserve"> </v>
      </c>
      <c r="V17" s="2644"/>
      <c r="W17" s="2644"/>
      <c r="X17" s="2644"/>
      <c r="Y17" s="2644"/>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6">
        <f>ROUND('Basis &amp; Credits'!AB55,0)</f>
        <v>1338479</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2330</v>
      </c>
      <c r="M24" s="2649"/>
      <c r="N24" s="2649"/>
      <c r="P24" s="2634" t="s">
        <v>2331</v>
      </c>
      <c r="Q24" s="2634"/>
      <c r="R24" s="2634"/>
      <c r="S24" s="2634"/>
      <c r="T24" s="2634"/>
      <c r="V24" s="2634" t="s">
        <v>2332</v>
      </c>
      <c r="W24" s="2634"/>
      <c r="X24" s="2634"/>
      <c r="AC24" s="1511"/>
      <c r="AD24" s="1511"/>
      <c r="AE24" s="1511"/>
      <c r="AF24" s="1511"/>
      <c r="AG24" s="1511"/>
      <c r="AH24" s="1511"/>
    </row>
    <row r="25" spans="1:43">
      <c r="C25" s="1519" t="s">
        <v>206</v>
      </c>
      <c r="D25" s="1519"/>
      <c r="E25" s="1511" t="s">
        <v>1089</v>
      </c>
      <c r="F25" s="1511"/>
      <c r="J25" s="1525"/>
      <c r="L25" s="2635" t="s">
        <v>2333</v>
      </c>
      <c r="M25" s="2635"/>
      <c r="N25" s="2635"/>
      <c r="P25" s="2635" t="s">
        <v>2334</v>
      </c>
      <c r="Q25" s="2635"/>
      <c r="R25" s="2635"/>
      <c r="S25" s="2635"/>
      <c r="T25" s="2635"/>
      <c r="V25" s="2635" t="s">
        <v>2333</v>
      </c>
      <c r="W25" s="2635"/>
      <c r="X25" s="2635"/>
    </row>
    <row r="26" spans="1:43">
      <c r="C26" s="1513"/>
      <c r="D26" s="1513"/>
      <c r="E26" s="1529" t="s">
        <v>2335</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2336</v>
      </c>
      <c r="F27" s="1528"/>
      <c r="J27" s="1530"/>
      <c r="L27" s="2626">
        <f>Application!BS627</f>
        <v>0</v>
      </c>
      <c r="M27" s="2626">
        <f>Application!BS635+Application!BS644+Application!CX658</f>
        <v>0</v>
      </c>
      <c r="N27" s="2626"/>
      <c r="P27" s="2631">
        <v>1</v>
      </c>
      <c r="Q27" s="2631"/>
      <c r="R27" s="2631"/>
      <c r="S27" s="2631"/>
      <c r="T27" s="2631"/>
      <c r="V27" s="2632">
        <f t="shared" ref="V27:V29" si="0">L27*P27</f>
        <v>0</v>
      </c>
      <c r="W27" s="2632"/>
      <c r="X27" s="2632"/>
    </row>
    <row r="28" spans="1:43">
      <c r="C28" s="1513"/>
      <c r="D28" s="1513"/>
      <c r="E28" s="1528" t="s">
        <v>2337</v>
      </c>
      <c r="F28" s="1528"/>
      <c r="J28" s="1530"/>
      <c r="L28" s="2626">
        <f>Application!BX627</f>
        <v>54</v>
      </c>
      <c r="M28" s="2626">
        <f>Application!BX635+Application!BX644+Application!DC658</f>
        <v>0</v>
      </c>
      <c r="N28" s="2626"/>
      <c r="P28" s="2631">
        <v>1.25</v>
      </c>
      <c r="Q28" s="2631"/>
      <c r="R28" s="2631"/>
      <c r="S28" s="2631"/>
      <c r="T28" s="2631"/>
      <c r="V28" s="2632">
        <f t="shared" si="0"/>
        <v>67.5</v>
      </c>
      <c r="W28" s="2632"/>
      <c r="X28" s="2632"/>
    </row>
    <row r="29" spans="1:43">
      <c r="C29" s="1513"/>
      <c r="D29" s="1513"/>
      <c r="E29" s="1528" t="s">
        <v>2338</v>
      </c>
      <c r="F29" s="1528"/>
      <c r="J29" s="1530"/>
      <c r="L29" s="2626">
        <f>Application!CC627</f>
        <v>20</v>
      </c>
      <c r="M29" s="2626">
        <f>Application!CC635+Application!CC644+Application!DH658</f>
        <v>0</v>
      </c>
      <c r="N29" s="2626"/>
      <c r="P29" s="2631">
        <v>1.5</v>
      </c>
      <c r="Q29" s="2631"/>
      <c r="R29" s="2631"/>
      <c r="S29" s="2631"/>
      <c r="T29" s="2631"/>
      <c r="V29" s="2632">
        <f t="shared" si="0"/>
        <v>30</v>
      </c>
      <c r="W29" s="2632"/>
      <c r="X29" s="2632"/>
    </row>
    <row r="30" spans="1:43">
      <c r="C30" s="1513"/>
      <c r="D30" s="1513"/>
      <c r="E30" s="1528" t="s">
        <v>2339</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74</v>
      </c>
      <c r="M31" s="2648"/>
      <c r="N31" s="2648"/>
      <c r="V31" s="2636">
        <f>SUM(V26:X30)</f>
        <v>97.5</v>
      </c>
      <c r="W31" s="2636"/>
      <c r="X31" s="2636"/>
      <c r="AA31" s="1514"/>
    </row>
    <row r="32" spans="1:43">
      <c r="C32" s="1513"/>
      <c r="D32" s="1513"/>
      <c r="F32" s="1511"/>
      <c r="G32" s="1514"/>
      <c r="J32" s="1515"/>
      <c r="K32" s="1531"/>
      <c r="N32" s="1515"/>
    </row>
    <row r="33" spans="1:27">
      <c r="C33" s="1519" t="s">
        <v>207</v>
      </c>
      <c r="D33" s="1519"/>
      <c r="E33" s="1532" t="s">
        <v>2354</v>
      </c>
      <c r="H33" s="1533"/>
      <c r="I33" s="1534"/>
      <c r="J33" s="1535"/>
      <c r="K33" s="1531"/>
      <c r="M33" s="1512"/>
      <c r="V33" s="2628">
        <f>IF(V31&gt;0,V31/Q22," ")</f>
        <v>7.2843877266658643E-5</v>
      </c>
      <c r="W33" s="2629"/>
      <c r="X33" s="2629"/>
      <c r="Y33" s="2629"/>
      <c r="Z33" s="2629"/>
      <c r="AA33" s="2630"/>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40">
        <f>IF(V31&gt;0,1/V33," ")</f>
        <v>13727.989743589744</v>
      </c>
      <c r="W35" s="2641"/>
      <c r="X35" s="2641"/>
      <c r="Y35" s="2641"/>
      <c r="Z35" s="2641"/>
      <c r="AA35" s="264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9" zoomScaleNormal="100" zoomScaleSheetLayoutView="90" workbookViewId="0">
      <selection activeCell="I45" sqref="I45"/>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7" t="s">
        <v>2121</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1833</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1909</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1910</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2222</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2032</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2033</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1908</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1812</v>
      </c>
      <c r="C29" s="2695"/>
      <c r="D29" s="2695"/>
      <c r="E29" s="2695"/>
      <c r="F29" s="2695"/>
      <c r="G29" s="2695"/>
      <c r="H29" s="821"/>
      <c r="I29" s="821"/>
      <c r="J29" s="821"/>
      <c r="K29" s="821"/>
      <c r="L29" s="821"/>
      <c r="M29" s="821"/>
      <c r="N29" s="821"/>
      <c r="O29" s="2693" t="s">
        <v>1821</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154</v>
      </c>
      <c r="J32" s="2654" t="s">
        <v>1095</v>
      </c>
      <c r="K32" s="2697">
        <v>1</v>
      </c>
      <c r="L32" s="819"/>
      <c r="M32" s="822"/>
      <c r="N32" s="819"/>
      <c r="O32" s="2694"/>
      <c r="P32" s="2654" t="s">
        <v>2220</v>
      </c>
      <c r="Q32" s="819"/>
      <c r="R32" s="819"/>
      <c r="S32" s="819"/>
    </row>
    <row r="33" spans="1:19" ht="15" customHeight="1">
      <c r="A33" s="819"/>
      <c r="B33" s="2652" t="s">
        <v>1816</v>
      </c>
      <c r="C33" s="2652"/>
      <c r="D33" s="2652"/>
      <c r="E33" s="2652"/>
      <c r="F33" s="2652"/>
      <c r="G33" s="2652"/>
      <c r="H33" s="819"/>
      <c r="I33" s="2662"/>
      <c r="J33" s="2654"/>
      <c r="K33" s="2697"/>
      <c r="L33" s="819"/>
      <c r="M33" s="823"/>
      <c r="N33" s="819"/>
      <c r="O33" s="2652" t="s">
        <v>1816</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1804</v>
      </c>
      <c r="C37" s="2676"/>
      <c r="D37" s="2676"/>
      <c r="E37" s="2676"/>
      <c r="F37" s="830"/>
      <c r="G37" s="830"/>
      <c r="H37" s="831"/>
      <c r="I37" s="832"/>
      <c r="J37" s="832"/>
      <c r="P37" s="819"/>
      <c r="Q37" s="833"/>
      <c r="R37" s="833"/>
      <c r="S37" s="819"/>
    </row>
    <row r="38" spans="1:19" ht="15" customHeight="1">
      <c r="A38" s="819"/>
      <c r="B38" s="2681" t="s">
        <v>1822</v>
      </c>
      <c r="C38" s="2681"/>
      <c r="D38" s="2681"/>
      <c r="E38" s="2681"/>
      <c r="F38" s="1046"/>
      <c r="G38" s="834">
        <f>D110</f>
        <v>0</v>
      </c>
      <c r="H38" s="835"/>
      <c r="I38" s="836"/>
      <c r="J38" s="835"/>
      <c r="L38" s="1326"/>
      <c r="M38" s="1326"/>
      <c r="N38" s="1326"/>
      <c r="O38" s="1326"/>
      <c r="P38" s="782"/>
      <c r="Q38" s="2651"/>
      <c r="R38" s="2651"/>
      <c r="S38" s="782"/>
    </row>
    <row r="39" spans="1:19" ht="15" customHeight="1">
      <c r="A39" s="597"/>
      <c r="B39" s="2682" t="s">
        <v>1417</v>
      </c>
      <c r="C39" s="2682"/>
      <c r="D39" s="2682"/>
      <c r="E39" s="2682"/>
      <c r="F39" s="1046"/>
      <c r="G39" s="1003">
        <v>3750000</v>
      </c>
      <c r="H39" s="835"/>
      <c r="I39" s="836"/>
      <c r="J39" s="835"/>
      <c r="L39" s="835"/>
      <c r="M39" s="833"/>
      <c r="N39" s="833"/>
      <c r="O39" s="833"/>
      <c r="P39" s="782"/>
      <c r="Q39" s="1183"/>
      <c r="R39" s="1183"/>
      <c r="S39" s="782"/>
    </row>
    <row r="40" spans="1:19" ht="15" customHeight="1">
      <c r="A40" s="597"/>
      <c r="B40" s="2682" t="s">
        <v>1418</v>
      </c>
      <c r="C40" s="2682"/>
      <c r="D40" s="2682"/>
      <c r="E40" s="2682"/>
      <c r="F40" s="1046"/>
      <c r="G40" s="1003">
        <v>178192</v>
      </c>
      <c r="H40" s="835"/>
      <c r="I40" s="836"/>
      <c r="J40" s="835"/>
      <c r="K40" s="2686"/>
      <c r="L40" s="2686"/>
      <c r="M40" s="2686"/>
      <c r="N40" s="2686"/>
      <c r="O40" s="2686"/>
      <c r="P40" s="1075"/>
      <c r="Q40" s="2651"/>
      <c r="R40" s="2651"/>
      <c r="S40" s="819"/>
    </row>
    <row r="41" spans="1:19" ht="15" customHeight="1">
      <c r="A41" s="597"/>
      <c r="B41" s="2683" t="s">
        <v>1817</v>
      </c>
      <c r="C41" s="2683"/>
      <c r="D41" s="2683"/>
      <c r="E41" s="2683"/>
      <c r="F41" s="1046"/>
      <c r="G41" s="835"/>
      <c r="H41" s="835"/>
      <c r="I41" s="836"/>
      <c r="J41" s="835"/>
      <c r="K41" s="835"/>
      <c r="L41" s="835"/>
      <c r="M41" s="833"/>
      <c r="N41" s="833"/>
      <c r="O41" s="833"/>
      <c r="P41" s="782"/>
      <c r="Q41" s="837"/>
      <c r="R41" s="837"/>
      <c r="S41" s="819"/>
    </row>
    <row r="42" spans="1:19" ht="15" customHeight="1">
      <c r="A42" s="597"/>
      <c r="B42" s="1005" t="s">
        <v>2395</v>
      </c>
      <c r="C42" s="1005"/>
      <c r="D42" s="998"/>
      <c r="E42" s="1049">
        <v>14250000</v>
      </c>
      <c r="F42" s="1046"/>
      <c r="G42" s="835"/>
      <c r="H42" s="835"/>
      <c r="I42" s="836"/>
      <c r="J42" s="835"/>
      <c r="K42" s="2686"/>
      <c r="L42" s="2686"/>
      <c r="M42" s="2686"/>
      <c r="N42" s="2686"/>
      <c r="O42" s="2686"/>
      <c r="P42" s="1075"/>
      <c r="Q42" s="2651"/>
      <c r="R42" s="265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2102</v>
      </c>
      <c r="P44" s="1075"/>
      <c r="Q44" s="2651"/>
      <c r="R44" s="2651"/>
      <c r="S44" s="819"/>
    </row>
    <row r="45" spans="1:19" ht="15" customHeight="1">
      <c r="A45" s="597"/>
      <c r="B45" s="1005"/>
      <c r="C45" s="1005"/>
      <c r="D45" s="814"/>
      <c r="E45" s="1049"/>
      <c r="F45" s="1046"/>
      <c r="G45" s="835"/>
      <c r="H45" s="835"/>
      <c r="I45" s="836"/>
      <c r="K45" s="1333" t="s">
        <v>2097</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2098</v>
      </c>
      <c r="L46" s="2657"/>
      <c r="M46" s="2657"/>
      <c r="N46" s="2657"/>
      <c r="O46" s="2657"/>
      <c r="P46" s="819"/>
      <c r="Q46" s="2655"/>
      <c r="R46" s="2655"/>
      <c r="S46" s="819"/>
    </row>
    <row r="47" spans="1:19" ht="15" customHeight="1">
      <c r="A47" s="597"/>
      <c r="B47" s="1005"/>
      <c r="C47" s="1005"/>
      <c r="D47" s="814"/>
      <c r="E47" s="1049"/>
      <c r="F47" s="1046"/>
      <c r="G47" s="835"/>
      <c r="H47" s="835"/>
      <c r="I47" s="836"/>
      <c r="J47" s="835"/>
      <c r="K47" s="2656" t="s">
        <v>2099</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2100</v>
      </c>
      <c r="L48" s="2691"/>
      <c r="M48" s="2691"/>
      <c r="N48" s="2691"/>
      <c r="O48" s="269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1813</v>
      </c>
      <c r="C52" s="2681"/>
      <c r="D52" s="2681"/>
      <c r="E52" s="2681"/>
      <c r="F52" s="1046"/>
      <c r="G52" s="834">
        <f>SUM(E42:E49)-ABS(E50)-ABS(E51)</f>
        <v>14250000</v>
      </c>
      <c r="H52" s="835"/>
      <c r="I52" s="836"/>
      <c r="J52" s="835"/>
    </row>
    <row r="53" spans="1:29" ht="15" customHeight="1">
      <c r="A53" s="597"/>
      <c r="B53" s="819"/>
      <c r="C53" s="840"/>
      <c r="D53" s="840" t="s">
        <v>973</v>
      </c>
      <c r="E53" s="841"/>
      <c r="F53" s="841"/>
      <c r="G53" s="842">
        <f>SUM(G38:G40)+G52</f>
        <v>18178192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4" t="s">
        <v>1396</v>
      </c>
      <c r="C56" s="2684"/>
      <c r="D56" s="1046"/>
      <c r="E56" s="1046"/>
      <c r="F56" s="1046"/>
      <c r="G56" s="1046"/>
      <c r="H56" s="1046"/>
      <c r="I56" s="1046"/>
      <c r="J56" s="1046"/>
      <c r="K56" s="1046"/>
      <c r="L56" s="1046"/>
      <c r="M56" s="1046"/>
      <c r="N56" s="1046"/>
      <c r="O56" s="1046"/>
      <c r="P56" s="1046"/>
      <c r="Q56" s="819"/>
      <c r="R56" s="819"/>
      <c r="S56" s="819"/>
      <c r="U56" s="1260" t="s">
        <v>2026</v>
      </c>
      <c r="AC56" s="1314">
        <v>0.2</v>
      </c>
    </row>
    <row r="57" spans="1:29" ht="15" customHeight="1">
      <c r="A57" s="838"/>
      <c r="B57" s="2685" t="s">
        <v>1807</v>
      </c>
      <c r="C57" s="2685"/>
      <c r="D57" s="2685"/>
      <c r="E57" s="2685"/>
      <c r="F57" s="2685"/>
      <c r="G57" s="2685"/>
      <c r="H57" s="2685"/>
      <c r="I57" s="2685"/>
      <c r="J57" s="2685"/>
      <c r="K57" s="2685"/>
      <c r="L57" s="2685"/>
      <c r="M57" s="2685"/>
      <c r="N57" s="2685"/>
      <c r="O57" s="2685"/>
      <c r="P57" s="1046"/>
      <c r="Q57" s="819"/>
      <c r="R57" s="819"/>
      <c r="S57" s="819"/>
      <c r="U57" s="1260" t="s">
        <v>2027</v>
      </c>
      <c r="AC57" s="1314">
        <v>0.1</v>
      </c>
    </row>
    <row r="58" spans="1:29" ht="15" customHeight="1">
      <c r="A58" s="819"/>
      <c r="B58" s="2676" t="s">
        <v>1806</v>
      </c>
      <c r="C58" s="2677"/>
      <c r="D58" s="2677"/>
      <c r="E58" s="2677"/>
      <c r="F58" s="845"/>
      <c r="G58" s="845"/>
      <c r="H58" s="846"/>
      <c r="I58" s="846"/>
      <c r="J58" s="2678">
        <f>('Sources and Uses Budget'!D104+Q47)/('Sources and Uses Budget'!B104+Q48)</f>
        <v>4.9074171586270575E-3</v>
      </c>
      <c r="K58" s="2679"/>
      <c r="L58" s="2679"/>
      <c r="M58" s="2679"/>
      <c r="N58" s="2680"/>
      <c r="O58" s="846"/>
      <c r="P58" s="846"/>
      <c r="Q58" s="819"/>
      <c r="R58" s="819"/>
      <c r="S58" s="819"/>
      <c r="U58" s="1260" t="s">
        <v>2028</v>
      </c>
      <c r="AC58" s="1314">
        <v>0.1</v>
      </c>
    </row>
    <row r="59" spans="1:29" ht="15" customHeight="1">
      <c r="A59" s="819"/>
      <c r="B59" s="2666" t="s">
        <v>2031</v>
      </c>
      <c r="C59" s="2666"/>
      <c r="D59" s="2666"/>
      <c r="E59" s="2666"/>
      <c r="F59" s="2666"/>
      <c r="G59" s="2666"/>
      <c r="H59" s="2666"/>
      <c r="I59" s="2666"/>
      <c r="J59" s="2666"/>
      <c r="K59" s="2666"/>
      <c r="L59" s="2666"/>
      <c r="M59" s="2666"/>
      <c r="N59" s="2666"/>
      <c r="O59" s="2666"/>
      <c r="P59" s="846"/>
      <c r="Q59" s="819"/>
      <c r="R59" s="819"/>
      <c r="S59" s="819"/>
      <c r="U59" s="1260" t="s">
        <v>2029</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1808</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2221</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1818</v>
      </c>
      <c r="C64" s="2668"/>
      <c r="D64" s="833"/>
      <c r="F64" s="833"/>
      <c r="G64" s="1334" t="s">
        <v>2101</v>
      </c>
      <c r="H64" s="833"/>
      <c r="I64" s="1271"/>
      <c r="J64" s="2674"/>
      <c r="K64" s="2675"/>
      <c r="L64" s="2675"/>
      <c r="M64" s="2675"/>
      <c r="N64" s="2675"/>
      <c r="O64" s="2675"/>
      <c r="P64" s="2675"/>
      <c r="Q64" s="2675"/>
      <c r="R64" s="2675"/>
      <c r="S64" s="819"/>
      <c r="U64" s="2699"/>
    </row>
    <row r="65" spans="1:22" ht="15" customHeight="1">
      <c r="A65" s="819"/>
      <c r="B65" s="848" t="s">
        <v>1811</v>
      </c>
      <c r="C65" s="1011" t="str">
        <f>IF(Application!M349="Yes","Yes","No")</f>
        <v>Yes</v>
      </c>
      <c r="E65" s="1335"/>
      <c r="F65" s="1335"/>
      <c r="G65" s="1336" t="s">
        <v>2103</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1895</v>
      </c>
      <c r="C66" s="1012">
        <f>Application!AG430-Application!AG431</f>
        <v>75</v>
      </c>
      <c r="D66" s="1335"/>
      <c r="E66" s="849" t="s">
        <v>2104</v>
      </c>
      <c r="F66" s="1335"/>
      <c r="G66" s="1059"/>
      <c r="H66" s="850"/>
      <c r="I66" s="1272"/>
      <c r="J66" s="2674"/>
      <c r="K66" s="2675"/>
      <c r="L66" s="2675"/>
      <c r="M66" s="2675"/>
      <c r="N66" s="2675"/>
      <c r="O66" s="2675"/>
      <c r="P66" s="2675"/>
      <c r="Q66" s="2675"/>
      <c r="R66" s="2675"/>
      <c r="S66" s="819"/>
      <c r="U66" s="2699"/>
    </row>
    <row r="67" spans="1:22" ht="15" customHeight="1">
      <c r="A67" s="819"/>
      <c r="B67" s="849" t="s">
        <v>1805</v>
      </c>
      <c r="C67" s="1013">
        <f>MIN(IF(AND(C65="Yes",G67&gt;=50),(0.75+(G67/200)),1),1.5)</f>
        <v>1.125</v>
      </c>
      <c r="D67" s="850"/>
      <c r="E67" s="849" t="s">
        <v>1896</v>
      </c>
      <c r="G67" s="1012">
        <f>C66+G66</f>
        <v>75</v>
      </c>
      <c r="H67" s="850"/>
      <c r="I67" s="1272"/>
      <c r="J67" s="2671" t="s">
        <v>135</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1815</v>
      </c>
      <c r="C70" s="2669"/>
      <c r="D70" s="820"/>
      <c r="E70" s="820"/>
      <c r="F70" s="820"/>
      <c r="G70" s="820"/>
      <c r="H70" s="819"/>
      <c r="I70" s="819"/>
      <c r="J70" s="819"/>
      <c r="K70" s="819"/>
      <c r="L70" s="819"/>
      <c r="M70" s="819"/>
      <c r="N70" s="819"/>
      <c r="O70" s="819"/>
      <c r="P70" s="819"/>
      <c r="Q70" s="819"/>
      <c r="R70" s="819"/>
      <c r="S70" s="819"/>
      <c r="U70" s="2703"/>
      <c r="V70" s="638" t="s">
        <v>2030</v>
      </c>
    </row>
    <row r="71" spans="1:22" ht="15" customHeight="1">
      <c r="A71" s="819"/>
      <c r="B71" s="2670" t="s">
        <v>1819</v>
      </c>
      <c r="C71" s="2670"/>
      <c r="D71" s="2670"/>
      <c r="E71" s="820"/>
      <c r="F71" s="820"/>
      <c r="G71" s="834">
        <f>G53*(1-J58)</f>
        <v>18088984.028666381</v>
      </c>
      <c r="H71" s="819"/>
      <c r="I71" s="819"/>
      <c r="J71" s="852"/>
      <c r="K71" s="1168" t="s">
        <v>1821</v>
      </c>
      <c r="L71" s="1168"/>
      <c r="M71" s="1168"/>
      <c r="N71" s="1168"/>
      <c r="O71" s="1168"/>
      <c r="P71" s="819"/>
      <c r="Q71" s="2657">
        <f>'Basis &amp; Credits'!T23+'Basis &amp; Credits'!Y23+'Basis &amp; Credits'!AD23+'Basis &amp; Credits'!AI23</f>
        <v>11439991</v>
      </c>
      <c r="R71" s="2657"/>
      <c r="S71" s="819"/>
    </row>
    <row r="72" spans="1:22" ht="15" customHeight="1">
      <c r="A72" s="819"/>
      <c r="B72" s="2659" t="s">
        <v>1820</v>
      </c>
      <c r="C72" s="2659"/>
      <c r="D72" s="2659"/>
      <c r="E72" s="820"/>
      <c r="F72" s="820"/>
      <c r="G72" s="834">
        <f>G71*C67</f>
        <v>20350107.032249678</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20350107.032249678</v>
      </c>
      <c r="C75" s="2661"/>
      <c r="D75" s="2661"/>
      <c r="E75" s="2661"/>
      <c r="F75" s="2661"/>
      <c r="G75" s="2661"/>
      <c r="H75" s="853"/>
      <c r="I75" s="2662" t="s">
        <v>154</v>
      </c>
      <c r="J75" s="2654" t="s">
        <v>1095</v>
      </c>
      <c r="K75" s="2662">
        <v>1</v>
      </c>
      <c r="L75" s="819"/>
      <c r="M75" s="825"/>
      <c r="N75" s="851"/>
      <c r="O75" s="1061">
        <f>$Q$71</f>
        <v>11439991</v>
      </c>
      <c r="P75" s="2654" t="s">
        <v>2220</v>
      </c>
      <c r="Q75" s="2663" t="s">
        <v>153</v>
      </c>
      <c r="R75" s="2700">
        <f>((B75/B76)+((1-(O75/O76))/2))+U69</f>
        <v>0.86075065578814902</v>
      </c>
    </row>
    <row r="76" spans="1:22" ht="15" customHeight="1" thickBot="1">
      <c r="A76" s="819"/>
      <c r="B76" s="2664">
        <f>'Sources and Uses Budget'!$C$104+$Q$46-($E$50+$E$51)*(1-$J$58)</f>
        <v>40554636</v>
      </c>
      <c r="C76" s="2665"/>
      <c r="D76" s="2665"/>
      <c r="E76" s="2665"/>
      <c r="F76" s="2665"/>
      <c r="G76" s="2664"/>
      <c r="H76" s="819"/>
      <c r="I76" s="2662"/>
      <c r="J76" s="2654"/>
      <c r="K76" s="2662"/>
      <c r="L76" s="819"/>
      <c r="M76" s="1042"/>
      <c r="N76" s="819"/>
      <c r="O76" s="1060">
        <f>B76</f>
        <v>40554636</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 customHeight="1">
      <c r="A82" s="819"/>
      <c r="B82" s="1291" t="s">
        <v>2036</v>
      </c>
      <c r="C82" s="1280"/>
      <c r="D82" s="1275"/>
      <c r="E82" s="1280"/>
      <c r="F82" s="1280"/>
      <c r="G82" s="1282"/>
      <c r="H82" s="819"/>
      <c r="I82" s="836"/>
      <c r="J82" s="819"/>
      <c r="L82" s="819"/>
      <c r="M82" s="819"/>
      <c r="N82" s="819"/>
      <c r="O82" s="819"/>
      <c r="P82" s="819"/>
      <c r="Q82" s="819"/>
      <c r="R82" s="819"/>
      <c r="S82" s="819"/>
    </row>
    <row r="83" spans="1:19" ht="1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 customHeight="1">
      <c r="A84" s="819"/>
      <c r="B84" s="1290" t="s">
        <v>2176</v>
      </c>
      <c r="C84" s="1283"/>
      <c r="D84" s="1284"/>
      <c r="E84" s="1276"/>
      <c r="F84" s="1276"/>
      <c r="G84" s="1285"/>
      <c r="H84" s="819"/>
      <c r="I84" s="836"/>
      <c r="J84" s="819"/>
      <c r="K84" s="1263" t="s">
        <v>1828</v>
      </c>
      <c r="L84" s="1164"/>
      <c r="M84" s="1164"/>
      <c r="N84" s="1164"/>
      <c r="O84" s="1164"/>
      <c r="P84" s="1164"/>
      <c r="Q84" s="2655"/>
      <c r="R84" s="2655"/>
      <c r="S84" s="819"/>
    </row>
    <row r="85" spans="1:19" ht="15" customHeight="1">
      <c r="A85" s="819"/>
      <c r="B85" s="1290" t="s">
        <v>2035</v>
      </c>
      <c r="C85" s="1286"/>
      <c r="D85" s="1287"/>
      <c r="E85" s="1279"/>
      <c r="F85" s="1279"/>
      <c r="G85" s="1288"/>
      <c r="H85" s="819"/>
      <c r="I85" s="836"/>
      <c r="J85" s="819"/>
      <c r="L85" s="1165"/>
      <c r="M85" s="1165"/>
      <c r="N85" s="1165"/>
      <c r="O85" s="1165"/>
      <c r="P85" s="1165"/>
      <c r="S85" s="819"/>
    </row>
    <row r="86" spans="1:19" ht="1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2202</v>
      </c>
      <c r="C87" s="1286"/>
      <c r="D87" s="1275"/>
      <c r="E87" s="1280"/>
      <c r="F87" s="1280"/>
      <c r="G87" s="1348"/>
      <c r="H87" s="819"/>
      <c r="I87" s="836"/>
      <c r="J87" s="819"/>
      <c r="S87" s="819"/>
    </row>
    <row r="88" spans="1:19" ht="1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55"/>
      <c r="R89" s="2655"/>
      <c r="S89" s="819"/>
    </row>
    <row r="90" spans="1:19" ht="15" customHeight="1">
      <c r="A90" s="597"/>
      <c r="B90" s="797" t="s">
        <v>680</v>
      </c>
      <c r="C90" s="798"/>
      <c r="D90" s="799"/>
      <c r="E90" s="800"/>
      <c r="F90" s="864"/>
      <c r="G90" s="857">
        <f>MAX(($E90-$D90)*$C90*12,0)</f>
        <v>0</v>
      </c>
      <c r="H90" s="819"/>
      <c r="I90" s="836"/>
      <c r="J90" s="819"/>
      <c r="K90" s="1264" t="s">
        <v>1830</v>
      </c>
      <c r="L90" s="1165"/>
      <c r="M90" s="1165"/>
      <c r="N90" s="1165"/>
      <c r="O90" s="1165"/>
      <c r="P90" s="1165"/>
      <c r="Q90" s="2658"/>
      <c r="R90" s="2658"/>
      <c r="S90" s="819"/>
    </row>
    <row r="91" spans="1:19" ht="1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56">
        <f>IFERROR(Q89/Q90,0)</f>
        <v>0</v>
      </c>
      <c r="R91" s="2656"/>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1835</v>
      </c>
      <c r="L93" s="1163"/>
      <c r="M93" s="1163"/>
      <c r="N93" s="1163"/>
      <c r="O93" s="1163"/>
      <c r="P93" s="1163"/>
      <c r="Q93" s="2657">
        <f>MAX(Q84,Q91)</f>
        <v>0</v>
      </c>
      <c r="R93" s="2657"/>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1933</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30" zoomScale="110" zoomScaleNormal="110" zoomScaleSheetLayoutView="100" workbookViewId="0">
      <selection activeCell="C47" sqref="C47"/>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1187532</v>
      </c>
      <c r="F4" s="610"/>
      <c r="G4" s="610">
        <f>E4*$C$4</f>
        <v>1217220.2999999998</v>
      </c>
      <c r="H4" s="610"/>
      <c r="I4" s="610">
        <f>G4*$C$4</f>
        <v>1247650.8074999996</v>
      </c>
      <c r="J4" s="610"/>
      <c r="K4" s="610">
        <f>I4*$C$4</f>
        <v>1278842.0776874996</v>
      </c>
      <c r="L4" s="610"/>
      <c r="M4" s="610">
        <f>K4*$C$4</f>
        <v>1310813.1296296869</v>
      </c>
      <c r="N4" s="610"/>
      <c r="O4" s="610">
        <f>M4*$C$4</f>
        <v>1343583.4578704289</v>
      </c>
      <c r="P4" s="610"/>
      <c r="Q4" s="610">
        <f>O4*$C$4</f>
        <v>1377173.0443171896</v>
      </c>
      <c r="R4" s="610"/>
      <c r="S4" s="610">
        <f>Q4*$C$4</f>
        <v>1411602.3704251193</v>
      </c>
      <c r="T4" s="610"/>
      <c r="U4" s="610">
        <f>S4*$C$4</f>
        <v>1446892.4296857473</v>
      </c>
      <c r="V4" s="610"/>
      <c r="W4" s="610">
        <f>U4*$C$4</f>
        <v>1483064.7404278908</v>
      </c>
      <c r="X4" s="610"/>
      <c r="Y4" s="610">
        <f>W4*$C$4</f>
        <v>1520141.3589385878</v>
      </c>
      <c r="Z4" s="610"/>
      <c r="AA4" s="610">
        <f>Y4*$C$4</f>
        <v>1558144.8929120523</v>
      </c>
      <c r="AB4" s="610"/>
      <c r="AC4" s="610">
        <f>AA4*$C$4</f>
        <v>1597098.5152348536</v>
      </c>
      <c r="AD4" s="610"/>
      <c r="AE4" s="610">
        <f>AC4*$C$4</f>
        <v>1637025.9781157249</v>
      </c>
      <c r="AF4" s="610"/>
      <c r="AG4" s="610">
        <f>AE4*$C$4</f>
        <v>1677951.6275686179</v>
      </c>
      <c r="AH4" s="610"/>
    </row>
    <row r="5" spans="1:34" ht="14.25">
      <c r="A5" s="600"/>
      <c r="B5" s="600" t="s">
        <v>1091</v>
      </c>
      <c r="C5" s="635">
        <f>IF(Application!$D$214="Special Needs",0.1,0.05)</f>
        <v>0.05</v>
      </c>
      <c r="D5" s="600"/>
      <c r="E5" s="612">
        <f>-E4*$C$5</f>
        <v>-59376.600000000006</v>
      </c>
      <c r="F5" s="612"/>
      <c r="G5" s="612">
        <f>-G4*$C$5</f>
        <v>-60861.014999999992</v>
      </c>
      <c r="H5" s="612"/>
      <c r="I5" s="612">
        <f>-I4*$C$5</f>
        <v>-62382.540374999982</v>
      </c>
      <c r="J5" s="612"/>
      <c r="K5" s="612">
        <f>-K4*$C$5</f>
        <v>-63942.103884374985</v>
      </c>
      <c r="L5" s="612"/>
      <c r="M5" s="612">
        <f>-M4*$C$5</f>
        <v>-65540.656481484344</v>
      </c>
      <c r="N5" s="612"/>
      <c r="O5" s="612">
        <f>-O4*$C$5</f>
        <v>-67179.172893521449</v>
      </c>
      <c r="P5" s="612"/>
      <c r="Q5" s="612">
        <f>-Q4*$C$5</f>
        <v>-68858.652215859489</v>
      </c>
      <c r="R5" s="612"/>
      <c r="S5" s="612">
        <f>-S4*$C$5</f>
        <v>-70580.118521255965</v>
      </c>
      <c r="T5" s="612"/>
      <c r="U5" s="612">
        <f>-U4*$C$5</f>
        <v>-72344.62148428736</v>
      </c>
      <c r="V5" s="612"/>
      <c r="W5" s="612">
        <f>-W4*$C$5</f>
        <v>-74153.23702139454</v>
      </c>
      <c r="X5" s="612"/>
      <c r="Y5" s="612">
        <f>-Y4*$C$5</f>
        <v>-76007.067946929397</v>
      </c>
      <c r="Z5" s="612"/>
      <c r="AA5" s="612">
        <f>-AA4*$C$5</f>
        <v>-77907.244645602623</v>
      </c>
      <c r="AB5" s="612"/>
      <c r="AC5" s="612">
        <f>-AC4*$C$5</f>
        <v>-79854.925761742692</v>
      </c>
      <c r="AD5" s="612"/>
      <c r="AE5" s="612">
        <f>-AE4*$C$5</f>
        <v>-81851.298905786243</v>
      </c>
      <c r="AF5" s="612"/>
      <c r="AG5" s="612">
        <f>-AG4*$C$5</f>
        <v>-83897.581378430899</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12600</v>
      </c>
      <c r="F8" s="613"/>
      <c r="G8" s="613">
        <f>E8*$C$8</f>
        <v>12914.999999999998</v>
      </c>
      <c r="H8" s="613"/>
      <c r="I8" s="613">
        <f>G8*$C$8</f>
        <v>13237.874999999996</v>
      </c>
      <c r="J8" s="613"/>
      <c r="K8" s="613">
        <f>I8*$C$8</f>
        <v>13568.821874999996</v>
      </c>
      <c r="L8" s="613"/>
      <c r="M8" s="613">
        <f>K8*$C$8</f>
        <v>13908.042421874994</v>
      </c>
      <c r="N8" s="613"/>
      <c r="O8" s="613">
        <f>M8*$C$8</f>
        <v>14255.743482421867</v>
      </c>
      <c r="P8" s="613"/>
      <c r="Q8" s="613">
        <f>O8*$C$8</f>
        <v>14612.137069482413</v>
      </c>
      <c r="R8" s="613"/>
      <c r="S8" s="613">
        <f>Q8*$C$8</f>
        <v>14977.440496219471</v>
      </c>
      <c r="T8" s="613"/>
      <c r="U8" s="613">
        <f>S8*$C$8</f>
        <v>15351.876508624957</v>
      </c>
      <c r="V8" s="613"/>
      <c r="W8" s="613">
        <f>U8*$C$8</f>
        <v>15735.67342134058</v>
      </c>
      <c r="X8" s="613"/>
      <c r="Y8" s="613">
        <f>W8*$C$8</f>
        <v>16129.065256874093</v>
      </c>
      <c r="Z8" s="613"/>
      <c r="AA8" s="613">
        <f>Y8*$C$8</f>
        <v>16532.291888295946</v>
      </c>
      <c r="AB8" s="613"/>
      <c r="AC8" s="613">
        <f>AA8*$C$8</f>
        <v>16945.599185503343</v>
      </c>
      <c r="AD8" s="613"/>
      <c r="AE8" s="613">
        <f>AC8*$C$8</f>
        <v>17369.239165140923</v>
      </c>
      <c r="AF8" s="613"/>
      <c r="AG8" s="613">
        <f>AE8*$C$8</f>
        <v>17803.470144269446</v>
      </c>
      <c r="AH8" s="600"/>
    </row>
    <row r="9" spans="1:34" ht="14.25">
      <c r="A9" s="600"/>
      <c r="B9" s="600" t="s">
        <v>1091</v>
      </c>
      <c r="C9" s="635">
        <f>IF(Application!$D$214="Special Needs",0.1,0.05)</f>
        <v>0.05</v>
      </c>
      <c r="D9" s="600"/>
      <c r="E9" s="632">
        <f>-E8*$C$9</f>
        <v>-630</v>
      </c>
      <c r="F9" s="612"/>
      <c r="G9" s="632">
        <f>-G8*$C$9</f>
        <v>-645.75</v>
      </c>
      <c r="H9" s="612"/>
      <c r="I9" s="632">
        <f>-I8*$C$9</f>
        <v>-661.89374999999984</v>
      </c>
      <c r="J9" s="612"/>
      <c r="K9" s="632">
        <f>-K8*$C$9</f>
        <v>-678.44109374999982</v>
      </c>
      <c r="L9" s="612"/>
      <c r="M9" s="632">
        <f>-M8*$C$9</f>
        <v>-695.40212109374977</v>
      </c>
      <c r="N9" s="612"/>
      <c r="O9" s="632">
        <f>-O8*$C$9</f>
        <v>-712.78717412109336</v>
      </c>
      <c r="P9" s="612"/>
      <c r="Q9" s="632">
        <f>-Q8*$C$9</f>
        <v>-730.60685347412073</v>
      </c>
      <c r="R9" s="612"/>
      <c r="S9" s="632">
        <f>-S8*$C$9</f>
        <v>-748.87202481097358</v>
      </c>
      <c r="T9" s="612"/>
      <c r="U9" s="632">
        <f>-U8*$C$9</f>
        <v>-767.59382543124786</v>
      </c>
      <c r="V9" s="612"/>
      <c r="W9" s="632">
        <f>-W8*$C$9</f>
        <v>-786.78367106702899</v>
      </c>
      <c r="X9" s="612"/>
      <c r="Y9" s="632">
        <f>-Y8*$C$9</f>
        <v>-806.45326284370469</v>
      </c>
      <c r="Z9" s="612"/>
      <c r="AA9" s="632">
        <f>-AA8*$C$9</f>
        <v>-826.61459441479735</v>
      </c>
      <c r="AB9" s="612"/>
      <c r="AC9" s="632">
        <f>-AC8*$C$9</f>
        <v>-847.27995927516713</v>
      </c>
      <c r="AD9" s="612"/>
      <c r="AE9" s="632">
        <f>-AE8*$C$9</f>
        <v>-868.46195825704626</v>
      </c>
      <c r="AF9" s="612"/>
      <c r="AG9" s="632">
        <f>-AG8*$C$9</f>
        <v>-890.17350721347236</v>
      </c>
      <c r="AH9" s="600"/>
    </row>
    <row r="10" spans="1:34" ht="15">
      <c r="A10" s="614" t="s">
        <v>1191</v>
      </c>
      <c r="B10" s="614"/>
      <c r="C10" s="605"/>
      <c r="D10" s="614"/>
      <c r="E10" s="614">
        <f>SUM(E4:E9)</f>
        <v>1140125.3999999999</v>
      </c>
      <c r="F10" s="614"/>
      <c r="G10" s="614">
        <f>SUM(G4:G9)</f>
        <v>1168628.5349999999</v>
      </c>
      <c r="H10" s="614"/>
      <c r="I10" s="614">
        <f>SUM(I4:I9)</f>
        <v>1197844.2483749997</v>
      </c>
      <c r="J10" s="614"/>
      <c r="K10" s="614">
        <f>SUM(K4:K9)</f>
        <v>1227790.3545843745</v>
      </c>
      <c r="L10" s="614"/>
      <c r="M10" s="614">
        <f>SUM(M4:M9)</f>
        <v>1258485.1134489838</v>
      </c>
      <c r="N10" s="614"/>
      <c r="O10" s="614">
        <f>SUM(O4:O9)</f>
        <v>1289947.2412852084</v>
      </c>
      <c r="P10" s="614"/>
      <c r="Q10" s="614">
        <f>SUM(Q4:Q9)</f>
        <v>1322195.9223173384</v>
      </c>
      <c r="R10" s="614"/>
      <c r="S10" s="614">
        <f>SUM(S4:S9)</f>
        <v>1355250.8203752721</v>
      </c>
      <c r="T10" s="614"/>
      <c r="U10" s="614">
        <f>SUM(U4:U9)</f>
        <v>1389132.0908846536</v>
      </c>
      <c r="V10" s="614"/>
      <c r="W10" s="614">
        <f>SUM(W4:W9)</f>
        <v>1423860.3931567697</v>
      </c>
      <c r="X10" s="614"/>
      <c r="Y10" s="614">
        <f>SUM(Y4:Y9)</f>
        <v>1459456.9029856888</v>
      </c>
      <c r="Z10" s="614"/>
      <c r="AA10" s="614">
        <f>SUM(AA4:AA9)</f>
        <v>1495943.3255603309</v>
      </c>
      <c r="AB10" s="614"/>
      <c r="AC10" s="614">
        <f>SUM(AC4:AC9)</f>
        <v>1533341.908699339</v>
      </c>
      <c r="AD10" s="614"/>
      <c r="AE10" s="614">
        <f>SUM(AE4:AE9)</f>
        <v>1571675.4564168227</v>
      </c>
      <c r="AF10" s="614"/>
      <c r="AG10" s="614">
        <f>SUM(AG4:AG9)</f>
        <v>1610967.3428272433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46800</v>
      </c>
      <c r="F14" s="610"/>
      <c r="G14" s="610">
        <f t="shared" ref="G14:G20" si="0">E14*$C$13</f>
        <v>48437.999999999993</v>
      </c>
      <c r="H14" s="610"/>
      <c r="I14" s="610">
        <f t="shared" ref="I14:I20" si="1">G14*$C$13</f>
        <v>50133.329999999987</v>
      </c>
      <c r="J14" s="610"/>
      <c r="K14" s="610">
        <f t="shared" ref="K14:K20" si="2">I14*$C$13</f>
        <v>51887.996549999982</v>
      </c>
      <c r="L14" s="610"/>
      <c r="M14" s="610">
        <f t="shared" ref="M14:M20" si="3">K14*$C$13</f>
        <v>53704.076429249973</v>
      </c>
      <c r="N14" s="610"/>
      <c r="O14" s="610">
        <f t="shared" ref="O14:O20" si="4">M14*$C$13</f>
        <v>55583.719104273718</v>
      </c>
      <c r="P14" s="610"/>
      <c r="Q14" s="610">
        <f t="shared" ref="Q14:Q20" si="5">O14*$C$13</f>
        <v>57529.149272923292</v>
      </c>
      <c r="R14" s="610"/>
      <c r="S14" s="610">
        <f t="shared" ref="S14:S20" si="6">Q14*$C$13</f>
        <v>59542.669497475603</v>
      </c>
      <c r="T14" s="610"/>
      <c r="U14" s="610">
        <f t="shared" ref="U14:U20" si="7">S14*$C$13</f>
        <v>61626.662929887243</v>
      </c>
      <c r="V14" s="610"/>
      <c r="W14" s="610">
        <f t="shared" ref="W14:W20" si="8">U14*$C$13</f>
        <v>63783.596132433289</v>
      </c>
      <c r="X14" s="610"/>
      <c r="Y14" s="610">
        <f t="shared" ref="Y14:Y20" si="9">W14*$C$13</f>
        <v>66016.021997068456</v>
      </c>
      <c r="Z14" s="610"/>
      <c r="AA14" s="610">
        <f t="shared" ref="AA14:AA20" si="10">Y14*$C$13</f>
        <v>68326.582766965847</v>
      </c>
      <c r="AB14" s="610"/>
      <c r="AC14" s="610">
        <f t="shared" ref="AC14:AC20" si="11">AA14*$C$13</f>
        <v>70718.01316380965</v>
      </c>
      <c r="AD14" s="610"/>
      <c r="AE14" s="610">
        <f t="shared" ref="AE14:AE20" si="12">AC14*$C$13</f>
        <v>73193.14362454298</v>
      </c>
      <c r="AF14" s="610"/>
      <c r="AG14" s="610">
        <f t="shared" ref="AG14:AG20" si="13">AE14*$C$13</f>
        <v>75754.903651401983</v>
      </c>
      <c r="AH14" s="610"/>
    </row>
    <row r="15" spans="1:34" ht="14.25">
      <c r="A15" s="600" t="s">
        <v>516</v>
      </c>
      <c r="B15" s="600"/>
      <c r="C15" s="624"/>
      <c r="D15" s="600"/>
      <c r="E15" s="613">
        <f>Application!W827</f>
        <v>46800</v>
      </c>
      <c r="F15" s="613"/>
      <c r="G15" s="613">
        <f t="shared" si="0"/>
        <v>48437.999999999993</v>
      </c>
      <c r="H15" s="613"/>
      <c r="I15" s="613">
        <f t="shared" si="1"/>
        <v>50133.329999999987</v>
      </c>
      <c r="J15" s="613"/>
      <c r="K15" s="613">
        <f t="shared" si="2"/>
        <v>51887.996549999982</v>
      </c>
      <c r="L15" s="613"/>
      <c r="M15" s="613">
        <f t="shared" si="3"/>
        <v>53704.076429249973</v>
      </c>
      <c r="N15" s="613"/>
      <c r="O15" s="613">
        <f t="shared" si="4"/>
        <v>55583.719104273718</v>
      </c>
      <c r="P15" s="613"/>
      <c r="Q15" s="613">
        <f t="shared" si="5"/>
        <v>57529.149272923292</v>
      </c>
      <c r="R15" s="613"/>
      <c r="S15" s="613">
        <f t="shared" si="6"/>
        <v>59542.669497475603</v>
      </c>
      <c r="T15" s="613"/>
      <c r="U15" s="613">
        <f t="shared" si="7"/>
        <v>61626.662929887243</v>
      </c>
      <c r="V15" s="613"/>
      <c r="W15" s="613">
        <f t="shared" si="8"/>
        <v>63783.596132433289</v>
      </c>
      <c r="X15" s="613"/>
      <c r="Y15" s="613">
        <f t="shared" si="9"/>
        <v>66016.021997068456</v>
      </c>
      <c r="Z15" s="613"/>
      <c r="AA15" s="613">
        <f t="shared" si="10"/>
        <v>68326.582766965847</v>
      </c>
      <c r="AB15" s="613"/>
      <c r="AC15" s="613">
        <f t="shared" si="11"/>
        <v>70718.01316380965</v>
      </c>
      <c r="AD15" s="613"/>
      <c r="AE15" s="613">
        <f t="shared" si="12"/>
        <v>73193.14362454298</v>
      </c>
      <c r="AF15" s="613"/>
      <c r="AG15" s="613">
        <f t="shared" si="13"/>
        <v>75754.903651401983</v>
      </c>
      <c r="AH15" s="600"/>
    </row>
    <row r="16" spans="1:34" ht="14.25">
      <c r="A16" s="600" t="s">
        <v>800</v>
      </c>
      <c r="B16" s="600"/>
      <c r="C16" s="624"/>
      <c r="D16" s="600"/>
      <c r="E16" s="613">
        <f>Application!W833</f>
        <v>87000</v>
      </c>
      <c r="F16" s="613"/>
      <c r="G16" s="613">
        <f t="shared" si="0"/>
        <v>90045</v>
      </c>
      <c r="H16" s="613"/>
      <c r="I16" s="613">
        <f t="shared" si="1"/>
        <v>93196.574999999997</v>
      </c>
      <c r="J16" s="613"/>
      <c r="K16" s="613">
        <f t="shared" si="2"/>
        <v>96458.455124999993</v>
      </c>
      <c r="L16" s="613"/>
      <c r="M16" s="613">
        <f t="shared" si="3"/>
        <v>99834.501054374981</v>
      </c>
      <c r="N16" s="613"/>
      <c r="O16" s="613">
        <f t="shared" si="4"/>
        <v>103328.7085912781</v>
      </c>
      <c r="P16" s="613"/>
      <c r="Q16" s="613">
        <f t="shared" si="5"/>
        <v>106945.21339197282</v>
      </c>
      <c r="R16" s="613"/>
      <c r="S16" s="613">
        <f t="shared" si="6"/>
        <v>110688.29586069187</v>
      </c>
      <c r="T16" s="613"/>
      <c r="U16" s="613">
        <f t="shared" si="7"/>
        <v>114562.38621581608</v>
      </c>
      <c r="V16" s="613"/>
      <c r="W16" s="613">
        <f t="shared" si="8"/>
        <v>118572.06973336963</v>
      </c>
      <c r="X16" s="613"/>
      <c r="Y16" s="613">
        <f t="shared" si="9"/>
        <v>122722.09217403756</v>
      </c>
      <c r="Z16" s="613"/>
      <c r="AA16" s="613">
        <f t="shared" si="10"/>
        <v>127017.36540012887</v>
      </c>
      <c r="AB16" s="613"/>
      <c r="AC16" s="613">
        <f t="shared" si="11"/>
        <v>131462.97318913336</v>
      </c>
      <c r="AD16" s="613"/>
      <c r="AE16" s="613">
        <f t="shared" si="12"/>
        <v>136064.17725075301</v>
      </c>
      <c r="AF16" s="613"/>
      <c r="AG16" s="613">
        <f t="shared" si="13"/>
        <v>140826.42345452934</v>
      </c>
      <c r="AH16" s="600"/>
    </row>
    <row r="17" spans="1:33" ht="14.25">
      <c r="A17" s="600" t="s">
        <v>1195</v>
      </c>
      <c r="B17" s="600"/>
      <c r="C17" s="624"/>
      <c r="D17" s="600"/>
      <c r="E17" s="613">
        <f>Application!W840</f>
        <v>101600</v>
      </c>
      <c r="F17" s="613"/>
      <c r="G17" s="613">
        <f t="shared" si="0"/>
        <v>105155.99999999999</v>
      </c>
      <c r="H17" s="613"/>
      <c r="I17" s="613">
        <f t="shared" si="1"/>
        <v>108836.45999999998</v>
      </c>
      <c r="J17" s="613"/>
      <c r="K17" s="613">
        <f t="shared" si="2"/>
        <v>112645.73609999997</v>
      </c>
      <c r="L17" s="613"/>
      <c r="M17" s="613">
        <f t="shared" si="3"/>
        <v>116588.33686349995</v>
      </c>
      <c r="N17" s="613"/>
      <c r="O17" s="613">
        <f t="shared" si="4"/>
        <v>120668.92865372244</v>
      </c>
      <c r="P17" s="613"/>
      <c r="Q17" s="613">
        <f t="shared" si="5"/>
        <v>124892.34115660272</v>
      </c>
      <c r="R17" s="613"/>
      <c r="S17" s="613">
        <f t="shared" si="6"/>
        <v>129263.5730970838</v>
      </c>
      <c r="T17" s="613"/>
      <c r="U17" s="613">
        <f t="shared" si="7"/>
        <v>133787.79815548172</v>
      </c>
      <c r="V17" s="613"/>
      <c r="W17" s="613">
        <f t="shared" si="8"/>
        <v>138470.37109092358</v>
      </c>
      <c r="X17" s="613"/>
      <c r="Y17" s="613">
        <f t="shared" si="9"/>
        <v>143316.8340791059</v>
      </c>
      <c r="Z17" s="613"/>
      <c r="AA17" s="613">
        <f t="shared" si="10"/>
        <v>148332.92327187461</v>
      </c>
      <c r="AB17" s="613"/>
      <c r="AC17" s="613">
        <f t="shared" si="11"/>
        <v>153524.57558639022</v>
      </c>
      <c r="AD17" s="613"/>
      <c r="AE17" s="613">
        <f t="shared" si="12"/>
        <v>158897.93573191387</v>
      </c>
      <c r="AF17" s="613"/>
      <c r="AG17" s="613">
        <f t="shared" si="13"/>
        <v>164459.36348253084</v>
      </c>
    </row>
    <row r="18" spans="1:33" ht="14.25">
      <c r="A18" s="600" t="s">
        <v>1034</v>
      </c>
      <c r="B18" s="600"/>
      <c r="C18" s="624"/>
      <c r="D18" s="600"/>
      <c r="E18" s="613">
        <f>Application!W841</f>
        <v>55000</v>
      </c>
      <c r="F18" s="613"/>
      <c r="G18" s="613">
        <f t="shared" si="0"/>
        <v>56924.999999999993</v>
      </c>
      <c r="H18" s="613"/>
      <c r="I18" s="613">
        <f t="shared" si="1"/>
        <v>58917.374999999985</v>
      </c>
      <c r="J18" s="613"/>
      <c r="K18" s="613">
        <f t="shared" si="2"/>
        <v>60979.483124999977</v>
      </c>
      <c r="L18" s="613"/>
      <c r="M18" s="613">
        <f t="shared" si="3"/>
        <v>63113.76503437497</v>
      </c>
      <c r="N18" s="613"/>
      <c r="O18" s="613">
        <f t="shared" si="4"/>
        <v>65322.746810578086</v>
      </c>
      <c r="P18" s="613"/>
      <c r="Q18" s="613">
        <f t="shared" si="5"/>
        <v>67609.042948948321</v>
      </c>
      <c r="R18" s="613"/>
      <c r="S18" s="613">
        <f t="shared" si="6"/>
        <v>69975.359452161501</v>
      </c>
      <c r="T18" s="613"/>
      <c r="U18" s="613">
        <f t="shared" si="7"/>
        <v>72424.497032987143</v>
      </c>
      <c r="V18" s="613"/>
      <c r="W18" s="613">
        <f t="shared" si="8"/>
        <v>74959.354429141691</v>
      </c>
      <c r="X18" s="613"/>
      <c r="Y18" s="613">
        <f t="shared" si="9"/>
        <v>77582.931834161645</v>
      </c>
      <c r="Z18" s="613"/>
      <c r="AA18" s="613">
        <f t="shared" si="10"/>
        <v>80298.334448357302</v>
      </c>
      <c r="AB18" s="613"/>
      <c r="AC18" s="613">
        <f t="shared" si="11"/>
        <v>83108.776154049803</v>
      </c>
      <c r="AD18" s="613"/>
      <c r="AE18" s="613">
        <f t="shared" si="12"/>
        <v>86017.583319441546</v>
      </c>
      <c r="AF18" s="613"/>
      <c r="AG18" s="613">
        <f t="shared" si="13"/>
        <v>89028.198735621991</v>
      </c>
    </row>
    <row r="19" spans="1:33" ht="14.25">
      <c r="A19" s="600" t="s">
        <v>59</v>
      </c>
      <c r="B19" s="600"/>
      <c r="C19" s="624"/>
      <c r="D19" s="600"/>
      <c r="E19" s="613">
        <f>Application!W850</f>
        <v>89300</v>
      </c>
      <c r="F19" s="613"/>
      <c r="G19" s="613">
        <f t="shared" si="0"/>
        <v>92425.5</v>
      </c>
      <c r="H19" s="613"/>
      <c r="I19" s="613">
        <f t="shared" si="1"/>
        <v>95660.392499999987</v>
      </c>
      <c r="J19" s="613"/>
      <c r="K19" s="613">
        <f t="shared" si="2"/>
        <v>99008.506237499983</v>
      </c>
      <c r="L19" s="613"/>
      <c r="M19" s="613">
        <f t="shared" si="3"/>
        <v>102473.80395581247</v>
      </c>
      <c r="N19" s="613"/>
      <c r="O19" s="613">
        <f t="shared" si="4"/>
        <v>106060.3870942659</v>
      </c>
      <c r="P19" s="613"/>
      <c r="Q19" s="613">
        <f t="shared" si="5"/>
        <v>109772.5006425652</v>
      </c>
      <c r="R19" s="613"/>
      <c r="S19" s="613">
        <f t="shared" si="6"/>
        <v>113614.53816505497</v>
      </c>
      <c r="T19" s="613"/>
      <c r="U19" s="613">
        <f t="shared" si="7"/>
        <v>117591.04700083188</v>
      </c>
      <c r="V19" s="613"/>
      <c r="W19" s="613">
        <f t="shared" si="8"/>
        <v>121706.73364586099</v>
      </c>
      <c r="X19" s="613"/>
      <c r="Y19" s="613">
        <f t="shared" si="9"/>
        <v>125966.46932346612</v>
      </c>
      <c r="Z19" s="613"/>
      <c r="AA19" s="613">
        <f t="shared" si="10"/>
        <v>130375.29574978743</v>
      </c>
      <c r="AB19" s="613"/>
      <c r="AC19" s="613">
        <f t="shared" si="11"/>
        <v>134938.43110102997</v>
      </c>
      <c r="AD19" s="613"/>
      <c r="AE19" s="613">
        <f t="shared" si="12"/>
        <v>139661.27618956601</v>
      </c>
      <c r="AF19" s="613"/>
      <c r="AG19" s="613">
        <f t="shared" si="13"/>
        <v>144549.4208562008</v>
      </c>
    </row>
    <row r="20" spans="1:33" ht="14.25">
      <c r="A20" s="769" t="str">
        <f>Application!M852</f>
        <v>Misc Taxes/Licenses/Permits</v>
      </c>
      <c r="B20" s="769"/>
      <c r="C20" s="624"/>
      <c r="D20" s="600"/>
      <c r="E20" s="623">
        <f>Application!W857</f>
        <v>240</v>
      </c>
      <c r="F20" s="613"/>
      <c r="G20" s="623">
        <f t="shared" si="0"/>
        <v>248.39999999999998</v>
      </c>
      <c r="H20" s="613"/>
      <c r="I20" s="623">
        <f t="shared" si="1"/>
        <v>257.09399999999994</v>
      </c>
      <c r="J20" s="613"/>
      <c r="K20" s="623">
        <f t="shared" si="2"/>
        <v>266.09228999999993</v>
      </c>
      <c r="L20" s="613"/>
      <c r="M20" s="623">
        <f t="shared" si="3"/>
        <v>275.40552014999992</v>
      </c>
      <c r="N20" s="613"/>
      <c r="O20" s="623">
        <f t="shared" si="4"/>
        <v>285.04471335524988</v>
      </c>
      <c r="P20" s="613"/>
      <c r="Q20" s="623">
        <f t="shared" si="5"/>
        <v>295.0212783226836</v>
      </c>
      <c r="R20" s="613"/>
      <c r="S20" s="623">
        <f t="shared" si="6"/>
        <v>305.34702306397747</v>
      </c>
      <c r="T20" s="613"/>
      <c r="U20" s="623">
        <f t="shared" si="7"/>
        <v>316.03416887121665</v>
      </c>
      <c r="V20" s="613"/>
      <c r="W20" s="623">
        <f t="shared" si="8"/>
        <v>327.09536478170924</v>
      </c>
      <c r="X20" s="613"/>
      <c r="Y20" s="623">
        <f t="shared" si="9"/>
        <v>338.54370254906905</v>
      </c>
      <c r="Z20" s="613"/>
      <c r="AA20" s="623">
        <f t="shared" si="10"/>
        <v>350.39273213828642</v>
      </c>
      <c r="AB20" s="613"/>
      <c r="AC20" s="623">
        <f t="shared" si="11"/>
        <v>362.65647776312642</v>
      </c>
      <c r="AD20" s="613"/>
      <c r="AE20" s="623">
        <f t="shared" si="12"/>
        <v>375.3494544848358</v>
      </c>
      <c r="AF20" s="613"/>
      <c r="AG20" s="623">
        <f t="shared" si="13"/>
        <v>388.48668539180505</v>
      </c>
    </row>
    <row r="21" spans="1:33" ht="15">
      <c r="A21" s="614" t="s">
        <v>1196</v>
      </c>
      <c r="B21" s="614"/>
      <c r="C21" s="624"/>
      <c r="D21" s="614"/>
      <c r="E21" s="614">
        <f>SUM(E14:E20)</f>
        <v>426740</v>
      </c>
      <c r="F21" s="614"/>
      <c r="G21" s="614">
        <f>SUM(G14:G20)</f>
        <v>441675.9</v>
      </c>
      <c r="H21" s="614"/>
      <c r="I21" s="614">
        <f>SUM(I14:I20)</f>
        <v>457134.55649999989</v>
      </c>
      <c r="J21" s="614"/>
      <c r="K21" s="614">
        <f>SUM(K14:K20)</f>
        <v>473134.26597749989</v>
      </c>
      <c r="L21" s="614"/>
      <c r="M21" s="614">
        <f>SUM(M14:M20)</f>
        <v>489693.96528671228</v>
      </c>
      <c r="N21" s="614"/>
      <c r="O21" s="614">
        <f>SUM(O14:O20)</f>
        <v>506833.25407174724</v>
      </c>
      <c r="P21" s="614"/>
      <c r="Q21" s="614">
        <f>SUM(Q14:Q20)</f>
        <v>524572.41796425835</v>
      </c>
      <c r="R21" s="614"/>
      <c r="S21" s="614">
        <f>SUM(S14:S20)</f>
        <v>542932.45259300724</v>
      </c>
      <c r="T21" s="614"/>
      <c r="U21" s="614">
        <f>SUM(U14:U20)</f>
        <v>561935.08843376255</v>
      </c>
      <c r="V21" s="614"/>
      <c r="W21" s="614">
        <f>SUM(W14:W20)</f>
        <v>581602.81652894418</v>
      </c>
      <c r="X21" s="614"/>
      <c r="Y21" s="614">
        <f>SUM(Y14:Y20)</f>
        <v>601958.9151074572</v>
      </c>
      <c r="Z21" s="614"/>
      <c r="AA21" s="614">
        <f>SUM(AA14:AA20)</f>
        <v>623027.47713621822</v>
      </c>
      <c r="AB21" s="614"/>
      <c r="AC21" s="614">
        <f>SUM(AC14:AC20)</f>
        <v>644833.43883598573</v>
      </c>
      <c r="AD21" s="614"/>
      <c r="AE21" s="614">
        <f>SUM(AE14:AE20)</f>
        <v>667402.60919524531</v>
      </c>
      <c r="AF21" s="614"/>
      <c r="AG21" s="614">
        <f>SUM(AG14:AG20)</f>
        <v>690761.70051707863</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12860</v>
      </c>
      <c r="F26" s="613"/>
      <c r="G26" s="613">
        <f>E26*$C$26</f>
        <v>13310.099999999999</v>
      </c>
      <c r="H26" s="613"/>
      <c r="I26" s="613">
        <f>G26*$C$26</f>
        <v>13775.953499999998</v>
      </c>
      <c r="J26" s="613"/>
      <c r="K26" s="613">
        <f>I26*$C$26</f>
        <v>14258.111872499996</v>
      </c>
      <c r="L26" s="613"/>
      <c r="M26" s="613">
        <f>K26*$C$26</f>
        <v>14757.145788037495</v>
      </c>
      <c r="N26" s="613"/>
      <c r="O26" s="613">
        <f>M26*$C$26</f>
        <v>15273.645890618805</v>
      </c>
      <c r="P26" s="613"/>
      <c r="Q26" s="613">
        <f>O26*$C$26</f>
        <v>15808.223496790462</v>
      </c>
      <c r="R26" s="613"/>
      <c r="S26" s="613">
        <f>Q26*$C$26</f>
        <v>16361.511319178127</v>
      </c>
      <c r="T26" s="613"/>
      <c r="U26" s="613">
        <f>S26*$C$26</f>
        <v>16934.164215349359</v>
      </c>
      <c r="V26" s="613"/>
      <c r="W26" s="613">
        <f>U26*$C$26</f>
        <v>17526.859962886585</v>
      </c>
      <c r="X26" s="613"/>
      <c r="Y26" s="613">
        <f>W26*$C$26</f>
        <v>18140.300061587615</v>
      </c>
      <c r="Z26" s="613"/>
      <c r="AA26" s="613">
        <f>Y26*$C$26</f>
        <v>18775.210563743181</v>
      </c>
      <c r="AB26" s="613"/>
      <c r="AC26" s="613">
        <f>AA26*$C$26</f>
        <v>19432.342933474192</v>
      </c>
      <c r="AD26" s="613"/>
      <c r="AE26" s="613">
        <f>AC26*$C$26</f>
        <v>20112.474936145787</v>
      </c>
      <c r="AF26" s="613"/>
      <c r="AG26" s="613">
        <f>AE26*$C$26</f>
        <v>20816.411558910888</v>
      </c>
    </row>
    <row r="27" spans="1:33" ht="14.25">
      <c r="A27" s="1404" t="s">
        <v>1198</v>
      </c>
      <c r="B27" s="600"/>
      <c r="C27" s="636"/>
      <c r="D27" s="600"/>
      <c r="E27" s="613">
        <f>Application!AC867</f>
        <v>18750</v>
      </c>
      <c r="F27" s="613"/>
      <c r="G27" s="613">
        <f>$E$27</f>
        <v>18750</v>
      </c>
      <c r="H27" s="613"/>
      <c r="I27" s="613">
        <f>$E$27</f>
        <v>18750</v>
      </c>
      <c r="J27" s="613"/>
      <c r="K27" s="613">
        <f>$E$27</f>
        <v>18750</v>
      </c>
      <c r="L27" s="613"/>
      <c r="M27" s="613">
        <f>$E$27</f>
        <v>18750</v>
      </c>
      <c r="N27" s="613"/>
      <c r="O27" s="613">
        <f>$E$27</f>
        <v>18750</v>
      </c>
      <c r="P27" s="613"/>
      <c r="Q27" s="613">
        <f>$E$27</f>
        <v>18750</v>
      </c>
      <c r="R27" s="613"/>
      <c r="S27" s="613">
        <f>$E$27</f>
        <v>18750</v>
      </c>
      <c r="T27" s="613"/>
      <c r="U27" s="613">
        <f>$E$27</f>
        <v>18750</v>
      </c>
      <c r="V27" s="613"/>
      <c r="W27" s="613">
        <f>$E$27</f>
        <v>18750</v>
      </c>
      <c r="X27" s="613"/>
      <c r="Y27" s="613">
        <f>$E$27</f>
        <v>18750</v>
      </c>
      <c r="Z27" s="613"/>
      <c r="AA27" s="613">
        <f>$E$27</f>
        <v>18750</v>
      </c>
      <c r="AB27" s="613"/>
      <c r="AC27" s="613">
        <f>$E$27</f>
        <v>18750</v>
      </c>
      <c r="AD27" s="613"/>
      <c r="AE27" s="613">
        <f>$E$27</f>
        <v>18750</v>
      </c>
      <c r="AF27" s="613"/>
      <c r="AG27" s="613">
        <f>$E$27</f>
        <v>18750</v>
      </c>
    </row>
    <row r="28" spans="1:33" s="1385" customFormat="1" ht="14.2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5" customFormat="1" ht="14.2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461350</v>
      </c>
      <c r="F34" s="614"/>
      <c r="G34" s="614">
        <f>SUM(G21:G32)</f>
        <v>476796</v>
      </c>
      <c r="H34" s="614"/>
      <c r="I34" s="614">
        <f>SUM(I21:I32)</f>
        <v>492781.7099999999</v>
      </c>
      <c r="J34" s="614"/>
      <c r="K34" s="614">
        <f>SUM(K21:K32)</f>
        <v>509326.00184999988</v>
      </c>
      <c r="L34" s="614"/>
      <c r="M34" s="614">
        <f>SUM(M21:M32)</f>
        <v>526448.40755474975</v>
      </c>
      <c r="N34" s="614"/>
      <c r="O34" s="614">
        <f>SUM(O21:O32)</f>
        <v>544169.14237196604</v>
      </c>
      <c r="P34" s="614"/>
      <c r="Q34" s="614">
        <f>SUM(Q21:Q32)</f>
        <v>562509.12871884089</v>
      </c>
      <c r="R34" s="614"/>
      <c r="S34" s="614">
        <f>SUM(S21:S32)</f>
        <v>581490.02091513318</v>
      </c>
      <c r="T34" s="614"/>
      <c r="U34" s="614">
        <f>SUM(U21:U32)</f>
        <v>601134.2307921187</v>
      </c>
      <c r="V34" s="614"/>
      <c r="W34" s="614">
        <f>SUM(W21:W32)</f>
        <v>621464.95419769769</v>
      </c>
      <c r="X34" s="614"/>
      <c r="Y34" s="614">
        <f>SUM(Y21:Y32)</f>
        <v>642506.19842902909</v>
      </c>
      <c r="Z34" s="614"/>
      <c r="AA34" s="614">
        <f>SUM(AA21:AA32)</f>
        <v>664282.81062514533</v>
      </c>
      <c r="AB34" s="614"/>
      <c r="AC34" s="614">
        <f>SUM(AC21:AC32)</f>
        <v>686820.5071531476</v>
      </c>
      <c r="AD34" s="614"/>
      <c r="AE34" s="614">
        <f>SUM(AE21:AE32)</f>
        <v>710145.90402275254</v>
      </c>
      <c r="AF34" s="614"/>
      <c r="AG34" s="614">
        <f>SUM(AG21:AG32)</f>
        <v>734286.54836517805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678775.39999999991</v>
      </c>
      <c r="F36" s="614"/>
      <c r="G36" s="614">
        <f>G10-G34</f>
        <v>691832.53499999992</v>
      </c>
      <c r="H36" s="614"/>
      <c r="I36" s="614">
        <f>I10-I34</f>
        <v>705062.53837499977</v>
      </c>
      <c r="J36" s="614"/>
      <c r="K36" s="614">
        <f>K10-K34</f>
        <v>718464.35273437458</v>
      </c>
      <c r="L36" s="614"/>
      <c r="M36" s="614">
        <f>M10-M34</f>
        <v>732036.70589423401</v>
      </c>
      <c r="N36" s="614"/>
      <c r="O36" s="614">
        <f>O10-O34</f>
        <v>745778.09891324234</v>
      </c>
      <c r="P36" s="614"/>
      <c r="Q36" s="614">
        <f>Q10-Q34</f>
        <v>759686.79359849752</v>
      </c>
      <c r="R36" s="614"/>
      <c r="S36" s="614">
        <f>S10-S34</f>
        <v>773760.79946013889</v>
      </c>
      <c r="T36" s="614"/>
      <c r="U36" s="614">
        <f>U10-U34</f>
        <v>787997.86009253492</v>
      </c>
      <c r="V36" s="614"/>
      <c r="W36" s="614">
        <f>W10-W34</f>
        <v>802395.43895907199</v>
      </c>
      <c r="X36" s="614"/>
      <c r="Y36" s="614">
        <f>Y10-Y34</f>
        <v>816950.70455665968</v>
      </c>
      <c r="Z36" s="614"/>
      <c r="AA36" s="614">
        <f>AA10-AA34</f>
        <v>831660.51493518555</v>
      </c>
      <c r="AB36" s="614"/>
      <c r="AC36" s="614">
        <f>AC10-AC34</f>
        <v>846521.40154619142</v>
      </c>
      <c r="AD36" s="614"/>
      <c r="AE36" s="614">
        <f>AE10-AE34</f>
        <v>861529.5523940702</v>
      </c>
      <c r="AF36" s="614"/>
      <c r="AG36" s="614">
        <f>AG10-AG34</f>
        <v>876680.79446206521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Permanent Loan</v>
      </c>
      <c r="B39" s="617"/>
      <c r="C39" s="611"/>
      <c r="D39" s="600"/>
      <c r="E39" s="610">
        <f>Application!AF632</f>
        <v>590206</v>
      </c>
      <c r="F39" s="610"/>
      <c r="G39" s="610">
        <f>$E$39</f>
        <v>590206</v>
      </c>
      <c r="H39" s="610"/>
      <c r="I39" s="610">
        <f>$E$39</f>
        <v>590206</v>
      </c>
      <c r="J39" s="610"/>
      <c r="K39" s="610">
        <f>$E$39</f>
        <v>590206</v>
      </c>
      <c r="L39" s="610"/>
      <c r="M39" s="610">
        <f>$E$39</f>
        <v>590206</v>
      </c>
      <c r="N39" s="610"/>
      <c r="O39" s="610">
        <f>$E$39</f>
        <v>590206</v>
      </c>
      <c r="P39" s="610"/>
      <c r="Q39" s="610">
        <f>$E$39</f>
        <v>590206</v>
      </c>
      <c r="R39" s="610"/>
      <c r="S39" s="610">
        <f>$E$39</f>
        <v>590206</v>
      </c>
      <c r="T39" s="610"/>
      <c r="U39" s="610">
        <f>$E$39</f>
        <v>590206</v>
      </c>
      <c r="V39" s="610"/>
      <c r="W39" s="610">
        <f>$E$39</f>
        <v>590206</v>
      </c>
      <c r="X39" s="610"/>
      <c r="Y39" s="610">
        <f>$E$39</f>
        <v>590206</v>
      </c>
      <c r="Z39" s="610"/>
      <c r="AA39" s="610">
        <f>$E$39</f>
        <v>590206</v>
      </c>
      <c r="AB39" s="610"/>
      <c r="AC39" s="610">
        <f>$E$39</f>
        <v>590206</v>
      </c>
      <c r="AD39" s="610"/>
      <c r="AE39" s="610">
        <f>$E$39</f>
        <v>590206</v>
      </c>
      <c r="AF39" s="610"/>
      <c r="AG39" s="610">
        <f>$E$39</f>
        <v>590206</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590206</v>
      </c>
      <c r="F42" s="614"/>
      <c r="G42" s="614">
        <f>SUM(G39:G41)</f>
        <v>590206</v>
      </c>
      <c r="H42" s="614"/>
      <c r="I42" s="614">
        <f>SUM(I39:I41)</f>
        <v>590206</v>
      </c>
      <c r="J42" s="614"/>
      <c r="K42" s="614">
        <f>SUM(K39:K41)</f>
        <v>590206</v>
      </c>
      <c r="L42" s="614"/>
      <c r="M42" s="614">
        <f>SUM(M39:M41)</f>
        <v>590206</v>
      </c>
      <c r="N42" s="614"/>
      <c r="O42" s="614">
        <f>SUM(O39:O41)</f>
        <v>590206</v>
      </c>
      <c r="P42" s="614"/>
      <c r="Q42" s="614">
        <f>SUM(Q39:Q41)</f>
        <v>590206</v>
      </c>
      <c r="R42" s="614"/>
      <c r="S42" s="614">
        <f>SUM(S39:S41)</f>
        <v>590206</v>
      </c>
      <c r="T42" s="614"/>
      <c r="U42" s="614">
        <f>SUM(U39:U41)</f>
        <v>590206</v>
      </c>
      <c r="V42" s="614"/>
      <c r="W42" s="614">
        <f>SUM(W39:W41)</f>
        <v>590206</v>
      </c>
      <c r="X42" s="614"/>
      <c r="Y42" s="614">
        <f>SUM(Y39:Y41)</f>
        <v>590206</v>
      </c>
      <c r="Z42" s="614"/>
      <c r="AA42" s="614">
        <f>SUM(AA39:AA41)</f>
        <v>590206</v>
      </c>
      <c r="AB42" s="614"/>
      <c r="AC42" s="614">
        <f>SUM(AC39:AC41)</f>
        <v>590206</v>
      </c>
      <c r="AD42" s="614"/>
      <c r="AE42" s="614">
        <f>SUM(AE39:AE41)</f>
        <v>590206</v>
      </c>
      <c r="AF42" s="614"/>
      <c r="AG42" s="614">
        <f>SUM(AG39:AG41)</f>
        <v>590206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88569.399999999907</v>
      </c>
      <c r="F44" s="614"/>
      <c r="G44" s="614">
        <f>G36-G42</f>
        <v>101626.53499999992</v>
      </c>
      <c r="H44" s="614"/>
      <c r="I44" s="614">
        <f>I36-I42</f>
        <v>114856.53837499977</v>
      </c>
      <c r="J44" s="614"/>
      <c r="K44" s="614">
        <f>K36-K42</f>
        <v>128258.35273437458</v>
      </c>
      <c r="L44" s="614"/>
      <c r="M44" s="614">
        <f>M36-M42</f>
        <v>141830.70589423401</v>
      </c>
      <c r="N44" s="614"/>
      <c r="O44" s="614">
        <f>O36-O42</f>
        <v>155572.09891324234</v>
      </c>
      <c r="P44" s="614"/>
      <c r="Q44" s="614">
        <f>Q36-Q42</f>
        <v>169480.79359849752</v>
      </c>
      <c r="R44" s="614"/>
      <c r="S44" s="614">
        <f>S36-S42</f>
        <v>183554.79946013889</v>
      </c>
      <c r="T44" s="614"/>
      <c r="U44" s="614">
        <f>U36-U42</f>
        <v>197791.86009253492</v>
      </c>
      <c r="V44" s="614"/>
      <c r="W44" s="614">
        <f>W36-W42</f>
        <v>212189.43895907199</v>
      </c>
      <c r="X44" s="614"/>
      <c r="Y44" s="614">
        <f>Y36-Y42</f>
        <v>226744.70455665968</v>
      </c>
      <c r="Z44" s="614"/>
      <c r="AA44" s="614">
        <f>AA36-AA42</f>
        <v>241454.51493518555</v>
      </c>
      <c r="AB44" s="614"/>
      <c r="AC44" s="614">
        <f>AC36-AC42</f>
        <v>256315.40154619142</v>
      </c>
      <c r="AD44" s="614"/>
      <c r="AE44" s="614">
        <f>AE36-AE42</f>
        <v>271323.5523940702</v>
      </c>
      <c r="AF44" s="614"/>
      <c r="AG44" s="614">
        <f>AG36-AG42</f>
        <v>286474.79446206521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7.3799715364643151E-2</v>
      </c>
      <c r="F46" s="618"/>
      <c r="G46" s="618">
        <f>G44/(G4+G6+G8)</f>
        <v>8.2614111634711995E-2</v>
      </c>
      <c r="H46" s="618"/>
      <c r="I46" s="618">
        <f>I44/(I4+I6+I8)</f>
        <v>9.1091735510917954E-2</v>
      </c>
      <c r="J46" s="618"/>
      <c r="K46" s="618">
        <f>K44/(K4+K6+K8)</f>
        <v>9.9239609305207782E-2</v>
      </c>
      <c r="L46" s="618"/>
      <c r="M46" s="618">
        <f>M44/(M4+M6+M8)</f>
        <v>0.10706457244476919</v>
      </c>
      <c r="N46" s="618"/>
      <c r="O46" s="618">
        <f>O44/(O4+O6+O8)</f>
        <v>0.1145732858192942</v>
      </c>
      <c r="P46" s="618"/>
      <c r="Q46" s="618">
        <f>Q44/(Q4+Q6+Q8)</f>
        <v>0.12177223602110734</v>
      </c>
      <c r="R46" s="618"/>
      <c r="S46" s="618">
        <f>S44/(S4+S6+S8)</f>
        <v>0.12866773948076016</v>
      </c>
      <c r="T46" s="618"/>
      <c r="U46" s="618">
        <f>U44/(U4+U6+U8)</f>
        <v>0.13526594650062734</v>
      </c>
      <c r="V46" s="618"/>
      <c r="W46" s="618">
        <f>W44/(W4+W6+W8)</f>
        <v>0.14157284518899041</v>
      </c>
      <c r="X46" s="618"/>
      <c r="Y46" s="618">
        <f>Y44/(Y4+Y6+Y8)</f>
        <v>0.14759426529701297</v>
      </c>
      <c r="Z46" s="618"/>
      <c r="AA46" s="618">
        <f>AA44/(AA4+AA6+AA8)</f>
        <v>0.15333588196097434</v>
      </c>
      <c r="AB46" s="618"/>
      <c r="AC46" s="618">
        <f>AC44/(AC4+AC6+AC8)</f>
        <v>0.15880321935205632</v>
      </c>
      <c r="AD46" s="618"/>
      <c r="AE46" s="618">
        <f>AE44/(AE4+AE6+AE8)</f>
        <v>0.16400165423592838</v>
      </c>
      <c r="AF46" s="618"/>
      <c r="AG46" s="618">
        <f>AG44/(AG4+AG6+AG8)</f>
        <v>0.16893641944431823</v>
      </c>
      <c r="AH46" s="618"/>
      <c r="AI46" s="618"/>
    </row>
    <row r="47" spans="1:35" ht="14.25">
      <c r="A47" s="618" t="s">
        <v>1205</v>
      </c>
      <c r="B47" s="618"/>
      <c r="C47" s="611"/>
      <c r="D47" s="618"/>
      <c r="E47" s="618">
        <f>E44/E42</f>
        <v>0.15006523146155734</v>
      </c>
      <c r="F47" s="618"/>
      <c r="G47" s="618">
        <f>G44/G42</f>
        <v>0.17218824444346537</v>
      </c>
      <c r="H47" s="618"/>
      <c r="I47" s="618">
        <f>I44/I42</f>
        <v>0.19460415240610868</v>
      </c>
      <c r="J47" s="618"/>
      <c r="K47" s="618">
        <f>K44/K42</f>
        <v>0.21731116378751586</v>
      </c>
      <c r="L47" s="618"/>
      <c r="M47" s="618">
        <f>M44/M42</f>
        <v>0.24030712309640026</v>
      </c>
      <c r="N47" s="618"/>
      <c r="O47" s="618">
        <f>O44/O42</f>
        <v>0.26358949064096659</v>
      </c>
      <c r="P47" s="618"/>
      <c r="Q47" s="618">
        <f>Q44/Q42</f>
        <v>0.28715532135982608</v>
      </c>
      <c r="R47" s="618"/>
      <c r="S47" s="618">
        <f>S44/S42</f>
        <v>0.3110012427188793</v>
      </c>
      <c r="T47" s="618"/>
      <c r="U47" s="618">
        <f>U44/U42</f>
        <v>0.33512343163664027</v>
      </c>
      <c r="V47" s="618"/>
      <c r="W47" s="618">
        <f>W44/W42</f>
        <v>0.35951759039906744</v>
      </c>
      <c r="X47" s="618"/>
      <c r="Y47" s="618">
        <f>Y44/Y42</f>
        <v>0.38417892152343364</v>
      </c>
      <c r="Z47" s="618"/>
      <c r="AA47" s="618">
        <f>AA44/AA42</f>
        <v>0.40910210152927207</v>
      </c>
      <c r="AB47" s="618"/>
      <c r="AC47" s="618">
        <f>AC44/AC42</f>
        <v>0.43428125357280578</v>
      </c>
      <c r="AD47" s="618"/>
      <c r="AE47" s="618">
        <f>AE44/AE42</f>
        <v>0.45970991889962182</v>
      </c>
      <c r="AF47" s="618"/>
      <c r="AG47" s="618">
        <f>AG44/AG42</f>
        <v>0.48538102706862557</v>
      </c>
      <c r="AH47" s="618"/>
      <c r="AI47" s="618"/>
    </row>
    <row r="48" spans="1:35" ht="14.25">
      <c r="A48" s="619" t="s">
        <v>1206</v>
      </c>
      <c r="B48" s="619"/>
      <c r="C48" s="620"/>
      <c r="D48" s="619"/>
      <c r="E48" s="619">
        <f>E36/E42</f>
        <v>1.1500652314615574</v>
      </c>
      <c r="F48" s="619"/>
      <c r="G48" s="619">
        <f>G36/G42</f>
        <v>1.1721882444434653</v>
      </c>
      <c r="H48" s="619"/>
      <c r="I48" s="619">
        <f>I36/I42</f>
        <v>1.1946041524061086</v>
      </c>
      <c r="J48" s="619"/>
      <c r="K48" s="619">
        <f>K36/K42</f>
        <v>1.2173111637875158</v>
      </c>
      <c r="L48" s="619"/>
      <c r="M48" s="619">
        <f>M36/M42</f>
        <v>1.2403071230964002</v>
      </c>
      <c r="N48" s="619"/>
      <c r="O48" s="619">
        <f>O36/O42</f>
        <v>1.2635894906409666</v>
      </c>
      <c r="P48" s="619"/>
      <c r="Q48" s="619">
        <f>Q36/Q42</f>
        <v>1.2871553213598261</v>
      </c>
      <c r="R48" s="619"/>
      <c r="S48" s="619">
        <f>S36/S42</f>
        <v>1.3110012427188793</v>
      </c>
      <c r="T48" s="619"/>
      <c r="U48" s="619">
        <f>U36/U42</f>
        <v>1.3351234316366403</v>
      </c>
      <c r="V48" s="619"/>
      <c r="W48" s="619">
        <f>W36/W42</f>
        <v>1.3595175903990675</v>
      </c>
      <c r="X48" s="619"/>
      <c r="Y48" s="619">
        <f>Y36/Y42</f>
        <v>1.3841789215234337</v>
      </c>
      <c r="Z48" s="619"/>
      <c r="AA48" s="619">
        <f>AA36/AA42</f>
        <v>1.4091021015292722</v>
      </c>
      <c r="AB48" s="619"/>
      <c r="AC48" s="619">
        <f>AC36/AC42</f>
        <v>1.4342812535728058</v>
      </c>
      <c r="AD48" s="619"/>
      <c r="AE48" s="619">
        <f>AE36/AE42</f>
        <v>1.4597099188996219</v>
      </c>
      <c r="AF48" s="619"/>
      <c r="AG48" s="619">
        <f>AG36/AG42</f>
        <v>1.4853810270686256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88569.399999999907</v>
      </c>
      <c r="F59" s="598"/>
      <c r="G59" s="598">
        <f>G44-G57</f>
        <v>101626.53499999992</v>
      </c>
      <c r="H59" s="598"/>
      <c r="I59" s="598">
        <f>I44-I57</f>
        <v>114856.53837499977</v>
      </c>
      <c r="J59" s="598"/>
      <c r="K59" s="598">
        <f>K44-K57</f>
        <v>128258.35273437458</v>
      </c>
      <c r="L59" s="598"/>
      <c r="M59" s="598">
        <f>M44-M57</f>
        <v>141830.70589423401</v>
      </c>
      <c r="N59" s="598"/>
      <c r="O59" s="598">
        <f>O44-O57</f>
        <v>155572.09891324234</v>
      </c>
      <c r="P59" s="598"/>
      <c r="Q59" s="598">
        <f>Q44-Q57</f>
        <v>169480.79359849752</v>
      </c>
      <c r="R59" s="598"/>
      <c r="S59" s="598">
        <f>S44-S57</f>
        <v>183554.79946013889</v>
      </c>
      <c r="T59" s="598"/>
      <c r="U59" s="598">
        <f>U44-U57</f>
        <v>197791.86009253492</v>
      </c>
      <c r="V59" s="598"/>
      <c r="W59" s="598">
        <f>W44-W57</f>
        <v>212189.43895907199</v>
      </c>
      <c r="X59" s="598"/>
      <c r="Y59" s="598">
        <f>Y44-Y57</f>
        <v>226744.70455665968</v>
      </c>
      <c r="Z59" s="598"/>
      <c r="AA59" s="598">
        <f>AA44-AA57</f>
        <v>241454.51493518555</v>
      </c>
      <c r="AB59" s="598"/>
      <c r="AC59" s="598">
        <f>AC44-AC57</f>
        <v>256315.40154619142</v>
      </c>
      <c r="AD59" s="598"/>
      <c r="AE59" s="598">
        <f>AE44-AE57</f>
        <v>271323.5523940702</v>
      </c>
      <c r="AF59" s="598"/>
      <c r="AG59" s="598">
        <f>AG44-AG57</f>
        <v>286474.79446206521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88569.399999999907</v>
      </c>
      <c r="F71" s="607"/>
      <c r="G71" s="598">
        <f>G59-G61-G69</f>
        <v>101626.53499999992</v>
      </c>
      <c r="H71" s="607"/>
      <c r="I71" s="598">
        <f>I59-I61-I69</f>
        <v>114856.53837499977</v>
      </c>
      <c r="J71" s="607"/>
      <c r="K71" s="598">
        <f>K59-K61-K69</f>
        <v>128258.35273437458</v>
      </c>
      <c r="L71" s="607"/>
      <c r="M71" s="598">
        <f>M59-M61-M69</f>
        <v>141830.70589423401</v>
      </c>
      <c r="N71" s="607"/>
      <c r="O71" s="598">
        <f>O59-O61-O69</f>
        <v>155572.09891324234</v>
      </c>
      <c r="P71" s="607"/>
      <c r="Q71" s="598">
        <f>Q59-Q61-Q69</f>
        <v>169480.79359849752</v>
      </c>
      <c r="R71" s="607"/>
      <c r="S71" s="598">
        <f>S59-S61-S69</f>
        <v>183554.79946013889</v>
      </c>
      <c r="T71" s="607"/>
      <c r="U71" s="598">
        <f>U59-U61-U69</f>
        <v>197791.86009253492</v>
      </c>
      <c r="V71" s="607"/>
      <c r="W71" s="598">
        <f>W59-W61-W69</f>
        <v>212189.43895907199</v>
      </c>
      <c r="X71" s="607"/>
      <c r="Y71" s="598">
        <f>Y59-Y61-Y69</f>
        <v>226744.70455665968</v>
      </c>
      <c r="Z71" s="607"/>
      <c r="AA71" s="598">
        <f>AA59-AA61-AA69</f>
        <v>241454.51493518555</v>
      </c>
      <c r="AB71" s="607"/>
      <c r="AC71" s="598">
        <f>AC59-AC61-AC69</f>
        <v>256315.40154619142</v>
      </c>
      <c r="AD71" s="607"/>
      <c r="AE71" s="598">
        <f>AE59-AE61-AE69</f>
        <v>271323.5523940702</v>
      </c>
      <c r="AF71" s="607"/>
      <c r="AG71" s="598">
        <f>AG59-AG61-AG69</f>
        <v>286474.79446206521</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Application!$B706</f>
        <v>2 Bedrooms</v>
      </c>
      <c r="B4" s="947">
        <f>Application!$G706</f>
        <v>6</v>
      </c>
      <c r="C4" s="939">
        <f>Application!$O706</f>
        <v>750</v>
      </c>
      <c r="D4" s="940"/>
      <c r="E4" s="740"/>
      <c r="F4" s="941">
        <f>$E4*$B4</f>
        <v>0</v>
      </c>
      <c r="G4" s="942"/>
      <c r="H4" s="939">
        <f>IF($E4=0,0,MAX($E4-$C4,0))</f>
        <v>0</v>
      </c>
      <c r="I4" s="941">
        <f>IF($H4=0,0,($H4*$B4))</f>
        <v>0</v>
      </c>
    </row>
    <row r="5" spans="1:9">
      <c r="A5" s="939" t="str">
        <f>Application!$B707</f>
        <v>3 Bedrooms</v>
      </c>
      <c r="B5" s="947">
        <f>Application!$G707</f>
        <v>2</v>
      </c>
      <c r="C5" s="939">
        <f>Application!$O707</f>
        <v>855</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11</v>
      </c>
      <c r="C6" s="939">
        <f>Application!$O708</f>
        <v>1159</v>
      </c>
      <c r="D6" s="940"/>
      <c r="E6" s="740"/>
      <c r="F6" s="941">
        <f t="shared" si="0"/>
        <v>0</v>
      </c>
      <c r="G6" s="942"/>
      <c r="H6" s="939">
        <f t="shared" si="1"/>
        <v>0</v>
      </c>
      <c r="I6" s="941">
        <f t="shared" si="2"/>
        <v>0</v>
      </c>
    </row>
    <row r="7" spans="1:9">
      <c r="A7" s="939" t="str">
        <f>Application!$B709</f>
        <v>3 Bedrooms</v>
      </c>
      <c r="B7" s="947">
        <f>Application!$G709</f>
        <v>4</v>
      </c>
      <c r="C7" s="939">
        <f>Application!$O709</f>
        <v>1328</v>
      </c>
      <c r="D7" s="940"/>
      <c r="E7" s="740"/>
      <c r="F7" s="941">
        <f t="shared" si="0"/>
        <v>0</v>
      </c>
      <c r="G7" s="942"/>
      <c r="H7" s="939">
        <f t="shared" si="1"/>
        <v>0</v>
      </c>
      <c r="I7" s="941">
        <f t="shared" si="2"/>
        <v>0</v>
      </c>
    </row>
    <row r="8" spans="1:9">
      <c r="A8" s="939" t="str">
        <f>Application!$B710</f>
        <v>2 Bedrooms</v>
      </c>
      <c r="B8" s="947">
        <f>Application!$G710</f>
        <v>22</v>
      </c>
      <c r="C8" s="939">
        <f>Application!$O710</f>
        <v>1295</v>
      </c>
      <c r="D8" s="940"/>
      <c r="E8" s="740"/>
      <c r="F8" s="941">
        <f t="shared" si="0"/>
        <v>0</v>
      </c>
      <c r="G8" s="942"/>
      <c r="H8" s="939">
        <f t="shared" si="1"/>
        <v>0</v>
      </c>
      <c r="I8" s="941">
        <f t="shared" si="2"/>
        <v>0</v>
      </c>
    </row>
    <row r="9" spans="1:9">
      <c r="A9" s="939" t="str">
        <f>Application!$B711</f>
        <v>3 Bedrooms</v>
      </c>
      <c r="B9" s="947">
        <f>Application!$G711</f>
        <v>8</v>
      </c>
      <c r="C9" s="939">
        <f>Application!$O711</f>
        <v>1485</v>
      </c>
      <c r="D9" s="940"/>
      <c r="E9" s="740"/>
      <c r="F9" s="941">
        <f t="shared" si="0"/>
        <v>0</v>
      </c>
      <c r="G9" s="942"/>
      <c r="H9" s="939">
        <f t="shared" si="1"/>
        <v>0</v>
      </c>
      <c r="I9" s="941">
        <f t="shared" si="2"/>
        <v>0</v>
      </c>
    </row>
    <row r="10" spans="1:9">
      <c r="A10" s="939" t="str">
        <f>Application!$B712</f>
        <v>2 Bedrooms</v>
      </c>
      <c r="B10" s="947">
        <f>Application!$G712</f>
        <v>15</v>
      </c>
      <c r="C10" s="939">
        <f>Application!$O712</f>
        <v>1568</v>
      </c>
      <c r="D10" s="940"/>
      <c r="E10" s="740"/>
      <c r="F10" s="941">
        <f t="shared" si="0"/>
        <v>0</v>
      </c>
      <c r="G10" s="942"/>
      <c r="H10" s="939">
        <f t="shared" si="1"/>
        <v>0</v>
      </c>
      <c r="I10" s="941">
        <f t="shared" si="2"/>
        <v>0</v>
      </c>
    </row>
    <row r="11" spans="1:9">
      <c r="A11" s="939" t="str">
        <f>Application!$B713</f>
        <v>3 Bedrooms</v>
      </c>
      <c r="B11" s="947">
        <f>Application!$G713</f>
        <v>6</v>
      </c>
      <c r="C11" s="939">
        <f>Application!$O713</f>
        <v>1800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1187532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1358</v>
      </c>
    </row>
    <row r="2" spans="1:1" ht="15.75">
      <c r="A2" s="771"/>
    </row>
    <row r="3" spans="1:1" ht="15.75">
      <c r="A3" s="772" t="s">
        <v>1353</v>
      </c>
    </row>
    <row r="4" spans="1:1" ht="15.75">
      <c r="A4" s="772" t="s">
        <v>1354</v>
      </c>
    </row>
    <row r="5" spans="1:1" ht="15.75">
      <c r="A5" s="772" t="s">
        <v>1355</v>
      </c>
    </row>
    <row r="6" spans="1:1" ht="15.75">
      <c r="A6" s="772" t="s">
        <v>1356</v>
      </c>
    </row>
    <row r="7" spans="1:1" ht="15.75">
      <c r="A7" s="772" t="s">
        <v>1357</v>
      </c>
    </row>
    <row r="8" spans="1:1" ht="15.75">
      <c r="A8" s="897" t="s">
        <v>1484</v>
      </c>
    </row>
    <row r="9" spans="1:1" ht="15.7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1216</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35381139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7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0" t="s">
        <v>1516</v>
      </c>
      <c r="D18" s="2301"/>
      <c r="E18" s="2301"/>
      <c r="F18" s="2301"/>
      <c r="G18" s="2301"/>
      <c r="H18" s="2301"/>
      <c r="I18" s="2301"/>
      <c r="J18" s="2301"/>
      <c r="K18" s="2301"/>
      <c r="L18" s="2301"/>
      <c r="M18" s="2301"/>
      <c r="N18" s="2301"/>
      <c r="O18" s="2301"/>
      <c r="P18" s="2301"/>
      <c r="Q18" s="2301"/>
      <c r="R18" s="2301"/>
      <c r="S18" s="2302"/>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1927</v>
      </c>
      <c r="C21" s="2265"/>
      <c r="D21" s="2265"/>
      <c r="E21" s="2265"/>
      <c r="F21" s="2265"/>
      <c r="G21" s="2265"/>
      <c r="H21" s="2265"/>
      <c r="I21" s="2265"/>
      <c r="J21" s="2265"/>
      <c r="K21" s="2265"/>
      <c r="L21" s="2265"/>
      <c r="M21" s="2265"/>
      <c r="N21" s="2265"/>
      <c r="O21" s="2265"/>
      <c r="P21" s="2265"/>
      <c r="Q21" s="2265"/>
      <c r="R21" s="2265"/>
      <c r="S21" s="2266"/>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23941148</v>
      </c>
      <c r="AJ21" s="1790"/>
      <c r="AK21" s="1790"/>
      <c r="AL21" s="1790"/>
      <c r="AM21" s="1790"/>
    </row>
    <row r="22" spans="1:39" ht="12.75">
      <c r="B22" s="2264" t="s">
        <v>844</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-23941148</v>
      </c>
      <c r="AJ22" s="2306"/>
      <c r="AK22" s="2306"/>
      <c r="AL22" s="2306"/>
      <c r="AM22" s="2306"/>
    </row>
    <row r="23" spans="1:39" ht="12.75">
      <c r="A23" s="2"/>
      <c r="B23" s="2322" t="s">
        <v>845</v>
      </c>
      <c r="C23" s="2323"/>
      <c r="D23" s="2323"/>
      <c r="E23" s="2323"/>
      <c r="F23" s="2323"/>
      <c r="G23" s="2323"/>
      <c r="H23" s="2323"/>
      <c r="I23" s="2323"/>
      <c r="J23" s="2323"/>
      <c r="K23" s="2323"/>
      <c r="L23" s="2323"/>
      <c r="M23" s="2323"/>
      <c r="N23" s="2323"/>
      <c r="O23" s="2323"/>
      <c r="P23" s="2323"/>
      <c r="Q23" s="2323"/>
      <c r="R23" s="2323"/>
      <c r="S23" s="2324"/>
      <c r="T23" s="2259">
        <f>T11+T22</f>
        <v>35381139</v>
      </c>
      <c r="U23" s="2260"/>
      <c r="V23" s="2260"/>
      <c r="W23" s="2260"/>
      <c r="X23" s="2260"/>
      <c r="Y23" s="2259">
        <f>Y11+Y22</f>
        <v>0</v>
      </c>
      <c r="Z23" s="2260"/>
      <c r="AA23" s="2260"/>
      <c r="AB23" s="2260"/>
      <c r="AC23" s="2260"/>
      <c r="AD23" s="2259">
        <f>AD11+AD22</f>
        <v>0</v>
      </c>
      <c r="AE23" s="2260"/>
      <c r="AF23" s="2260"/>
      <c r="AG23" s="2260"/>
      <c r="AH23" s="2260"/>
      <c r="AI23" s="2259">
        <f>AI11+AI22</f>
        <v>-23941148</v>
      </c>
      <c r="AJ23" s="2260"/>
      <c r="AK23" s="2260"/>
      <c r="AL23" s="2260"/>
      <c r="AM23" s="2260"/>
    </row>
    <row r="24" spans="1:39" ht="12.75">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2.75">
      <c r="B26" s="2264" t="s">
        <v>846</v>
      </c>
      <c r="C26" s="2265"/>
      <c r="D26" s="2265"/>
      <c r="E26" s="2265"/>
      <c r="F26" s="2265"/>
      <c r="G26" s="2265"/>
      <c r="H26" s="2265"/>
      <c r="I26" s="2265"/>
      <c r="J26" s="2265"/>
      <c r="K26" s="2265"/>
      <c r="L26" s="2265"/>
      <c r="M26" s="2265"/>
      <c r="N26" s="2265"/>
      <c r="O26" s="2265"/>
      <c r="P26" s="2265"/>
      <c r="Q26" s="2265"/>
      <c r="R26" s="2265"/>
      <c r="S26" s="2266"/>
      <c r="T26" s="2312">
        <f>T23*T25</f>
        <v>35381139</v>
      </c>
      <c r="U26" s="2313"/>
      <c r="V26" s="2313"/>
      <c r="W26" s="2313"/>
      <c r="X26" s="2313"/>
      <c r="Y26" s="2312">
        <f>Y23*Y25</f>
        <v>0</v>
      </c>
      <c r="Z26" s="2313"/>
      <c r="AA26" s="2313"/>
      <c r="AB26" s="2313"/>
      <c r="AC26" s="2313"/>
      <c r="AD26" s="2312">
        <f>AD23*AD25</f>
        <v>0</v>
      </c>
      <c r="AE26" s="2313"/>
      <c r="AF26" s="2313"/>
      <c r="AG26" s="2313"/>
      <c r="AH26" s="2313"/>
      <c r="AI26" s="2312">
        <f>AI23*AI25</f>
        <v>-23941148</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4">
        <f>IF(ISERROR((T26*T27)),0,(T26*T27))</f>
        <v>35381139</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-23941148</v>
      </c>
      <c r="AJ28" s="2281"/>
      <c r="AK28" s="2281"/>
      <c r="AL28" s="2281"/>
      <c r="AM28" s="2281"/>
    </row>
    <row r="29" spans="1:39" ht="12.75">
      <c r="B29" s="2264" t="s">
        <v>688</v>
      </c>
      <c r="C29" s="2265"/>
      <c r="D29" s="2265"/>
      <c r="E29" s="2265"/>
      <c r="F29" s="2265"/>
      <c r="G29" s="2265"/>
      <c r="H29" s="2265"/>
      <c r="I29" s="2265"/>
      <c r="J29" s="2265"/>
      <c r="K29" s="2265"/>
      <c r="L29" s="2265"/>
      <c r="M29" s="2265"/>
      <c r="N29" s="2265"/>
      <c r="O29" s="2265"/>
      <c r="P29" s="2265"/>
      <c r="Q29" s="2265"/>
      <c r="R29" s="2265"/>
      <c r="S29" s="2266"/>
      <c r="T29" s="2325">
        <f>T28+Y28+AD28+AI28</f>
        <v>11439991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75">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7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5">
        <f>'Sources and Uses Budget'!B104-'Sources and Uses Budget'!$B$15</f>
        <v>40754636</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2.75">
      <c r="D48" s="6" t="s">
        <v>421</v>
      </c>
      <c r="AB48" s="2255">
        <f>AB46-AB47</f>
        <v>40754636</v>
      </c>
      <c r="AC48" s="2256"/>
      <c r="AD48" s="2256"/>
      <c r="AE48" s="2256"/>
      <c r="AF48" s="2257"/>
    </row>
    <row r="49" spans="1:40" ht="12.75">
      <c r="D49" s="6" t="s">
        <v>957</v>
      </c>
      <c r="X49" s="2"/>
      <c r="Y49" s="2"/>
      <c r="Z49" s="2"/>
      <c r="AA49" s="409"/>
      <c r="AB49" s="2274"/>
      <c r="AC49" s="2275"/>
      <c r="AD49" s="2275"/>
      <c r="AE49" s="2275"/>
      <c r="AF49" s="2276"/>
    </row>
    <row r="50" spans="1:40" s="515" customFormat="1" ht="1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2.75">
      <c r="D55" s="6" t="s">
        <v>378</v>
      </c>
      <c r="AB55" s="2282">
        <f>(IF((Y41&lt;AB54),Y41,AB54))</f>
        <v>0</v>
      </c>
      <c r="AC55" s="2283"/>
      <c r="AD55" s="2283"/>
      <c r="AE55" s="2283"/>
      <c r="AF55" s="2284"/>
    </row>
    <row r="56" spans="1:40" ht="12.75">
      <c r="D56" s="6" t="s">
        <v>117</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40754636</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-23941148</v>
      </c>
      <c r="AE63" s="2277"/>
      <c r="AF63" s="2277"/>
      <c r="AG63" s="2277"/>
      <c r="AH63" s="2277"/>
    </row>
    <row r="64" spans="1:40" ht="1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75">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40754636</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87" t="s">
        <v>1505</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7" t="s">
        <v>1810</v>
      </c>
      <c r="U7" s="2267"/>
      <c r="V7" s="2267"/>
      <c r="W7" s="2267"/>
      <c r="X7" s="2267"/>
      <c r="Y7" s="2267" t="s">
        <v>1973</v>
      </c>
      <c r="Z7" s="2267"/>
      <c r="AA7" s="2267"/>
      <c r="AB7" s="2267"/>
      <c r="AC7" s="2267"/>
      <c r="AD7" s="2267" t="s">
        <v>1511</v>
      </c>
      <c r="AE7" s="2267"/>
      <c r="AF7" s="2267"/>
      <c r="AG7" s="2267"/>
      <c r="AH7" s="2267"/>
      <c r="AI7" s="2267" t="s">
        <v>1974</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35381139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2.7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1928</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0" t="s">
        <v>1516</v>
      </c>
      <c r="D18" s="2301"/>
      <c r="E18" s="2301"/>
      <c r="F18" s="2301"/>
      <c r="G18" s="2301"/>
      <c r="H18" s="2301"/>
      <c r="I18" s="2301"/>
      <c r="J18" s="2301"/>
      <c r="K18" s="2301"/>
      <c r="L18" s="2301"/>
      <c r="M18" s="2301"/>
      <c r="N18" s="2301"/>
      <c r="O18" s="2301"/>
      <c r="P18" s="2301"/>
      <c r="Q18" s="2301"/>
      <c r="R18" s="2301"/>
      <c r="S18" s="2302"/>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4" t="str">
        <f>'Basis &amp; Credits'!C19:S19</f>
        <v>Subtract (specify other ineligible amounts):</v>
      </c>
      <c r="D19" s="1974"/>
      <c r="E19" s="1974"/>
      <c r="F19" s="1974"/>
      <c r="G19" s="1974"/>
      <c r="H19" s="1974"/>
      <c r="I19" s="1974"/>
      <c r="J19" s="1974"/>
      <c r="K19" s="1974"/>
      <c r="L19" s="1974"/>
      <c r="M19" s="1974"/>
      <c r="N19" s="1974"/>
      <c r="O19" s="1974"/>
      <c r="P19" s="1974"/>
      <c r="Q19" s="1974"/>
      <c r="R19" s="1974"/>
      <c r="S19" s="1975"/>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1927</v>
      </c>
      <c r="C21" s="2265"/>
      <c r="D21" s="2265"/>
      <c r="E21" s="2265"/>
      <c r="F21" s="2265"/>
      <c r="G21" s="2265"/>
      <c r="H21" s="2265"/>
      <c r="I21" s="2265"/>
      <c r="J21" s="2265"/>
      <c r="K21" s="2265"/>
      <c r="L21" s="2265"/>
      <c r="M21" s="2265"/>
      <c r="N21" s="2265"/>
      <c r="O21" s="2265"/>
      <c r="P21" s="2265"/>
      <c r="Q21" s="2265"/>
      <c r="R21" s="2265"/>
      <c r="S21" s="2266"/>
      <c r="T21" s="1774">
        <f>'Basis &amp; Credits'!T21</f>
        <v>23941148</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75">
      <c r="B22" s="2264" t="s">
        <v>844</v>
      </c>
      <c r="C22" s="2265"/>
      <c r="D22" s="2265"/>
      <c r="E22" s="2265"/>
      <c r="F22" s="2265"/>
      <c r="G22" s="2265"/>
      <c r="H22" s="2265"/>
      <c r="I22" s="2265"/>
      <c r="J22" s="2265"/>
      <c r="K22" s="2265"/>
      <c r="L22" s="2265"/>
      <c r="M22" s="2265"/>
      <c r="N22" s="2265"/>
      <c r="O22" s="2265"/>
      <c r="P22" s="2265"/>
      <c r="Q22" s="2265"/>
      <c r="R22" s="2265"/>
      <c r="S22" s="2266"/>
      <c r="T22" s="2305">
        <f>(T20+T21)*-1</f>
        <v>-23941148</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2.75">
      <c r="A23" s="2"/>
      <c r="B23" s="2322" t="s">
        <v>845</v>
      </c>
      <c r="C23" s="2323"/>
      <c r="D23" s="2323"/>
      <c r="E23" s="2323"/>
      <c r="F23" s="2323"/>
      <c r="G23" s="2323"/>
      <c r="H23" s="2323"/>
      <c r="I23" s="2323"/>
      <c r="J23" s="2323"/>
      <c r="K23" s="2323"/>
      <c r="L23" s="2323"/>
      <c r="M23" s="2323"/>
      <c r="N23" s="2323"/>
      <c r="O23" s="2323"/>
      <c r="P23" s="2323"/>
      <c r="Q23" s="2323"/>
      <c r="R23" s="2323"/>
      <c r="S23" s="2324"/>
      <c r="T23" s="2259">
        <f>T11+T22</f>
        <v>11439991</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2.75">
      <c r="B24" s="2264" t="s">
        <v>1348</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1972</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75">
      <c r="B26" s="2264" t="s">
        <v>846</v>
      </c>
      <c r="C26" s="2265"/>
      <c r="D26" s="2265"/>
      <c r="E26" s="2265"/>
      <c r="F26" s="2265"/>
      <c r="G26" s="2265"/>
      <c r="H26" s="2265"/>
      <c r="I26" s="2265"/>
      <c r="J26" s="2265"/>
      <c r="K26" s="2265"/>
      <c r="L26" s="2265"/>
      <c r="M26" s="2265"/>
      <c r="N26" s="2265"/>
      <c r="O26" s="2265"/>
      <c r="P26" s="2265"/>
      <c r="Q26" s="2265"/>
      <c r="R26" s="2265"/>
      <c r="S26" s="2266"/>
      <c r="T26" s="2312">
        <f>T23*T25</f>
        <v>11439991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4">
        <f>IF(ISERROR((T26*T27)),0,(T26*T27))</f>
        <v>11439991</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0</v>
      </c>
      <c r="AJ28" s="2281"/>
      <c r="AK28" s="2281"/>
      <c r="AL28" s="2281"/>
      <c r="AM28" s="2281"/>
    </row>
    <row r="29" spans="1:39" ht="12.75">
      <c r="B29" s="2264" t="s">
        <v>688</v>
      </c>
      <c r="C29" s="2265"/>
      <c r="D29" s="2265"/>
      <c r="E29" s="2265"/>
      <c r="F29" s="2265"/>
      <c r="G29" s="2265"/>
      <c r="H29" s="2265"/>
      <c r="I29" s="2265"/>
      <c r="J29" s="2265"/>
      <c r="K29" s="2265"/>
      <c r="L29" s="2265"/>
      <c r="M29" s="2265"/>
      <c r="N29" s="2265"/>
      <c r="O29" s="2265"/>
      <c r="P29" s="2265"/>
      <c r="Q29" s="2265"/>
      <c r="R29" s="2265"/>
      <c r="S29" s="2266"/>
      <c r="T29" s="2325">
        <f>T28+Y28+AD28+AI28</f>
        <v>11439991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2.75">
      <c r="B39" s="2264" t="s">
        <v>836</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2.7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1287</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55">
        <f>'Sources and Uses Budget'!B104-'Sources and Uses Budget'!$B$15</f>
        <v>40754636</v>
      </c>
      <c r="AC46" s="2256"/>
      <c r="AD46" s="2256"/>
      <c r="AE46" s="2256"/>
      <c r="AF46" s="2257"/>
    </row>
    <row r="47" spans="1:40" ht="12.75" customHeight="1">
      <c r="D47" s="6" t="s">
        <v>918</v>
      </c>
      <c r="AB47" s="2255">
        <f>Application!AG644-MIN('Sources and Uses Budget'!B15,Application!AG385)</f>
        <v>0</v>
      </c>
      <c r="AC47" s="2256"/>
      <c r="AD47" s="2256"/>
      <c r="AE47" s="2256"/>
      <c r="AF47" s="2257"/>
    </row>
    <row r="48" spans="1:40" ht="12.75">
      <c r="D48" s="6" t="s">
        <v>421</v>
      </c>
      <c r="AB48" s="2255">
        <f>AB46-AB47</f>
        <v>40754636</v>
      </c>
      <c r="AC48" s="2256"/>
      <c r="AD48" s="2256"/>
      <c r="AE48" s="2256"/>
      <c r="AF48" s="2257"/>
    </row>
    <row r="49" spans="1:40" ht="12.75">
      <c r="D49" s="6" t="s">
        <v>957</v>
      </c>
      <c r="X49" s="2"/>
      <c r="Y49" s="2"/>
      <c r="Z49" s="2"/>
      <c r="AA49" s="409"/>
      <c r="AB49" s="2274"/>
      <c r="AC49" s="2275"/>
      <c r="AD49" s="2275"/>
      <c r="AE49" s="2275"/>
      <c r="AF49" s="2276"/>
    </row>
    <row r="50" spans="1:40" s="515" customFormat="1" ht="15" customHeight="1">
      <c r="A50" s="2"/>
      <c r="B50" s="2"/>
      <c r="C50" s="2"/>
      <c r="D50" s="272"/>
      <c r="E50" s="2285" t="s">
        <v>1504</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620</v>
      </c>
      <c r="AB54" s="2255">
        <f>(AB53/10)</f>
        <v>0</v>
      </c>
      <c r="AC54" s="2256"/>
      <c r="AD54" s="2256"/>
      <c r="AE54" s="2256"/>
      <c r="AF54" s="2257"/>
    </row>
    <row r="55" spans="1:40" ht="12.75">
      <c r="D55" s="6" t="s">
        <v>378</v>
      </c>
      <c r="AB55" s="2282">
        <f>(IF((Y41&lt;AB54),Y41,AB54))</f>
        <v>0</v>
      </c>
      <c r="AC55" s="2283"/>
      <c r="AD55" s="2283"/>
      <c r="AE55" s="2283"/>
      <c r="AF55" s="2284"/>
    </row>
    <row r="56" spans="1:40" ht="12.75">
      <c r="D56" s="6" t="s">
        <v>117</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40754636</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7"/>
      <c r="AA63" s="2277"/>
      <c r="AB63" s="2277"/>
      <c r="AC63" s="2277"/>
      <c r="AD63" s="1789">
        <f>AI28</f>
        <v>0</v>
      </c>
      <c r="AE63" s="2277"/>
      <c r="AF63" s="2277"/>
      <c r="AG63" s="2277"/>
      <c r="AH63" s="2277"/>
    </row>
    <row r="64" spans="1:40" ht="1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2.75">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40754636</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1359</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3750000</v>
      </c>
      <c r="C5" s="523">
        <f>'Sources and Uses Budget'!C4</f>
        <v>3750000</v>
      </c>
      <c r="D5" s="523">
        <f>'Sources and Uses Budget'!C4</f>
        <v>3750000</v>
      </c>
      <c r="E5" s="525">
        <f>C5-B5</f>
        <v>0</v>
      </c>
      <c r="F5" s="524"/>
      <c r="G5" s="524"/>
    </row>
    <row r="6" spans="1:7" s="902" customFormat="1" ht="12.75">
      <c r="A6" s="1494" t="s">
        <v>1060</v>
      </c>
      <c r="B6" s="523">
        <f>'Sources and Uses Budget'!C5</f>
        <v>329651</v>
      </c>
      <c r="C6" s="523">
        <f>'Sources and Uses Budget'!C5</f>
        <v>329651</v>
      </c>
      <c r="D6" s="523">
        <f>'Sources and Uses Budget'!C5</f>
        <v>329651</v>
      </c>
      <c r="E6" s="525">
        <f t="shared" ref="E6:E73" si="0">C6-B6</f>
        <v>0</v>
      </c>
      <c r="F6" s="524"/>
      <c r="G6" s="524"/>
    </row>
    <row r="7" spans="1:7" s="902" customFormat="1" ht="12.75">
      <c r="A7" s="1494" t="s">
        <v>381</v>
      </c>
      <c r="B7" s="523">
        <f>'Sources and Uses Budget'!C6</f>
        <v>30000</v>
      </c>
      <c r="C7" s="523">
        <f>'Sources and Uses Budget'!C6</f>
        <v>30000</v>
      </c>
      <c r="D7" s="523">
        <f>'Sources and Uses Budget'!C6</f>
        <v>30000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4109651</v>
      </c>
      <c r="C9" s="525">
        <f>SUM(C5:C8)</f>
        <v>4109651</v>
      </c>
      <c r="D9" s="525">
        <f>SUM(D5:D8)</f>
        <v>4109651</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0</v>
      </c>
      <c r="C11" s="523">
        <f>'Sources and Uses Budget'!C10</f>
        <v>0</v>
      </c>
      <c r="D11" s="523">
        <f>'Sources and Uses Budget'!C10</f>
        <v>0</v>
      </c>
      <c r="E11" s="525">
        <f t="shared" si="0"/>
        <v>0</v>
      </c>
      <c r="F11" s="524"/>
      <c r="G11" s="524"/>
    </row>
    <row r="12" spans="1:7" s="902" customFormat="1" ht="12.75">
      <c r="A12" s="1495" t="s">
        <v>645</v>
      </c>
      <c r="B12" s="525">
        <f>SUM(B10:B11)</f>
        <v>0</v>
      </c>
      <c r="C12" s="525">
        <f>SUM(C10:C11)</f>
        <v>0</v>
      </c>
      <c r="D12" s="525">
        <f>SUM(D10:D11)</f>
        <v>0</v>
      </c>
      <c r="E12" s="525">
        <f t="shared" si="0"/>
        <v>0</v>
      </c>
      <c r="F12" s="524"/>
      <c r="G12" s="524"/>
    </row>
    <row r="13" spans="1:7" s="902" customFormat="1" ht="12.75">
      <c r="A13" s="1495" t="s">
        <v>777</v>
      </c>
      <c r="B13" s="525">
        <f>SUM(B9+B12)</f>
        <v>4109651</v>
      </c>
      <c r="C13" s="525">
        <f>SUM(C9+C12)</f>
        <v>4109651</v>
      </c>
      <c r="D13" s="525">
        <f>SUM(D9+D12)</f>
        <v>4109651</v>
      </c>
      <c r="E13" s="525">
        <f t="shared" si="0"/>
        <v>0</v>
      </c>
      <c r="F13" s="524"/>
      <c r="G13" s="524"/>
    </row>
    <row r="14" spans="1:7" s="902" customFormat="1" ht="12.75">
      <c r="A14" s="1496" t="s">
        <v>1228</v>
      </c>
      <c r="B14" s="523">
        <f>'Sources and Uses Budget'!C13</f>
        <v>65000</v>
      </c>
      <c r="C14" s="523">
        <f>'Sources and Uses Budget'!C13</f>
        <v>65000</v>
      </c>
      <c r="D14" s="523">
        <f>'Sources and Uses Budget'!C13</f>
        <v>65000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1893</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2238</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2002902</v>
      </c>
      <c r="C30" s="523">
        <f>'Sources and Uses Budget'!C29</f>
        <v>2002902</v>
      </c>
      <c r="D30" s="523">
        <f>'Sources and Uses Budget'!C29</f>
        <v>2002902</v>
      </c>
      <c r="E30" s="525">
        <f t="shared" si="0"/>
        <v>0</v>
      </c>
      <c r="F30" s="524"/>
      <c r="G30" s="524"/>
    </row>
    <row r="31" spans="1:7" s="902" customFormat="1" ht="12.75">
      <c r="A31" s="369" t="s">
        <v>1014</v>
      </c>
      <c r="B31" s="523">
        <f>'Sources and Uses Budget'!C30</f>
        <v>22412933</v>
      </c>
      <c r="C31" s="523">
        <f>'Sources and Uses Budget'!C30</f>
        <v>22412933</v>
      </c>
      <c r="D31" s="523">
        <f>'Sources and Uses Budget'!C30</f>
        <v>22412933</v>
      </c>
      <c r="E31" s="525">
        <f t="shared" si="0"/>
        <v>0</v>
      </c>
      <c r="F31" s="524"/>
      <c r="G31" s="524"/>
    </row>
    <row r="32" spans="1:7" s="902" customFormat="1" ht="12.75">
      <c r="A32" s="369" t="s">
        <v>1015</v>
      </c>
      <c r="B32" s="523">
        <f>'Sources and Uses Budget'!C31</f>
        <v>1170000</v>
      </c>
      <c r="C32" s="523">
        <f>'Sources and Uses Budget'!C31</f>
        <v>1170000</v>
      </c>
      <c r="D32" s="523">
        <f>'Sources and Uses Budget'!C31</f>
        <v>1170000</v>
      </c>
      <c r="E32" s="525">
        <f t="shared" si="0"/>
        <v>0</v>
      </c>
      <c r="F32" s="524"/>
      <c r="G32" s="524"/>
    </row>
    <row r="33" spans="1:7" s="902" customFormat="1" ht="12.75">
      <c r="A33" s="369" t="s">
        <v>1016</v>
      </c>
      <c r="B33" s="523">
        <f>'Sources and Uses Budget'!C32</f>
        <v>1473662</v>
      </c>
      <c r="C33" s="523">
        <f>'Sources and Uses Budget'!C32</f>
        <v>1473662</v>
      </c>
      <c r="D33" s="523">
        <f>'Sources and Uses Budget'!C32</f>
        <v>1473662</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586658</v>
      </c>
      <c r="C36" s="523">
        <f>'Sources and Uses Budget'!C35</f>
        <v>586658</v>
      </c>
      <c r="D36" s="523">
        <f>'Sources and Uses Budget'!C35</f>
        <v>586658</v>
      </c>
      <c r="E36" s="525">
        <f t="shared" si="0"/>
        <v>0</v>
      </c>
      <c r="F36" s="524"/>
      <c r="G36" s="524"/>
    </row>
    <row r="37" spans="1:7" s="902" customFormat="1" ht="12.75">
      <c r="A37" s="722" t="s">
        <v>2238</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498" t="s">
        <v>1022</v>
      </c>
      <c r="B39" s="1505">
        <f>'Sources and Uses Budget'!C38</f>
        <v>27646155</v>
      </c>
      <c r="C39" s="1505">
        <f>'Sources and Uses Budget'!C38</f>
        <v>27646155</v>
      </c>
      <c r="D39" s="1505">
        <f>'Sources and Uses Budget'!C38</f>
        <v>27646155</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890000</v>
      </c>
      <c r="C41" s="523">
        <f>'Sources and Uses Budget'!C40</f>
        <v>890000</v>
      </c>
      <c r="D41" s="523">
        <f>'Sources and Uses Budget'!C40</f>
        <v>890000</v>
      </c>
      <c r="E41" s="525">
        <f>C41-B41</f>
        <v>0</v>
      </c>
      <c r="F41" s="524"/>
      <c r="G41" s="524"/>
    </row>
    <row r="42" spans="1:7" s="902" customFormat="1" ht="12.7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890000</v>
      </c>
      <c r="C43" s="1505">
        <f>'Sources and Uses Budget'!C42</f>
        <v>890000</v>
      </c>
      <c r="D43" s="1505">
        <f>'Sources and Uses Budget'!C42</f>
        <v>890000</v>
      </c>
      <c r="E43" s="525">
        <f>C43-B43</f>
        <v>0</v>
      </c>
      <c r="F43" s="524"/>
      <c r="G43" s="524"/>
    </row>
    <row r="44" spans="1:7" s="902" customFormat="1" ht="12.75">
      <c r="A44" s="1498" t="s">
        <v>1027</v>
      </c>
      <c r="B44" s="523">
        <f>'Sources and Uses Budget'!C43</f>
        <v>500000</v>
      </c>
      <c r="C44" s="523">
        <f>'Sources and Uses Budget'!C43</f>
        <v>500000</v>
      </c>
      <c r="D44" s="523">
        <f>'Sources and Uses Budget'!C43</f>
        <v>500000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1088821</v>
      </c>
      <c r="C46" s="523">
        <f>'Sources and Uses Budget'!C45</f>
        <v>1088821</v>
      </c>
      <c r="D46" s="523">
        <f>'Sources and Uses Budget'!C45</f>
        <v>1088821</v>
      </c>
      <c r="E46" s="525">
        <f t="shared" si="0"/>
        <v>0</v>
      </c>
      <c r="F46" s="524"/>
      <c r="G46" s="524"/>
    </row>
    <row r="47" spans="1:7" s="902" customFormat="1" ht="12.75">
      <c r="A47" s="369" t="s">
        <v>1030</v>
      </c>
      <c r="B47" s="523">
        <f>'Sources and Uses Budget'!C46</f>
        <v>221305</v>
      </c>
      <c r="C47" s="523">
        <f>'Sources and Uses Budget'!C46</f>
        <v>221305</v>
      </c>
      <c r="D47" s="523">
        <f>'Sources and Uses Budget'!C46</f>
        <v>221305</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50000</v>
      </c>
      <c r="C49" s="523">
        <f>'Sources and Uses Budget'!C48</f>
        <v>50000</v>
      </c>
      <c r="D49" s="523">
        <f>'Sources and Uses Budget'!C48</f>
        <v>50000</v>
      </c>
      <c r="E49" s="525">
        <f t="shared" si="0"/>
        <v>0</v>
      </c>
      <c r="F49" s="524"/>
      <c r="G49" s="524"/>
    </row>
    <row r="50" spans="1:7" s="902" customFormat="1" ht="12.75">
      <c r="A50" s="369" t="s">
        <v>1035</v>
      </c>
      <c r="B50" s="523">
        <f>'Sources and Uses Budget'!C49</f>
        <v>40000</v>
      </c>
      <c r="C50" s="523">
        <f>'Sources and Uses Budget'!C49</f>
        <v>40000</v>
      </c>
      <c r="D50" s="523">
        <f>'Sources and Uses Budget'!C49</f>
        <v>40000</v>
      </c>
      <c r="E50" s="525">
        <f t="shared" si="0"/>
        <v>0</v>
      </c>
      <c r="F50" s="524"/>
      <c r="G50" s="524"/>
    </row>
    <row r="51" spans="1:7" s="902" customFormat="1" ht="12.75">
      <c r="A51" s="369" t="s">
        <v>1033</v>
      </c>
      <c r="B51" s="523">
        <f>'Sources and Uses Budget'!C50</f>
        <v>50000</v>
      </c>
      <c r="C51" s="523">
        <f>'Sources and Uses Budget'!C50</f>
        <v>50000</v>
      </c>
      <c r="D51" s="523">
        <f>'Sources and Uses Budget'!C50</f>
        <v>50000</v>
      </c>
      <c r="E51" s="525">
        <f t="shared" si="0"/>
        <v>0</v>
      </c>
      <c r="F51" s="524"/>
      <c r="G51" s="524"/>
    </row>
    <row r="52" spans="1:7" s="903" customFormat="1" ht="12.75">
      <c r="A52" s="369" t="s">
        <v>1034</v>
      </c>
      <c r="B52" s="523">
        <f>'Sources and Uses Budget'!C51</f>
        <v>200000</v>
      </c>
      <c r="C52" s="523">
        <f>'Sources and Uses Budget'!C51</f>
        <v>200000</v>
      </c>
      <c r="D52" s="523">
        <f>'Sources and Uses Budget'!C51</f>
        <v>200000</v>
      </c>
      <c r="E52" s="525">
        <f t="shared" si="0"/>
        <v>0</v>
      </c>
      <c r="F52" s="524"/>
      <c r="G52" s="524"/>
    </row>
    <row r="53" spans="1:7" s="902" customFormat="1" ht="12.75">
      <c r="A53" s="376" t="s">
        <v>591</v>
      </c>
      <c r="B53" s="523">
        <f>'Sources and Uses Budget'!C52</f>
        <v>47200</v>
      </c>
      <c r="C53" s="523">
        <f>'Sources and Uses Budget'!C52</f>
        <v>47200</v>
      </c>
      <c r="D53" s="523">
        <f>'Sources and Uses Budget'!C52</f>
        <v>47200</v>
      </c>
      <c r="E53" s="525">
        <f t="shared" si="0"/>
        <v>0</v>
      </c>
      <c r="F53" s="524"/>
      <c r="G53" s="524"/>
    </row>
    <row r="54" spans="1:7" s="902" customFormat="1" ht="12.75">
      <c r="A54" s="373" t="s">
        <v>1036</v>
      </c>
      <c r="B54" s="1505">
        <f>'Sources and Uses Budget'!C53</f>
        <v>1697326</v>
      </c>
      <c r="C54" s="1505">
        <f>'Sources and Uses Budget'!C53</f>
        <v>1697326</v>
      </c>
      <c r="D54" s="1505">
        <f>'Sources and Uses Budget'!C53</f>
        <v>1697326</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75945</v>
      </c>
      <c r="C56" s="523">
        <f>'Sources and Uses Budget'!C55</f>
        <v>75945</v>
      </c>
      <c r="D56" s="523">
        <f>'Sources and Uses Budget'!C55</f>
        <v>75945</v>
      </c>
      <c r="E56" s="525">
        <f t="shared" si="0"/>
        <v>0</v>
      </c>
      <c r="F56" s="524"/>
      <c r="G56" s="524"/>
    </row>
    <row r="57" spans="1:7" s="902" customFormat="1" ht="12.75">
      <c r="A57" s="1499" t="s">
        <v>1031</v>
      </c>
      <c r="B57" s="523">
        <f>'Sources and Uses Budget'!C56</f>
        <v>0</v>
      </c>
      <c r="C57" s="523">
        <f>'Sources and Uses Budget'!C56</f>
        <v>0</v>
      </c>
      <c r="D57" s="523">
        <f>'Sources and Uses Budget'!C56</f>
        <v>0</v>
      </c>
      <c r="E57" s="525">
        <f t="shared" si="0"/>
        <v>0</v>
      </c>
      <c r="F57" s="524"/>
      <c r="G57" s="524"/>
    </row>
    <row r="58" spans="1:7" s="902" customFormat="1" ht="12.75">
      <c r="A58" s="1499" t="s">
        <v>1035</v>
      </c>
      <c r="B58" s="523">
        <f>'Sources and Uses Budget'!C57</f>
        <v>0</v>
      </c>
      <c r="C58" s="523">
        <f>'Sources and Uses Budget'!C57</f>
        <v>0</v>
      </c>
      <c r="D58" s="523">
        <f>'Sources and Uses Budget'!C57</f>
        <v>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15000</v>
      </c>
      <c r="C61" s="523">
        <f>'Sources and Uses Budget'!C60</f>
        <v>15000</v>
      </c>
      <c r="D61" s="523">
        <f>'Sources and Uses Budget'!C60</f>
        <v>15000</v>
      </c>
      <c r="E61" s="525">
        <f t="shared" si="0"/>
        <v>0</v>
      </c>
      <c r="F61" s="524"/>
      <c r="G61" s="524"/>
    </row>
    <row r="62" spans="1:7" s="902" customFormat="1" ht="12.75">
      <c r="A62" s="1498" t="s">
        <v>548</v>
      </c>
      <c r="B62" s="1505">
        <f>'Sources and Uses Budget'!C61</f>
        <v>90945</v>
      </c>
      <c r="C62" s="1505">
        <f>'Sources and Uses Budget'!C61</f>
        <v>90945</v>
      </c>
      <c r="D62" s="1505">
        <f>'Sources and Uses Budget'!C61</f>
        <v>90945</v>
      </c>
      <c r="E62" s="525">
        <f t="shared" si="0"/>
        <v>0</v>
      </c>
      <c r="F62" s="524"/>
      <c r="G62" s="524"/>
    </row>
    <row r="63" spans="1:7" s="902" customFormat="1" ht="12.75">
      <c r="A63" s="1501" t="s">
        <v>549</v>
      </c>
      <c r="B63" s="1505">
        <f>'Sources and Uses Budget'!C62</f>
        <v>34999077</v>
      </c>
      <c r="C63" s="1505">
        <f>'Sources and Uses Budget'!C62</f>
        <v>34999077</v>
      </c>
      <c r="D63" s="1505">
        <f>'Sources and Uses Budget'!C62</f>
        <v>34999077</v>
      </c>
      <c r="E63" s="525">
        <f t="shared" si="0"/>
        <v>0</v>
      </c>
      <c r="F63" s="524"/>
      <c r="G63" s="524"/>
    </row>
    <row r="64" spans="1:7" s="902" customFormat="1" ht="24">
      <c r="A64" s="365" t="s">
        <v>2239</v>
      </c>
      <c r="B64" s="521"/>
      <c r="C64" s="521"/>
      <c r="D64" s="521"/>
      <c r="E64" s="521"/>
      <c r="F64" s="521"/>
      <c r="G64" s="521"/>
    </row>
    <row r="65" spans="1:7" s="902" customFormat="1" ht="12.75">
      <c r="A65" s="369" t="s">
        <v>311</v>
      </c>
      <c r="B65" s="523">
        <f>'Sources and Uses Budget'!C64</f>
        <v>55000</v>
      </c>
      <c r="C65" s="523">
        <f>'Sources and Uses Budget'!C64</f>
        <v>55000</v>
      </c>
      <c r="D65" s="523">
        <f>'Sources and Uses Budget'!C64</f>
        <v>55000</v>
      </c>
      <c r="E65" s="525">
        <f t="shared" si="0"/>
        <v>0</v>
      </c>
      <c r="F65" s="524"/>
      <c r="G65" s="524"/>
    </row>
    <row r="66" spans="1:7" s="902" customFormat="1" ht="24">
      <c r="A66" s="369" t="s">
        <v>2240</v>
      </c>
      <c r="B66" s="523">
        <f>'Sources and Uses Budget'!C65</f>
        <v>0</v>
      </c>
      <c r="C66" s="523">
        <f>'Sources and Uses Budget'!C65</f>
        <v>0</v>
      </c>
      <c r="D66" s="523">
        <f>'Sources and Uses Budget'!C65</f>
        <v>0</v>
      </c>
      <c r="E66" s="525">
        <f t="shared" si="0"/>
        <v>0</v>
      </c>
      <c r="F66" s="524"/>
      <c r="G66" s="524"/>
    </row>
    <row r="67" spans="1:7" s="902" customFormat="1" ht="24">
      <c r="A67" s="369" t="s">
        <v>2241</v>
      </c>
      <c r="B67" s="523">
        <f>'Sources and Uses Budget'!C66</f>
        <v>0</v>
      </c>
      <c r="C67" s="523">
        <f>'Sources and Uses Budget'!C66</f>
        <v>0</v>
      </c>
      <c r="D67" s="523">
        <f>'Sources and Uses Budget'!C66</f>
        <v>0</v>
      </c>
      <c r="E67" s="525">
        <f t="shared" si="0"/>
        <v>0</v>
      </c>
      <c r="F67" s="524"/>
      <c r="G67" s="524"/>
    </row>
    <row r="68" spans="1:7" s="902" customFormat="1" ht="12.75">
      <c r="A68" s="369" t="s">
        <v>2242</v>
      </c>
      <c r="B68" s="523">
        <f>'Sources and Uses Budget'!C67</f>
        <v>0</v>
      </c>
      <c r="C68" s="523">
        <f>'Sources and Uses Budget'!C67</f>
        <v>0</v>
      </c>
      <c r="D68" s="523">
        <f>'Sources and Uses Budget'!C67</f>
        <v>0</v>
      </c>
      <c r="E68" s="525">
        <f t="shared" si="0"/>
        <v>0</v>
      </c>
      <c r="F68" s="524"/>
      <c r="G68" s="524"/>
    </row>
    <row r="69" spans="1:7" s="902" customFormat="1" ht="12.75">
      <c r="A69" s="380" t="s">
        <v>2311</v>
      </c>
      <c r="B69" s="523">
        <f>'Sources and Uses Budget'!C68</f>
        <v>30000</v>
      </c>
      <c r="C69" s="523">
        <f>'Sources and Uses Budget'!C68</f>
        <v>30000</v>
      </c>
      <c r="D69" s="523">
        <f>'Sources and Uses Budget'!C68</f>
        <v>30000</v>
      </c>
      <c r="E69" s="525">
        <f t="shared" si="0"/>
        <v>0</v>
      </c>
      <c r="F69" s="524"/>
      <c r="G69" s="524"/>
    </row>
    <row r="70" spans="1:7" s="902" customFormat="1" ht="12.75">
      <c r="A70" s="373" t="s">
        <v>2243</v>
      </c>
      <c r="B70" s="1505">
        <f>'Sources and Uses Budget'!C69</f>
        <v>85000</v>
      </c>
      <c r="C70" s="1505">
        <f>'Sources and Uses Budget'!C69</f>
        <v>85000</v>
      </c>
      <c r="D70" s="1505">
        <f>'Sources and Uses Budget'!C69</f>
        <v>85000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1371</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262890</v>
      </c>
      <c r="C75" s="523">
        <f>'Sources and Uses Budget'!C74</f>
        <v>262890</v>
      </c>
      <c r="D75" s="523">
        <f>'Sources and Uses Budget'!C74</f>
        <v>262890</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262890</v>
      </c>
      <c r="C77" s="1505">
        <f>'Sources and Uses Budget'!C76</f>
        <v>262890</v>
      </c>
      <c r="D77" s="1505">
        <f>'Sources and Uses Budget'!C76</f>
        <v>262890</v>
      </c>
      <c r="E77" s="525">
        <f>C77-B77</f>
        <v>0</v>
      </c>
      <c r="F77" s="524"/>
      <c r="G77" s="524"/>
    </row>
    <row r="78" spans="1:7" s="902" customFormat="1" ht="12.75">
      <c r="A78" s="1493" t="s">
        <v>1968</v>
      </c>
      <c r="B78" s="521"/>
      <c r="C78" s="521"/>
      <c r="D78" s="521"/>
      <c r="E78" s="521"/>
      <c r="F78" s="521"/>
      <c r="G78" s="521"/>
    </row>
    <row r="79" spans="1:7" s="902" customFormat="1" ht="14.1" customHeight="1">
      <c r="A79" s="1499" t="s">
        <v>1966</v>
      </c>
      <c r="B79" s="523">
        <f>'Sources and Uses Budget'!C78</f>
        <v>1398790</v>
      </c>
      <c r="C79" s="523">
        <f>'Sources and Uses Budget'!C78</f>
        <v>1398790</v>
      </c>
      <c r="D79" s="523">
        <f>'Sources and Uses Budget'!C78</f>
        <v>1398790</v>
      </c>
      <c r="E79" s="525">
        <f t="shared" ref="E79:E105" si="2">C79-B79</f>
        <v>0</v>
      </c>
      <c r="F79" s="524"/>
      <c r="G79" s="524"/>
    </row>
    <row r="80" spans="1:7" s="902" customFormat="1" ht="12.75">
      <c r="A80" s="1499" t="s">
        <v>596</v>
      </c>
      <c r="B80" s="523">
        <f>'Sources and Uses Budget'!C79</f>
        <v>160000</v>
      </c>
      <c r="C80" s="523">
        <f>'Sources and Uses Budget'!C79</f>
        <v>160000</v>
      </c>
      <c r="D80" s="523">
        <f>'Sources and Uses Budget'!C79</f>
        <v>160000</v>
      </c>
      <c r="E80" s="525">
        <f t="shared" si="2"/>
        <v>0</v>
      </c>
      <c r="F80" s="524"/>
      <c r="G80" s="524"/>
    </row>
    <row r="81" spans="1:7" s="902" customFormat="1" ht="12.75">
      <c r="A81" s="1498" t="s">
        <v>1967</v>
      </c>
      <c r="B81" s="1505">
        <f>'Sources and Uses Budget'!C80</f>
        <v>1558790</v>
      </c>
      <c r="C81" s="1505">
        <f>'Sources and Uses Budget'!C80</f>
        <v>1558790</v>
      </c>
      <c r="D81" s="1505">
        <f>'Sources and Uses Budget'!C80</f>
        <v>1558790</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85879</v>
      </c>
      <c r="C83" s="523">
        <f>'Sources and Uses Budget'!C82</f>
        <v>85879</v>
      </c>
      <c r="D83" s="523">
        <f>'Sources and Uses Budget'!C82</f>
        <v>85879</v>
      </c>
      <c r="E83" s="525">
        <f t="shared" si="2"/>
        <v>0</v>
      </c>
      <c r="F83" s="524"/>
      <c r="G83" s="524"/>
    </row>
    <row r="84" spans="1:7" s="902" customFormat="1" ht="12.75">
      <c r="A84" s="369" t="s">
        <v>574</v>
      </c>
      <c r="B84" s="523">
        <f>'Sources and Uses Budget'!C83</f>
        <v>150000</v>
      </c>
      <c r="C84" s="523">
        <f>'Sources and Uses Budget'!C83</f>
        <v>150000</v>
      </c>
      <c r="D84" s="523">
        <f>'Sources and Uses Budget'!C83</f>
        <v>150000</v>
      </c>
      <c r="E84" s="525">
        <f t="shared" si="2"/>
        <v>0</v>
      </c>
      <c r="F84" s="524"/>
      <c r="G84" s="524"/>
    </row>
    <row r="85" spans="1:7" s="902" customFormat="1" ht="12.75">
      <c r="A85" s="369" t="s">
        <v>575</v>
      </c>
      <c r="B85" s="523">
        <f>'Sources and Uses Budget'!C84</f>
        <v>1560000</v>
      </c>
      <c r="C85" s="523">
        <f>'Sources and Uses Budget'!C84</f>
        <v>1560000</v>
      </c>
      <c r="D85" s="523">
        <f>'Sources and Uses Budget'!C84</f>
        <v>1560000</v>
      </c>
      <c r="E85" s="525">
        <f t="shared" si="2"/>
        <v>0</v>
      </c>
      <c r="F85" s="524"/>
      <c r="G85" s="524"/>
    </row>
    <row r="86" spans="1:7" s="902" customFormat="1" ht="12.75">
      <c r="A86" s="369" t="s">
        <v>576</v>
      </c>
      <c r="B86" s="523">
        <f>'Sources and Uses Budget'!C85</f>
        <v>760000</v>
      </c>
      <c r="C86" s="523">
        <f>'Sources and Uses Budget'!C85</f>
        <v>760000</v>
      </c>
      <c r="D86" s="523">
        <f>'Sources and Uses Budget'!C85</f>
        <v>760000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75000</v>
      </c>
      <c r="C88" s="523">
        <f>'Sources and Uses Budget'!C87</f>
        <v>75000</v>
      </c>
      <c r="D88" s="523">
        <f>'Sources and Uses Budget'!C87</f>
        <v>75000</v>
      </c>
      <c r="E88" s="525">
        <f t="shared" si="2"/>
        <v>0</v>
      </c>
      <c r="F88" s="524"/>
      <c r="G88" s="524"/>
    </row>
    <row r="89" spans="1:7" s="902" customFormat="1" ht="12.75">
      <c r="A89" s="369" t="s">
        <v>579</v>
      </c>
      <c r="B89" s="523">
        <f>'Sources and Uses Budget'!C88</f>
        <v>50000</v>
      </c>
      <c r="C89" s="523">
        <f>'Sources and Uses Budget'!C88</f>
        <v>50000</v>
      </c>
      <c r="D89" s="523">
        <f>'Sources and Uses Budget'!C88</f>
        <v>50000</v>
      </c>
      <c r="E89" s="525">
        <f t="shared" si="2"/>
        <v>0</v>
      </c>
      <c r="F89" s="524"/>
      <c r="G89" s="524"/>
    </row>
    <row r="90" spans="1:7" s="902" customFormat="1" ht="12.75">
      <c r="A90" s="369" t="s">
        <v>580</v>
      </c>
      <c r="B90" s="523">
        <f>'Sources and Uses Budget'!C89</f>
        <v>8000</v>
      </c>
      <c r="C90" s="523">
        <f>'Sources and Uses Budget'!C89</f>
        <v>8000</v>
      </c>
      <c r="D90" s="523">
        <f>'Sources and Uses Budget'!C89</f>
        <v>8000</v>
      </c>
      <c r="E90" s="525">
        <f t="shared" si="2"/>
        <v>0</v>
      </c>
      <c r="F90" s="524"/>
      <c r="G90" s="524"/>
    </row>
    <row r="91" spans="1:7" s="902" customFormat="1" ht="12.75">
      <c r="A91" s="380" t="s">
        <v>1453</v>
      </c>
      <c r="B91" s="523">
        <f>'Sources and Uses Budget'!C90</f>
        <v>0</v>
      </c>
      <c r="C91" s="523">
        <f>'Sources and Uses Budget'!C90</f>
        <v>0</v>
      </c>
      <c r="D91" s="523">
        <f>'Sources and Uses Budget'!C90</f>
        <v>0</v>
      </c>
      <c r="E91" s="525">
        <f t="shared" si="2"/>
        <v>0</v>
      </c>
      <c r="F91" s="524"/>
      <c r="G91" s="524"/>
    </row>
    <row r="92" spans="1:7" s="902" customFormat="1" ht="12.75">
      <c r="A92" s="380" t="s">
        <v>1965</v>
      </c>
      <c r="B92" s="523">
        <f>'Sources and Uses Budget'!C91</f>
        <v>0</v>
      </c>
      <c r="C92" s="523">
        <f>'Sources and Uses Budget'!C91</f>
        <v>0</v>
      </c>
      <c r="D92" s="523">
        <f>'Sources and Uses Budget'!C91</f>
        <v>0</v>
      </c>
      <c r="E92" s="525">
        <f t="shared" si="2"/>
        <v>0</v>
      </c>
      <c r="F92" s="524"/>
      <c r="G92" s="524"/>
    </row>
    <row r="93" spans="1:7" s="902" customFormat="1" ht="12.75">
      <c r="A93" s="376" t="s">
        <v>591</v>
      </c>
      <c r="B93" s="523">
        <f>'Sources and Uses Budget'!C92</f>
        <v>160000</v>
      </c>
      <c r="C93" s="523">
        <f>'Sources and Uses Budget'!C92</f>
        <v>160000</v>
      </c>
      <c r="D93" s="523">
        <f>'Sources and Uses Budget'!C92</f>
        <v>160000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2848879</v>
      </c>
      <c r="C96" s="1505">
        <f>'Sources and Uses Budget'!C95</f>
        <v>2848879</v>
      </c>
      <c r="D96" s="1505">
        <f>'Sources and Uses Budget'!C95</f>
        <v>2848879</v>
      </c>
      <c r="E96" s="525">
        <f t="shared" si="2"/>
        <v>0</v>
      </c>
      <c r="F96" s="524"/>
      <c r="G96" s="524"/>
    </row>
    <row r="97" spans="1:7" s="901" customFormat="1" ht="12.75">
      <c r="A97" s="373" t="s">
        <v>582</v>
      </c>
      <c r="B97" s="1505">
        <f>'Sources and Uses Budget'!C96</f>
        <v>39754636</v>
      </c>
      <c r="C97" s="1505">
        <f>'Sources and Uses Budget'!C96</f>
        <v>39754636</v>
      </c>
      <c r="D97" s="1505">
        <f>'Sources and Uses Budget'!C96</f>
        <v>39754636</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800000</v>
      </c>
      <c r="C99" s="523">
        <f>'Sources and Uses Budget'!C98</f>
        <v>800000</v>
      </c>
      <c r="D99" s="523">
        <f>'Sources and Uses Budget'!C98</f>
        <v>800000</v>
      </c>
      <c r="E99" s="525">
        <f t="shared" si="2"/>
        <v>0</v>
      </c>
      <c r="F99" s="524"/>
      <c r="G99" s="524"/>
    </row>
    <row r="100" spans="1:7" s="901" customFormat="1" ht="12"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2310</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800000</v>
      </c>
      <c r="C104" s="1505">
        <f>'Sources and Uses Budget'!C103</f>
        <v>800000</v>
      </c>
      <c r="D104" s="1505">
        <f>'Sources and Uses Budget'!C103</f>
        <v>800000</v>
      </c>
      <c r="E104" s="525">
        <f t="shared" si="2"/>
        <v>0</v>
      </c>
      <c r="F104" s="524"/>
      <c r="G104" s="524"/>
    </row>
    <row r="105" spans="1:7" s="901" customFormat="1" ht="12.75">
      <c r="A105" s="1498" t="s">
        <v>587</v>
      </c>
      <c r="B105" s="1505">
        <f>'Sources and Uses Budget'!C104</f>
        <v>40554636</v>
      </c>
      <c r="C105" s="1505">
        <f>'Sources and Uses Budget'!C104</f>
        <v>40554636</v>
      </c>
      <c r="D105" s="1505">
        <f>'Sources and Uses Budget'!C104</f>
        <v>40554636</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332</v>
      </c>
      <c r="B2" s="1565"/>
      <c r="C2" s="1565"/>
      <c r="D2" s="1565"/>
      <c r="E2" s="1565"/>
      <c r="F2" s="1565"/>
      <c r="G2" s="1565"/>
      <c r="H2" s="1565"/>
      <c r="I2" s="1565"/>
      <c r="J2" s="1565"/>
    </row>
    <row r="3" spans="1:10" ht="1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2315</v>
      </c>
      <c r="B10" s="1506"/>
      <c r="C10" s="1506"/>
      <c r="D10" s="1506"/>
      <c r="E10" s="1506"/>
      <c r="F10" s="1506"/>
      <c r="G10" s="1506"/>
      <c r="H10" s="1506"/>
      <c r="I10" s="1506"/>
      <c r="J10" s="1506"/>
    </row>
    <row r="11" spans="1:10"/>
    <row r="12" spans="1:10" ht="12.75" customHeight="1">
      <c r="A12" s="1567" t="s">
        <v>2127</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Normal="100" zoomScaleSheetLayoutView="100" workbookViewId="0">
      <selection activeCell="D12" sqref="D12:F1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9" t="s">
        <v>2303</v>
      </c>
      <c r="B2" s="1609"/>
      <c r="C2" s="1610"/>
      <c r="D2" s="1610"/>
      <c r="E2" s="1610"/>
      <c r="F2" s="1610"/>
      <c r="G2" s="1610"/>
      <c r="I2" s="2" t="s">
        <v>85</v>
      </c>
    </row>
    <row r="3" spans="1:9" ht="12.75">
      <c r="A3" s="298"/>
      <c r="B3" s="298"/>
      <c r="C3" s="13"/>
      <c r="D3" s="13"/>
      <c r="E3" s="13"/>
      <c r="F3" s="13"/>
      <c r="G3" s="709"/>
      <c r="I3" s="329" t="s">
        <v>1547</v>
      </c>
    </row>
    <row r="4" spans="1:9" ht="12.75">
      <c r="A4" s="1611" t="s">
        <v>1156</v>
      </c>
      <c r="B4" s="1611"/>
      <c r="C4" s="1612"/>
      <c r="D4" s="1612"/>
      <c r="E4" s="1612"/>
      <c r="F4" s="1612"/>
      <c r="G4" s="1612"/>
      <c r="I4" s="329" t="s">
        <v>1530</v>
      </c>
    </row>
    <row r="5" spans="1:9" ht="12.75">
      <c r="A5" s="1611" t="s">
        <v>1157</v>
      </c>
      <c r="B5" s="1611"/>
      <c r="C5" s="1612"/>
      <c r="D5" s="1612"/>
      <c r="E5" s="1612"/>
      <c r="F5" s="1612"/>
      <c r="G5" s="1612"/>
      <c r="I5" s="2" t="s">
        <v>135</v>
      </c>
    </row>
    <row r="6" spans="1:9" ht="13.7" customHeight="1">
      <c r="A6" s="14"/>
      <c r="B6" s="14"/>
      <c r="C6" s="14"/>
      <c r="D6" s="282"/>
      <c r="E6" s="282"/>
      <c r="F6" s="282"/>
    </row>
    <row r="7" spans="1:9" ht="12.75">
      <c r="A7" s="1613" t="s">
        <v>1585</v>
      </c>
      <c r="B7" s="1613"/>
      <c r="C7" s="1614"/>
      <c r="D7" s="1614"/>
      <c r="E7" s="1614"/>
      <c r="F7" s="1614"/>
      <c r="G7" s="1614"/>
    </row>
    <row r="8" spans="1:9" ht="12.75">
      <c r="A8" s="1613" t="s">
        <v>1586</v>
      </c>
      <c r="B8" s="1613"/>
      <c r="C8" s="1614"/>
      <c r="D8" s="1614"/>
      <c r="E8" s="1614"/>
      <c r="F8" s="1614"/>
      <c r="G8" s="1614"/>
    </row>
    <row r="9" spans="1:9" ht="12.75">
      <c r="A9" s="301"/>
      <c r="B9" s="301"/>
      <c r="C9" s="298"/>
      <c r="D9" s="298"/>
      <c r="E9" s="298"/>
      <c r="F9" s="298"/>
      <c r="G9" s="406"/>
    </row>
    <row r="10" spans="1:9" ht="12.75">
      <c r="A10" s="1615" t="s">
        <v>1734</v>
      </c>
      <c r="B10" s="1615"/>
      <c r="C10" s="1615"/>
      <c r="D10" s="1615"/>
      <c r="E10" s="1615"/>
      <c r="F10" s="1615"/>
      <c r="G10" s="1615"/>
    </row>
    <row r="11" spans="1:9" ht="12.75">
      <c r="A11" s="414"/>
      <c r="B11" s="414"/>
      <c r="C11" s="14"/>
      <c r="D11" s="282"/>
      <c r="E11" s="282"/>
      <c r="F11" s="282"/>
    </row>
    <row r="12" spans="1:9" ht="13.7" customHeight="1">
      <c r="A12" s="140"/>
      <c r="B12" s="140"/>
      <c r="C12" s="298"/>
      <c r="D12" s="1616" t="s">
        <v>1733</v>
      </c>
      <c r="E12" s="1616"/>
      <c r="F12" s="1616"/>
      <c r="G12" s="951"/>
    </row>
    <row r="13" spans="1:9" ht="12.75">
      <c r="A13" s="140"/>
      <c r="B13" s="140"/>
      <c r="C13" s="298"/>
      <c r="D13" s="1616"/>
      <c r="E13" s="1616"/>
      <c r="F13" s="1616"/>
      <c r="G13" s="951"/>
    </row>
    <row r="14" spans="1:9" ht="12.75">
      <c r="A14" s="415"/>
      <c r="B14" s="415"/>
      <c r="C14" s="299"/>
      <c r="D14" s="1575" t="s">
        <v>1572</v>
      </c>
      <c r="E14" s="1575"/>
      <c r="F14" s="1575"/>
      <c r="G14" s="484"/>
    </row>
    <row r="15" spans="1:9" ht="12.75">
      <c r="A15" s="415"/>
      <c r="B15" s="415"/>
      <c r="C15" s="299"/>
      <c r="D15" s="282"/>
      <c r="E15" s="282"/>
      <c r="F15" s="282"/>
    </row>
    <row r="16" spans="1:9" ht="14.45" customHeight="1">
      <c r="A16" s="413"/>
      <c r="B16" s="950" t="s">
        <v>135</v>
      </c>
      <c r="C16" s="299"/>
      <c r="D16" s="1573" t="s">
        <v>1529</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1530</v>
      </c>
      <c r="C20" s="14"/>
      <c r="D20" s="1582" t="s">
        <v>1563</v>
      </c>
      <c r="E20" s="1582"/>
      <c r="F20" s="1582"/>
    </row>
    <row r="21" spans="1:7" ht="14.25">
      <c r="A21" s="413"/>
      <c r="B21" s="413"/>
      <c r="C21" s="14"/>
      <c r="D21" s="287"/>
      <c r="E21" s="282"/>
      <c r="F21" s="282"/>
    </row>
    <row r="22" spans="1:7" ht="14.25">
      <c r="A22" s="413"/>
      <c r="B22" s="950" t="s">
        <v>135</v>
      </c>
      <c r="C22" s="14"/>
      <c r="D22" s="1573" t="s">
        <v>1564</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1530</v>
      </c>
      <c r="D25" s="1606" t="s">
        <v>1566</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135</v>
      </c>
      <c r="D31" s="1617" t="s">
        <v>1565</v>
      </c>
      <c r="E31" s="1617"/>
      <c r="F31" s="1617"/>
    </row>
    <row r="32" spans="1:7" ht="14.25">
      <c r="A32" s="570"/>
      <c r="B32" s="570"/>
      <c r="D32" s="1617"/>
      <c r="E32" s="1617"/>
      <c r="F32" s="1617"/>
    </row>
    <row r="33" spans="1:6" ht="14.25">
      <c r="A33" s="413"/>
      <c r="B33" s="413"/>
      <c r="C33" s="14"/>
      <c r="D33" s="954"/>
      <c r="E33" s="954"/>
      <c r="F33" s="954"/>
    </row>
    <row r="34" spans="1:6" ht="14.25">
      <c r="A34" s="413"/>
      <c r="B34" s="950" t="s">
        <v>1530</v>
      </c>
      <c r="C34" s="14"/>
      <c r="D34" s="1618" t="s">
        <v>1978</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135</v>
      </c>
      <c r="C43" s="14"/>
      <c r="D43" s="1617" t="s">
        <v>1607</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1530</v>
      </c>
      <c r="C49" s="14"/>
      <c r="D49" s="1618" t="s">
        <v>2147</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135</v>
      </c>
      <c r="C56" s="14"/>
      <c r="D56" s="1618" t="s">
        <v>2200</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1530</v>
      </c>
      <c r="C61" s="14"/>
      <c r="D61" s="1571" t="s">
        <v>1612</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25">
      <c r="A64" s="413"/>
      <c r="B64" s="413"/>
      <c r="C64" s="14"/>
      <c r="D64" s="136"/>
    </row>
    <row r="65" spans="1:6" ht="14.25">
      <c r="A65" s="570"/>
      <c r="B65" s="950" t="s">
        <v>1530</v>
      </c>
      <c r="D65" s="1617" t="s">
        <v>1613</v>
      </c>
      <c r="E65" s="1617"/>
      <c r="F65" s="1617"/>
    </row>
    <row r="66" spans="1:6" ht="14.25">
      <c r="A66" s="570"/>
      <c r="B66" s="570"/>
      <c r="D66" s="1617"/>
      <c r="E66" s="1617"/>
      <c r="F66" s="1617"/>
    </row>
    <row r="67" spans="1:6" ht="14.25">
      <c r="A67" s="413"/>
      <c r="B67" s="413"/>
      <c r="C67" s="14"/>
      <c r="D67" s="136"/>
    </row>
    <row r="68" spans="1:6" ht="14.25">
      <c r="A68" s="413"/>
      <c r="B68" s="950" t="s">
        <v>135</v>
      </c>
      <c r="C68" s="14"/>
      <c r="D68" s="1617" t="s">
        <v>1732</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254</v>
      </c>
      <c r="B72" s="950" t="s">
        <v>135</v>
      </c>
      <c r="C72" s="14"/>
      <c r="D72" s="1617" t="s">
        <v>1614</v>
      </c>
      <c r="E72" s="1617"/>
      <c r="F72" s="1617"/>
    </row>
    <row r="73" spans="1:6" ht="12.75">
      <c r="A73" s="140"/>
      <c r="B73" s="140"/>
      <c r="C73" s="14"/>
      <c r="D73" s="1617"/>
      <c r="E73" s="1617"/>
      <c r="F73" s="1617"/>
    </row>
    <row r="74" spans="1:6" ht="12.75">
      <c r="A74" s="140"/>
      <c r="B74" s="140"/>
      <c r="C74" s="14"/>
      <c r="D74" s="282"/>
      <c r="E74" s="282"/>
      <c r="F74" s="282"/>
    </row>
    <row r="75" spans="1:6" ht="14.25">
      <c r="A75" s="413" t="s">
        <v>254</v>
      </c>
      <c r="B75" s="950" t="s">
        <v>1530</v>
      </c>
      <c r="C75" s="14"/>
      <c r="D75" s="1617" t="s">
        <v>1615</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254</v>
      </c>
      <c r="B79" s="950" t="s">
        <v>1530</v>
      </c>
      <c r="C79" s="14"/>
      <c r="D79" s="1573" t="s">
        <v>1616</v>
      </c>
      <c r="E79" s="1573"/>
      <c r="F79" s="1573"/>
    </row>
    <row r="80" spans="1:6" ht="12.75">
      <c r="A80" s="140"/>
      <c r="B80" s="140"/>
      <c r="C80" s="14"/>
      <c r="D80" s="1573"/>
      <c r="E80" s="1573"/>
      <c r="F80" s="1573"/>
    </row>
    <row r="81" spans="1:7" ht="12.75">
      <c r="A81" s="140"/>
      <c r="B81" s="140"/>
      <c r="C81" s="14"/>
      <c r="D81" s="282"/>
      <c r="E81" s="282"/>
      <c r="F81" s="282"/>
    </row>
    <row r="82" spans="1:7" ht="12.75">
      <c r="A82" s="1589" t="s">
        <v>1535</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1536</v>
      </c>
      <c r="E84" s="1608"/>
      <c r="F84" s="1608"/>
      <c r="G84" s="2"/>
    </row>
    <row r="85" spans="1:7" ht="13.7" customHeight="1">
      <c r="A85" s="143"/>
      <c r="B85" s="143"/>
      <c r="C85" s="14"/>
      <c r="D85" s="1573" t="s">
        <v>1735</v>
      </c>
      <c r="E85" s="1573"/>
      <c r="F85" s="1573"/>
      <c r="G85" s="2"/>
    </row>
    <row r="86" spans="1:7" ht="12.75">
      <c r="A86" s="143"/>
      <c r="B86" s="143"/>
      <c r="C86" s="14"/>
      <c r="D86" s="282"/>
      <c r="E86" s="2"/>
      <c r="F86" s="2"/>
      <c r="G86" s="2"/>
    </row>
    <row r="87" spans="1:7" ht="14.25" customHeight="1">
      <c r="A87" s="413"/>
      <c r="B87" s="950" t="s">
        <v>1530</v>
      </c>
      <c r="C87" s="14"/>
      <c r="D87" s="1572" t="s">
        <v>2116</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135</v>
      </c>
      <c r="C96" s="14"/>
      <c r="D96" s="1578" t="s">
        <v>2117</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135</v>
      </c>
      <c r="C109" s="14"/>
      <c r="D109" s="1573" t="s">
        <v>1736</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1530</v>
      </c>
      <c r="C117" s="14"/>
      <c r="D117" s="1573" t="s">
        <v>1737</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1530</v>
      </c>
      <c r="C123" s="14"/>
      <c r="D123" s="1617" t="s">
        <v>1738</v>
      </c>
      <c r="E123" s="1617"/>
      <c r="F123" s="1617"/>
    </row>
    <row r="124" spans="1:7" s="515" customFormat="1" ht="14.1" customHeight="1">
      <c r="A124" s="505"/>
      <c r="B124" s="505"/>
      <c r="C124" s="506"/>
      <c r="D124" s="1617"/>
      <c r="E124" s="1617"/>
      <c r="F124" s="1617"/>
      <c r="G124" s="576"/>
    </row>
    <row r="125" spans="1:7" ht="14.1" customHeight="1">
      <c r="A125" s="140"/>
      <c r="B125" s="140"/>
      <c r="C125" s="14"/>
      <c r="D125" s="1617"/>
      <c r="E125" s="1617"/>
      <c r="F125" s="1617"/>
    </row>
    <row r="126" spans="1:7" ht="14.1" customHeight="1">
      <c r="A126" s="140"/>
      <c r="B126" s="140"/>
      <c r="C126" s="14"/>
      <c r="D126" s="1617"/>
      <c r="E126" s="1617"/>
      <c r="F126" s="1617"/>
    </row>
    <row r="127" spans="1:7" ht="14.1" customHeight="1">
      <c r="A127" s="140"/>
      <c r="B127" s="140"/>
      <c r="C127" s="14"/>
      <c r="D127" s="1617"/>
      <c r="E127" s="1617"/>
      <c r="F127" s="1617"/>
    </row>
    <row r="128" spans="1:7" ht="14.1" customHeight="1">
      <c r="A128" s="140"/>
      <c r="B128" s="140"/>
      <c r="C128" s="14"/>
      <c r="D128" s="1617"/>
      <c r="E128" s="1617"/>
      <c r="F128" s="1617"/>
    </row>
    <row r="129" spans="1:7" ht="14.1" customHeight="1">
      <c r="A129" s="984"/>
      <c r="B129" s="984"/>
      <c r="C129" s="14"/>
      <c r="D129" s="1617"/>
      <c r="E129" s="1617"/>
      <c r="F129" s="1617"/>
      <c r="G129" s="2"/>
    </row>
    <row r="130" spans="1:7" ht="14.1" customHeight="1">
      <c r="A130" s="984"/>
      <c r="B130" s="984"/>
      <c r="C130" s="14"/>
      <c r="D130" s="1617"/>
      <c r="E130" s="1617"/>
      <c r="F130" s="1617"/>
      <c r="G130" s="2"/>
    </row>
    <row r="131" spans="1:7" ht="14.1" customHeight="1">
      <c r="A131" s="984"/>
      <c r="B131" s="984"/>
      <c r="C131" s="14"/>
      <c r="D131" s="1617"/>
      <c r="E131" s="1617"/>
      <c r="F131" s="1617"/>
      <c r="G131" s="2"/>
    </row>
    <row r="132" spans="1:7" ht="14.1"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4.1" customHeight="1">
      <c r="A135" s="984"/>
      <c r="B135" s="984"/>
      <c r="C135" s="14"/>
      <c r="D135" s="282"/>
      <c r="E135" s="282"/>
      <c r="F135" s="282"/>
      <c r="G135" s="2"/>
    </row>
    <row r="136" spans="1:7" ht="14.1" customHeight="1">
      <c r="A136" s="140"/>
      <c r="B136" s="950" t="s">
        <v>135</v>
      </c>
      <c r="C136" s="14"/>
      <c r="D136" s="1572" t="s">
        <v>1952</v>
      </c>
      <c r="E136" s="1573"/>
      <c r="F136" s="1573"/>
      <c r="G136" s="2"/>
    </row>
    <row r="137" spans="1:7" ht="14.1" customHeight="1">
      <c r="A137" s="140"/>
      <c r="B137" s="140"/>
      <c r="C137" s="14"/>
      <c r="D137" s="1573"/>
      <c r="E137" s="1573"/>
      <c r="F137" s="1573"/>
      <c r="G137" s="2"/>
    </row>
    <row r="138" spans="1:7" ht="14.1" customHeight="1">
      <c r="A138" s="140"/>
      <c r="B138" s="140"/>
      <c r="C138" s="14"/>
      <c r="D138" s="1573"/>
      <c r="E138" s="1573"/>
      <c r="F138" s="1573"/>
      <c r="G138" s="2"/>
    </row>
    <row r="139" spans="1:7" ht="14.1" customHeight="1">
      <c r="A139" s="150"/>
      <c r="B139" s="150"/>
      <c r="D139" s="1573"/>
      <c r="E139" s="1573"/>
      <c r="F139" s="1573"/>
      <c r="G139" s="2"/>
    </row>
    <row r="140" spans="1:7" ht="14.1" customHeight="1">
      <c r="A140" s="140"/>
      <c r="B140" s="140"/>
      <c r="C140" s="14"/>
      <c r="D140" s="1573"/>
      <c r="E140" s="1573"/>
      <c r="F140" s="1573"/>
      <c r="G140" s="2"/>
    </row>
    <row r="141" spans="1:7" ht="14.1" customHeight="1">
      <c r="A141" s="33"/>
      <c r="B141" s="33"/>
      <c r="C141" s="14"/>
      <c r="D141" s="1573"/>
      <c r="E141" s="1573"/>
      <c r="F141" s="1573"/>
      <c r="G141" s="2"/>
    </row>
    <row r="142" spans="1:7" ht="14.1" customHeight="1">
      <c r="A142" s="33"/>
      <c r="B142" s="33"/>
      <c r="C142" s="14"/>
      <c r="D142" s="1573"/>
      <c r="E142" s="1573"/>
      <c r="F142" s="1573"/>
      <c r="G142" s="2"/>
    </row>
    <row r="143" spans="1:7" ht="14.1" customHeight="1">
      <c r="A143" s="985"/>
      <c r="B143" s="985"/>
      <c r="C143" s="14"/>
      <c r="D143" s="1573"/>
      <c r="E143" s="1573"/>
      <c r="F143" s="1573"/>
      <c r="G143" s="2"/>
    </row>
    <row r="144" spans="1:7" ht="14.1" customHeight="1">
      <c r="A144" s="985"/>
      <c r="B144" s="985"/>
      <c r="C144" s="14"/>
      <c r="D144" s="1573"/>
      <c r="E144" s="1573"/>
      <c r="F144" s="1573"/>
      <c r="G144" s="2"/>
    </row>
    <row r="145" spans="1:7" ht="14.1" customHeight="1">
      <c r="A145" s="985"/>
      <c r="B145" s="985"/>
      <c r="C145" s="14"/>
      <c r="D145" s="1573"/>
      <c r="E145" s="1573"/>
      <c r="F145" s="1573"/>
      <c r="G145" s="2"/>
    </row>
    <row r="146" spans="1:7" ht="14.1" customHeight="1">
      <c r="A146" s="1089"/>
      <c r="B146" s="1089"/>
      <c r="C146" s="14"/>
      <c r="D146" s="1573"/>
      <c r="E146" s="1573"/>
      <c r="F146" s="1573"/>
      <c r="G146" s="2"/>
    </row>
    <row r="147" spans="1:7" ht="14.1" customHeight="1">
      <c r="A147" s="1089"/>
      <c r="B147" s="1089"/>
      <c r="C147" s="14"/>
      <c r="D147" s="1573"/>
      <c r="E147" s="1573"/>
      <c r="F147" s="1573"/>
      <c r="G147" s="2"/>
    </row>
    <row r="148" spans="1:7" ht="14.1" customHeight="1">
      <c r="A148" s="985"/>
      <c r="B148" s="985"/>
      <c r="C148" s="14"/>
      <c r="D148" s="1573"/>
      <c r="E148" s="1573"/>
      <c r="F148" s="1573"/>
      <c r="G148" s="2"/>
    </row>
    <row r="149" spans="1:7" ht="14.1" customHeight="1">
      <c r="A149" s="985"/>
      <c r="B149" s="985"/>
      <c r="C149" s="14"/>
      <c r="D149" s="1573"/>
      <c r="E149" s="1573"/>
      <c r="F149" s="1573"/>
      <c r="G149" s="2"/>
    </row>
    <row r="150" spans="1:7" ht="14.1" customHeight="1">
      <c r="A150" s="985"/>
      <c r="B150" s="985"/>
      <c r="C150" s="14"/>
      <c r="D150" s="1573"/>
      <c r="E150" s="1573"/>
      <c r="F150" s="1573"/>
      <c r="G150" s="2"/>
    </row>
    <row r="151" spans="1:7" ht="14.1" customHeight="1">
      <c r="A151" s="985"/>
      <c r="B151" s="985"/>
      <c r="C151" s="14"/>
      <c r="D151" s="1573"/>
      <c r="E151" s="1573"/>
      <c r="F151" s="1573"/>
      <c r="G151" s="2"/>
    </row>
    <row r="152" spans="1:7" ht="14.1" customHeight="1">
      <c r="A152" s="985"/>
      <c r="B152" s="985"/>
      <c r="C152" s="14"/>
      <c r="D152" s="1573"/>
      <c r="E152" s="1573"/>
      <c r="F152" s="1573"/>
      <c r="G152" s="2"/>
    </row>
    <row r="153" spans="1:7" ht="14.1" customHeight="1">
      <c r="A153" s="985"/>
      <c r="B153" s="985"/>
      <c r="C153" s="14"/>
      <c r="D153" s="1573"/>
      <c r="E153" s="1573"/>
      <c r="F153" s="1573"/>
      <c r="G153" s="2"/>
    </row>
    <row r="154" spans="1:7" ht="14.1" customHeight="1">
      <c r="A154" s="1104"/>
      <c r="B154" s="1104"/>
      <c r="C154" s="14"/>
      <c r="D154" s="1649" t="s">
        <v>1953</v>
      </c>
      <c r="E154" s="1649"/>
      <c r="F154" s="1649"/>
      <c r="G154" s="2"/>
    </row>
    <row r="155" spans="1:7" ht="14.1" customHeight="1">
      <c r="A155" s="985"/>
      <c r="B155" s="985"/>
      <c r="C155" s="14"/>
      <c r="D155" s="981"/>
      <c r="E155" s="282"/>
      <c r="F155" s="282"/>
      <c r="G155" s="2"/>
    </row>
    <row r="156" spans="1:7" ht="14.1" customHeight="1">
      <c r="A156" s="413"/>
      <c r="B156" s="950" t="s">
        <v>135</v>
      </c>
      <c r="C156" s="14"/>
      <c r="D156" s="1651" t="s">
        <v>1986</v>
      </c>
      <c r="E156" s="1652"/>
      <c r="F156" s="1652"/>
      <c r="G156" s="2"/>
    </row>
    <row r="157" spans="1:7" ht="14.1" customHeight="1">
      <c r="A157" s="413"/>
      <c r="B157" s="1131"/>
      <c r="C157" s="14"/>
      <c r="D157" s="1652"/>
      <c r="E157" s="1652"/>
      <c r="F157" s="1652"/>
      <c r="G157" s="2"/>
    </row>
    <row r="158" spans="1:7" ht="14.1" customHeight="1">
      <c r="A158" s="33"/>
      <c r="B158" s="33"/>
      <c r="C158" s="14"/>
      <c r="D158" s="1652"/>
      <c r="E158" s="1652"/>
      <c r="F158" s="1652"/>
      <c r="G158" s="2"/>
    </row>
    <row r="159" spans="1:7" ht="14.1" customHeight="1">
      <c r="A159" s="33"/>
      <c r="B159" s="33"/>
      <c r="C159" s="14"/>
      <c r="D159" s="287"/>
      <c r="E159" s="282"/>
      <c r="F159" s="282"/>
      <c r="G159" s="2"/>
    </row>
    <row r="160" spans="1:7" ht="14.1" customHeight="1">
      <c r="A160" s="413"/>
      <c r="B160" s="950" t="s">
        <v>135</v>
      </c>
      <c r="C160" s="14"/>
      <c r="D160" s="1653" t="s">
        <v>1739</v>
      </c>
      <c r="E160" s="1653"/>
      <c r="F160" s="1653"/>
      <c r="G160" s="2"/>
    </row>
    <row r="161" spans="1:7" ht="14.1" customHeight="1">
      <c r="A161" s="33"/>
      <c r="B161" s="33"/>
      <c r="C161" s="14"/>
      <c r="D161" s="1653"/>
      <c r="E161" s="1653"/>
      <c r="F161" s="1653"/>
    </row>
    <row r="162" spans="1:7" ht="14.1" customHeight="1">
      <c r="A162" s="33"/>
      <c r="B162" s="33"/>
      <c r="C162" s="14"/>
      <c r="D162" s="1653"/>
      <c r="E162" s="1653"/>
      <c r="F162" s="1653"/>
    </row>
    <row r="163" spans="1:7" ht="14.1" customHeight="1">
      <c r="A163" s="33"/>
      <c r="B163" s="33"/>
      <c r="C163" s="14"/>
      <c r="D163" s="1653"/>
      <c r="E163" s="1653"/>
      <c r="F163" s="1653"/>
    </row>
    <row r="164" spans="1:7" ht="14.1" customHeight="1">
      <c r="A164" s="33"/>
      <c r="B164" s="33"/>
      <c r="C164" s="14"/>
      <c r="D164" s="287"/>
      <c r="E164" s="282"/>
      <c r="F164" s="282"/>
    </row>
    <row r="165" spans="1:7" ht="14.1" customHeight="1">
      <c r="A165" s="592"/>
      <c r="B165" s="950" t="s">
        <v>1530</v>
      </c>
      <c r="C165" s="591"/>
      <c r="D165" s="1645" t="s">
        <v>1740</v>
      </c>
      <c r="E165" s="1645"/>
      <c r="F165" s="1645"/>
      <c r="G165" s="714"/>
    </row>
    <row r="166" spans="1:7" ht="14.1" customHeight="1">
      <c r="A166" s="592"/>
      <c r="B166" s="592"/>
      <c r="C166" s="591"/>
      <c r="D166" s="1645"/>
      <c r="E166" s="1645"/>
      <c r="F166" s="1645"/>
      <c r="G166" s="714"/>
    </row>
    <row r="167" spans="1:7" ht="14.1" customHeight="1">
      <c r="A167" s="592"/>
      <c r="B167" s="592"/>
      <c r="C167" s="591"/>
      <c r="D167" s="1645"/>
      <c r="E167" s="1645"/>
      <c r="F167" s="1645"/>
      <c r="G167" s="714"/>
    </row>
    <row r="168" spans="1:7" ht="12.75">
      <c r="A168" s="592"/>
      <c r="B168" s="592"/>
      <c r="C168" s="591"/>
      <c r="D168" s="594"/>
      <c r="E168" s="582"/>
      <c r="F168" s="582"/>
      <c r="G168" s="714"/>
    </row>
    <row r="169" spans="1:7" ht="12.75">
      <c r="A169" s="1589" t="s">
        <v>1538</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1537</v>
      </c>
      <c r="E171" s="1639"/>
      <c r="F171" s="1639"/>
    </row>
    <row r="172" spans="1:7" ht="12.75">
      <c r="A172" s="414"/>
      <c r="B172" s="414"/>
      <c r="C172" s="298"/>
      <c r="D172" s="1646" t="s">
        <v>1573</v>
      </c>
      <c r="E172" s="1646"/>
      <c r="F172" s="1646"/>
    </row>
    <row r="173" spans="1:7" ht="12.75">
      <c r="A173" s="415"/>
      <c r="B173" s="415"/>
      <c r="C173" s="299"/>
      <c r="D173" s="282"/>
      <c r="E173" s="282"/>
      <c r="F173" s="282"/>
    </row>
    <row r="174" spans="1:7" ht="14.25">
      <c r="A174" s="413"/>
      <c r="B174" s="950" t="s">
        <v>135</v>
      </c>
      <c r="C174" s="302"/>
      <c r="D174" s="1647" t="s">
        <v>1955</v>
      </c>
      <c r="E174" s="1629"/>
      <c r="F174" s="1629"/>
      <c r="G174" s="288"/>
    </row>
    <row r="175" spans="1:7" ht="14.25">
      <c r="A175" s="413"/>
      <c r="B175" s="417"/>
      <c r="C175" s="302"/>
      <c r="D175" s="1294"/>
      <c r="E175" s="1293"/>
      <c r="F175" s="1293"/>
      <c r="G175" s="288"/>
    </row>
    <row r="176" spans="1:7" ht="14.25">
      <c r="A176" s="413"/>
      <c r="B176" s="950" t="s">
        <v>135</v>
      </c>
      <c r="C176" s="302"/>
      <c r="D176" s="1629" t="s">
        <v>1741</v>
      </c>
      <c r="E176" s="1629"/>
      <c r="F176" s="1629"/>
      <c r="G176" s="288"/>
    </row>
    <row r="177" spans="1:7" ht="14.25">
      <c r="A177" s="413"/>
      <c r="B177" s="417"/>
      <c r="C177" s="302"/>
      <c r="D177" s="1293"/>
      <c r="E177" s="1293"/>
      <c r="F177" s="1293"/>
      <c r="G177" s="288"/>
    </row>
    <row r="178" spans="1:7" ht="14.25">
      <c r="A178" s="413"/>
      <c r="B178" s="1295" t="s">
        <v>135</v>
      </c>
      <c r="C178" s="302"/>
      <c r="D178" s="1650" t="s">
        <v>2043</v>
      </c>
      <c r="E178" s="1650"/>
      <c r="F178" s="1650"/>
      <c r="G178" s="288"/>
    </row>
    <row r="179" spans="1:7" ht="13.7" customHeight="1">
      <c r="A179" s="413"/>
      <c r="B179" s="417"/>
      <c r="C179" s="302"/>
      <c r="D179" s="1297" t="s">
        <v>1003</v>
      </c>
      <c r="E179" s="1549" t="s">
        <v>2045</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1004</v>
      </c>
      <c r="E183" s="1572" t="s">
        <v>2044</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135</v>
      </c>
      <c r="C191" s="302"/>
      <c r="D191" s="1556" t="s">
        <v>1742</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2042</v>
      </c>
      <c r="E195" s="1649"/>
      <c r="F195" s="1649"/>
      <c r="G195" s="288"/>
    </row>
    <row r="196" spans="1:7" ht="12.75">
      <c r="A196" s="417"/>
      <c r="B196" s="417"/>
      <c r="C196" s="302"/>
      <c r="D196" s="987"/>
      <c r="E196" s="987"/>
      <c r="F196" s="987"/>
      <c r="G196" s="288"/>
    </row>
    <row r="197" spans="1:7" ht="14.25">
      <c r="A197" s="413"/>
      <c r="B197" s="950" t="s">
        <v>135</v>
      </c>
      <c r="C197" s="302"/>
      <c r="D197" s="1648" t="s">
        <v>1743</v>
      </c>
      <c r="E197" s="1648"/>
      <c r="F197" s="1648"/>
      <c r="G197" s="288"/>
    </row>
    <row r="198" spans="1:7" ht="12.75">
      <c r="A198" s="417"/>
      <c r="B198" s="417"/>
      <c r="C198" s="302"/>
      <c r="D198" s="283"/>
      <c r="E198" s="283"/>
      <c r="F198" s="283"/>
      <c r="G198" s="288"/>
    </row>
    <row r="199" spans="1:7" ht="12.75">
      <c r="A199" s="1589" t="s">
        <v>1540</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1539</v>
      </c>
      <c r="E201" s="1595"/>
      <c r="F201" s="1595"/>
      <c r="G201" s="288"/>
    </row>
    <row r="202" spans="1:7" ht="12.75">
      <c r="A202" s="928"/>
      <c r="B202" s="928"/>
      <c r="C202" s="927"/>
      <c r="D202" s="1595" t="s">
        <v>762</v>
      </c>
      <c r="E202" s="1595"/>
      <c r="F202" s="1595"/>
      <c r="G202" s="288"/>
    </row>
    <row r="203" spans="1:7" ht="12.75">
      <c r="A203" s="414"/>
      <c r="B203" s="414"/>
      <c r="C203" s="298"/>
      <c r="D203" s="1629" t="s">
        <v>1574</v>
      </c>
      <c r="E203" s="1629"/>
      <c r="F203" s="1629"/>
      <c r="G203" s="288"/>
    </row>
    <row r="204" spans="1:7" ht="12.75">
      <c r="A204" s="414"/>
      <c r="B204" s="414"/>
      <c r="C204" s="298"/>
      <c r="D204" s="283"/>
      <c r="E204" s="283"/>
      <c r="F204" s="283"/>
      <c r="G204" s="288"/>
    </row>
    <row r="205" spans="1:7" ht="12.75">
      <c r="A205" s="414"/>
      <c r="B205" s="414"/>
      <c r="C205" s="298"/>
      <c r="D205" s="1604" t="s">
        <v>1584</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2047</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1530</v>
      </c>
      <c r="C217" s="299"/>
      <c r="D217" s="1575" t="s">
        <v>321</v>
      </c>
      <c r="E217" s="1575"/>
      <c r="F217" s="1575"/>
      <c r="G217" s="288"/>
    </row>
    <row r="218" spans="1:7" ht="14.25">
      <c r="A218" s="413"/>
      <c r="B218" s="14"/>
      <c r="C218" s="299"/>
      <c r="D218" s="1582" t="s">
        <v>1229</v>
      </c>
      <c r="E218" s="1582"/>
      <c r="F218" s="1582"/>
      <c r="G218" s="288"/>
    </row>
    <row r="219" spans="1:7" ht="14.25">
      <c r="A219" s="413"/>
      <c r="B219" s="413"/>
      <c r="C219" s="299"/>
      <c r="D219" s="956" t="s">
        <v>1592</v>
      </c>
      <c r="E219" s="1605" t="s">
        <v>1591</v>
      </c>
      <c r="F219" s="1605"/>
      <c r="G219" s="288"/>
    </row>
    <row r="220" spans="1:7" ht="12.75">
      <c r="A220" s="417"/>
      <c r="B220" s="417"/>
      <c r="C220" s="302"/>
      <c r="D220" s="1581" t="s">
        <v>1567</v>
      </c>
      <c r="E220" s="1582"/>
      <c r="F220" s="1582"/>
      <c r="G220" s="288"/>
    </row>
    <row r="221" spans="1:7" ht="12.75">
      <c r="A221" s="417"/>
      <c r="B221" s="417"/>
      <c r="C221" s="302"/>
      <c r="D221" s="283"/>
      <c r="E221" s="283"/>
      <c r="F221" s="283"/>
      <c r="G221" s="288"/>
    </row>
    <row r="222" spans="1:7" ht="14.25">
      <c r="A222" s="413"/>
      <c r="B222" s="950" t="s">
        <v>135</v>
      </c>
      <c r="C222" s="302"/>
      <c r="D222" s="1582" t="s">
        <v>322</v>
      </c>
      <c r="E222" s="1582"/>
      <c r="F222" s="1582"/>
      <c r="G222" s="288"/>
    </row>
    <row r="223" spans="1:7" ht="14.25">
      <c r="A223" s="413"/>
      <c r="B223" s="14"/>
      <c r="C223" s="302"/>
      <c r="D223" s="1575" t="s">
        <v>1229</v>
      </c>
      <c r="E223" s="1575"/>
      <c r="F223" s="1575"/>
      <c r="G223" s="288"/>
    </row>
    <row r="224" spans="1:7" ht="14.25">
      <c r="A224" s="413"/>
      <c r="B224" s="413"/>
      <c r="C224" s="302"/>
      <c r="D224" s="300" t="s">
        <v>1593</v>
      </c>
      <c r="E224" s="1590" t="s">
        <v>1594</v>
      </c>
      <c r="F224" s="1590"/>
      <c r="G224" s="288"/>
    </row>
    <row r="225" spans="1:7" ht="12.75">
      <c r="A225" s="417"/>
      <c r="B225" s="417"/>
      <c r="C225" s="302"/>
      <c r="D225" s="1582" t="s">
        <v>1568</v>
      </c>
      <c r="E225" s="1582"/>
      <c r="F225" s="1582"/>
      <c r="G225" s="288"/>
    </row>
    <row r="226" spans="1:7" ht="12.75">
      <c r="A226" s="417"/>
      <c r="B226" s="417"/>
      <c r="C226" s="302"/>
      <c r="D226" s="283"/>
      <c r="E226" s="283"/>
      <c r="F226" s="283"/>
      <c r="G226" s="288"/>
    </row>
    <row r="227" spans="1:7" ht="14.25">
      <c r="A227" s="413"/>
      <c r="B227" s="950" t="s">
        <v>135</v>
      </c>
      <c r="C227" s="302"/>
      <c r="D227" s="1582" t="s">
        <v>706</v>
      </c>
      <c r="E227" s="1582"/>
      <c r="F227" s="1582"/>
      <c r="G227" s="288"/>
    </row>
    <row r="228" spans="1:7" ht="14.25">
      <c r="A228" s="413"/>
      <c r="B228" s="14"/>
      <c r="C228" s="302"/>
      <c r="D228" s="287" t="s">
        <v>1229</v>
      </c>
      <c r="E228" s="283"/>
      <c r="F228" s="283"/>
      <c r="G228" s="288"/>
    </row>
    <row r="229" spans="1:7" ht="14.25">
      <c r="A229" s="413"/>
      <c r="B229" s="413"/>
      <c r="C229" s="302"/>
      <c r="D229" s="300" t="s">
        <v>1592</v>
      </c>
      <c r="E229" s="1590" t="s">
        <v>1595</v>
      </c>
      <c r="F229" s="1590"/>
      <c r="G229" s="288"/>
    </row>
    <row r="230" spans="1:7" ht="14.25">
      <c r="A230" s="413"/>
      <c r="B230" s="413"/>
      <c r="C230" s="302"/>
      <c r="D230" s="1573" t="s">
        <v>1597</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1569</v>
      </c>
      <c r="E235" s="1573"/>
      <c r="F235" s="1573"/>
      <c r="G235" s="288"/>
    </row>
    <row r="236" spans="1:7" ht="12.75">
      <c r="A236" s="417"/>
      <c r="B236" s="417"/>
      <c r="C236" s="302"/>
      <c r="D236" s="287"/>
      <c r="E236" s="283"/>
      <c r="F236" s="283"/>
      <c r="G236" s="288"/>
    </row>
    <row r="237" spans="1:7" ht="14.25">
      <c r="A237" s="413"/>
      <c r="B237" s="950" t="s">
        <v>135</v>
      </c>
      <c r="C237" s="302"/>
      <c r="D237" s="1582" t="s">
        <v>707</v>
      </c>
      <c r="E237" s="1582"/>
      <c r="F237" s="1582"/>
      <c r="G237" s="288"/>
    </row>
    <row r="238" spans="1:7" ht="14.25">
      <c r="A238" s="413"/>
      <c r="B238" s="14"/>
      <c r="C238" s="302"/>
      <c r="D238" s="1582" t="s">
        <v>1229</v>
      </c>
      <c r="E238" s="1582"/>
      <c r="F238" s="1582"/>
      <c r="G238" s="288"/>
    </row>
    <row r="239" spans="1:7" ht="14.25">
      <c r="A239" s="413"/>
      <c r="B239" s="413"/>
      <c r="C239" s="302"/>
      <c r="D239" s="300" t="s">
        <v>1592</v>
      </c>
      <c r="E239" s="1590" t="s">
        <v>1598</v>
      </c>
      <c r="F239" s="1590"/>
      <c r="G239" s="288"/>
    </row>
    <row r="240" spans="1:7" ht="12.75">
      <c r="A240" s="417"/>
      <c r="B240" s="417"/>
      <c r="C240" s="302"/>
      <c r="D240" s="1581" t="s">
        <v>2204</v>
      </c>
      <c r="E240" s="1582"/>
      <c r="F240" s="1582"/>
      <c r="G240" s="288"/>
    </row>
    <row r="241" spans="1:7" ht="12.75">
      <c r="A241" s="417"/>
      <c r="B241" s="417"/>
      <c r="C241" s="302"/>
      <c r="D241" s="1378"/>
      <c r="E241" s="1378"/>
      <c r="F241" s="1378"/>
      <c r="G241" s="288"/>
    </row>
    <row r="242" spans="1:7" ht="14.25">
      <c r="A242" s="413"/>
      <c r="B242" s="1380" t="s">
        <v>135</v>
      </c>
      <c r="C242" s="302"/>
      <c r="D242" s="1581" t="s">
        <v>2203</v>
      </c>
      <c r="E242" s="1582"/>
      <c r="F242" s="1582"/>
      <c r="G242" s="288"/>
    </row>
    <row r="243" spans="1:7" ht="14.25">
      <c r="A243" s="413"/>
      <c r="B243" s="14"/>
      <c r="C243" s="302"/>
      <c r="D243" s="1582" t="s">
        <v>1229</v>
      </c>
      <c r="E243" s="1582"/>
      <c r="F243" s="1582"/>
      <c r="G243" s="288"/>
    </row>
    <row r="244" spans="1:7" ht="14.25">
      <c r="A244" s="413"/>
      <c r="B244" s="413"/>
      <c r="C244" s="302"/>
      <c r="D244" s="1379" t="s">
        <v>1592</v>
      </c>
      <c r="E244" s="1590" t="s">
        <v>2205</v>
      </c>
      <c r="F244" s="1590"/>
      <c r="G244" s="288"/>
    </row>
    <row r="245" spans="1:7" ht="12.75">
      <c r="A245" s="417"/>
      <c r="B245" s="417"/>
      <c r="C245" s="302"/>
      <c r="D245" s="1581" t="s">
        <v>2206</v>
      </c>
      <c r="E245" s="1582"/>
      <c r="F245" s="1582"/>
      <c r="G245" s="288"/>
    </row>
    <row r="246" spans="1:7" ht="12.75">
      <c r="A246" s="417"/>
      <c r="B246" s="417"/>
      <c r="C246" s="302"/>
      <c r="D246" s="403"/>
      <c r="E246" s="288"/>
      <c r="F246" s="288"/>
      <c r="G246" s="288"/>
    </row>
    <row r="247" spans="1:7" ht="14.25">
      <c r="A247" s="413"/>
      <c r="B247" s="950" t="s">
        <v>135</v>
      </c>
      <c r="D247" s="960" t="s">
        <v>1623</v>
      </c>
      <c r="E247" s="960"/>
      <c r="F247" s="960"/>
    </row>
    <row r="248" spans="1:7" ht="14.25">
      <c r="A248" s="413"/>
      <c r="B248" s="2"/>
      <c r="D248" s="1572" t="s">
        <v>1979</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135</v>
      </c>
      <c r="D252" s="1630" t="s">
        <v>1133</v>
      </c>
      <c r="E252" s="1630"/>
      <c r="F252" s="1630"/>
    </row>
    <row r="253" spans="1:7" ht="14.25">
      <c r="A253" s="413"/>
      <c r="B253" s="417"/>
      <c r="D253" s="960"/>
      <c r="E253" s="960"/>
      <c r="F253" s="960"/>
    </row>
    <row r="254" spans="1:7" ht="12.75">
      <c r="A254" s="1589" t="s">
        <v>1542</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1541</v>
      </c>
      <c r="E256" s="1580"/>
      <c r="F256" s="1580"/>
    </row>
    <row r="257" spans="1:7" ht="12.75">
      <c r="A257" s="414"/>
      <c r="B257" s="414"/>
      <c r="C257" s="298"/>
      <c r="D257" s="1575" t="s">
        <v>1575</v>
      </c>
      <c r="E257" s="1575"/>
      <c r="F257" s="1575"/>
    </row>
    <row r="258" spans="1:7" ht="12.75">
      <c r="A258" s="33"/>
      <c r="B258" s="33"/>
      <c r="C258" s="320"/>
      <c r="D258" s="6"/>
      <c r="E258" s="282"/>
      <c r="F258" s="282"/>
    </row>
    <row r="259" spans="1:7" ht="12.75">
      <c r="A259" s="33"/>
      <c r="B259" s="14"/>
      <c r="C259" s="320"/>
      <c r="D259" s="1580" t="s">
        <v>231</v>
      </c>
      <c r="E259" s="1580"/>
      <c r="F259" s="1580"/>
      <c r="G259" s="2"/>
    </row>
    <row r="260" spans="1:7" ht="14.45" customHeight="1">
      <c r="A260" s="413"/>
      <c r="B260" s="1396" t="s">
        <v>1530</v>
      </c>
      <c r="C260" s="1490"/>
      <c r="D260" s="1597" t="s">
        <v>2304</v>
      </c>
      <c r="E260" s="1597"/>
      <c r="F260" s="1597"/>
      <c r="G260" s="2"/>
    </row>
    <row r="261" spans="1:7" ht="14.25">
      <c r="A261" s="413"/>
      <c r="B261" s="1491"/>
      <c r="C261" s="1490"/>
      <c r="D261" s="1597"/>
      <c r="E261" s="1597"/>
      <c r="F261" s="1597"/>
      <c r="G261" s="2"/>
    </row>
    <row r="262" spans="1:7" ht="14.25">
      <c r="A262" s="413"/>
      <c r="B262" s="1491"/>
      <c r="C262" s="1490"/>
      <c r="D262" s="1597"/>
      <c r="E262" s="1597"/>
      <c r="F262" s="1597"/>
      <c r="G262" s="2"/>
    </row>
    <row r="263" spans="1:7" ht="14.45" customHeight="1">
      <c r="A263" s="413"/>
      <c r="B263" s="1491"/>
      <c r="C263" s="1490"/>
      <c r="D263" s="1597"/>
      <c r="E263" s="1597"/>
      <c r="F263" s="1597"/>
      <c r="G263" s="2"/>
    </row>
    <row r="264" spans="1:7" ht="14.25">
      <c r="A264" s="413"/>
      <c r="B264" s="1491"/>
      <c r="C264" s="1490"/>
      <c r="D264" s="1492"/>
      <c r="E264" s="1492"/>
      <c r="F264" s="1492"/>
      <c r="G264" s="2"/>
    </row>
    <row r="265" spans="1:7" ht="14.25">
      <c r="A265" s="413"/>
      <c r="B265" s="1396" t="s">
        <v>1530</v>
      </c>
      <c r="C265" s="1490"/>
      <c r="D265" s="1597" t="s">
        <v>2305</v>
      </c>
      <c r="E265" s="1597"/>
      <c r="F265" s="1597"/>
      <c r="G265" s="2"/>
    </row>
    <row r="266" spans="1:7" ht="14.25">
      <c r="A266" s="413"/>
      <c r="B266" s="1491"/>
      <c r="C266" s="1490"/>
      <c r="D266" s="1597"/>
      <c r="E266" s="1597"/>
      <c r="F266" s="1597"/>
      <c r="G266" s="2"/>
    </row>
    <row r="267" spans="1:7" ht="14.25">
      <c r="A267" s="413"/>
      <c r="B267" s="1491"/>
      <c r="C267" s="1490"/>
      <c r="D267" s="1597"/>
      <c r="E267" s="1597"/>
      <c r="F267" s="1597"/>
      <c r="G267" s="2"/>
    </row>
    <row r="268" spans="1:7" ht="14.25">
      <c r="A268" s="413"/>
      <c r="B268" s="1491"/>
      <c r="C268" s="1490"/>
      <c r="D268" s="1597"/>
      <c r="E268" s="1597"/>
      <c r="F268" s="1597"/>
      <c r="G268" s="2"/>
    </row>
    <row r="269" spans="1:7" ht="14.25">
      <c r="A269" s="413"/>
      <c r="B269" s="1491"/>
      <c r="C269" s="1490"/>
      <c r="D269" s="1597"/>
      <c r="E269" s="1597"/>
      <c r="F269" s="1597"/>
      <c r="G269" s="2"/>
    </row>
    <row r="270" spans="1:7" ht="14.25">
      <c r="A270" s="413"/>
      <c r="B270" s="1491"/>
      <c r="C270" s="1490"/>
      <c r="D270" s="1492"/>
      <c r="E270" s="1492"/>
      <c r="F270" s="1492"/>
      <c r="G270" s="2"/>
    </row>
    <row r="271" spans="1:7" ht="14.25">
      <c r="A271" s="413"/>
      <c r="B271" s="1491"/>
      <c r="C271" s="1490"/>
      <c r="D271" s="1597" t="s">
        <v>1754</v>
      </c>
      <c r="E271" s="1597"/>
      <c r="F271" s="1597"/>
      <c r="G271" s="2"/>
    </row>
    <row r="272" spans="1:7" ht="14.25">
      <c r="A272" s="413"/>
      <c r="B272" s="1491"/>
      <c r="C272" s="1490"/>
      <c r="D272" s="1597"/>
      <c r="E272" s="1597"/>
      <c r="F272" s="1597"/>
      <c r="G272" s="2"/>
    </row>
    <row r="273" spans="1:7" ht="14.25">
      <c r="A273" s="413"/>
      <c r="B273" s="1491"/>
      <c r="C273" s="1490"/>
      <c r="D273" s="1597"/>
      <c r="E273" s="1597"/>
      <c r="F273" s="1597"/>
      <c r="G273" s="2"/>
    </row>
    <row r="274" spans="1:7" ht="14.25">
      <c r="A274" s="413"/>
      <c r="B274" s="1491"/>
      <c r="C274" s="1490"/>
      <c r="D274" s="1597"/>
      <c r="E274" s="1597"/>
      <c r="F274" s="1597"/>
      <c r="G274" s="2"/>
    </row>
    <row r="275" spans="1:7" ht="14.25">
      <c r="A275" s="413"/>
      <c r="B275" s="1491"/>
      <c r="C275" s="1490"/>
      <c r="D275" s="1597"/>
      <c r="E275" s="1597"/>
      <c r="F275" s="1597"/>
      <c r="G275" s="2"/>
    </row>
    <row r="276" spans="1:7" ht="14.25">
      <c r="A276" s="413"/>
      <c r="B276" s="413"/>
      <c r="C276" s="14"/>
      <c r="D276" s="980"/>
      <c r="E276" s="980"/>
      <c r="F276" s="980"/>
      <c r="G276" s="2"/>
    </row>
    <row r="277" spans="1:7" s="770" customFormat="1" ht="14.45" customHeight="1">
      <c r="A277" s="1366"/>
      <c r="B277" s="1365" t="s">
        <v>135</v>
      </c>
      <c r="C277" s="1367"/>
      <c r="D277" s="1591" t="s">
        <v>2196</v>
      </c>
      <c r="E277" s="1591"/>
      <c r="F277" s="1591"/>
      <c r="G277" s="1368"/>
    </row>
    <row r="278" spans="1:7" s="770" customFormat="1" ht="14.25">
      <c r="A278" s="1366"/>
      <c r="B278" s="1367"/>
      <c r="C278" s="1367"/>
      <c r="D278" s="1591"/>
      <c r="E278" s="1591"/>
      <c r="F278" s="1591"/>
      <c r="G278" s="1368"/>
    </row>
    <row r="279" spans="1:7" s="770" customFormat="1" ht="14.25">
      <c r="A279" s="1366"/>
      <c r="B279" s="1367"/>
      <c r="C279" s="1367"/>
      <c r="D279" s="1591"/>
      <c r="E279" s="1591"/>
      <c r="F279" s="1591"/>
      <c r="G279" s="1368"/>
    </row>
    <row r="280" spans="1:7" s="770" customFormat="1" ht="12.75">
      <c r="A280" s="1367"/>
      <c r="B280" s="1367"/>
      <c r="C280" s="1367"/>
      <c r="D280" s="1592" t="s">
        <v>2197</v>
      </c>
      <c r="E280" s="1592"/>
      <c r="F280" s="1592"/>
      <c r="G280" s="1368"/>
    </row>
    <row r="281" spans="1:7" ht="14.25">
      <c r="A281" s="413"/>
      <c r="B281" s="413"/>
      <c r="C281" s="14"/>
      <c r="D281" s="287"/>
      <c r="E281" s="2"/>
      <c r="F281" s="2"/>
      <c r="G281" s="2"/>
    </row>
    <row r="282" spans="1:7" ht="14.25">
      <c r="A282" s="413"/>
      <c r="B282" s="950" t="s">
        <v>1530</v>
      </c>
      <c r="C282" s="14"/>
      <c r="D282" s="1575" t="s">
        <v>1230</v>
      </c>
      <c r="E282" s="1575"/>
      <c r="F282" s="1575"/>
      <c r="G282" s="2"/>
    </row>
    <row r="283" spans="1:7" ht="14.25">
      <c r="A283" s="413"/>
      <c r="B283" s="413"/>
      <c r="C283" s="14"/>
      <c r="D283" s="1575" t="s">
        <v>1755</v>
      </c>
      <c r="E283" s="1575"/>
      <c r="F283" s="1575"/>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1530</v>
      </c>
      <c r="C286" s="14"/>
      <c r="D286" s="1573" t="s">
        <v>1756</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1544</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1543</v>
      </c>
      <c r="E291" s="1580"/>
      <c r="F291" s="1580"/>
    </row>
    <row r="292" spans="1:7" ht="12.75">
      <c r="A292" s="414"/>
      <c r="B292" s="414"/>
      <c r="C292" s="298"/>
      <c r="D292" s="287"/>
      <c r="E292" s="282"/>
      <c r="F292" s="282"/>
    </row>
    <row r="293" spans="1:7" ht="12.75">
      <c r="A293" s="415"/>
      <c r="B293" s="415"/>
      <c r="C293" s="299"/>
      <c r="D293" s="1580" t="s">
        <v>233</v>
      </c>
      <c r="E293" s="1580"/>
      <c r="F293" s="1580"/>
    </row>
    <row r="294" spans="1:7" ht="14.45" customHeight="1">
      <c r="A294" s="413"/>
      <c r="B294" s="950" t="s">
        <v>135</v>
      </c>
      <c r="C294" s="14"/>
      <c r="D294" s="1572" t="s">
        <v>2144</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4"/>
      <c r="E297" s="1364"/>
      <c r="F297" s="1364"/>
    </row>
    <row r="298" spans="1:7" s="770" customFormat="1" ht="14.45" customHeight="1">
      <c r="A298" s="1366"/>
      <c r="B298" s="1365" t="s">
        <v>135</v>
      </c>
      <c r="C298" s="1367"/>
      <c r="D298" s="1591" t="s">
        <v>2198</v>
      </c>
      <c r="E298" s="1591"/>
      <c r="F298" s="1591"/>
      <c r="G298" s="1368"/>
    </row>
    <row r="299" spans="1:7" s="770" customFormat="1" ht="12.75">
      <c r="A299" s="1367"/>
      <c r="B299" s="1367"/>
      <c r="C299" s="1367"/>
      <c r="D299" s="1591"/>
      <c r="E299" s="1591"/>
      <c r="F299" s="1591"/>
      <c r="G299" s="1368"/>
    </row>
    <row r="300" spans="1:7" s="770" customFormat="1" ht="12.75">
      <c r="A300" s="1367"/>
      <c r="B300" s="1367"/>
      <c r="C300" s="1367"/>
      <c r="D300" s="1591"/>
      <c r="E300" s="1591"/>
      <c r="F300" s="1591"/>
      <c r="G300" s="1368"/>
    </row>
    <row r="301" spans="1:7" s="770" customFormat="1" ht="12.75">
      <c r="A301" s="1367"/>
      <c r="B301" s="1367"/>
      <c r="C301" s="1367"/>
      <c r="D301" s="1593" t="s">
        <v>2199</v>
      </c>
      <c r="E301" s="1593"/>
      <c r="F301" s="1593"/>
      <c r="G301" s="1368"/>
    </row>
    <row r="302" spans="1:7" ht="12.75">
      <c r="A302" s="140"/>
      <c r="B302" s="140"/>
      <c r="C302" s="14"/>
      <c r="D302" s="332"/>
      <c r="E302" s="282"/>
      <c r="F302" s="282"/>
    </row>
    <row r="303" spans="1:7" ht="12.75">
      <c r="A303" s="1589" t="s">
        <v>1545</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1757</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178</v>
      </c>
      <c r="E308" s="1580"/>
      <c r="F308" s="1580"/>
    </row>
    <row r="309" spans="1:7" ht="14.25">
      <c r="A309" s="413"/>
      <c r="B309" s="413"/>
      <c r="C309" s="14"/>
      <c r="D309" s="1599" t="s">
        <v>1758</v>
      </c>
      <c r="E309" s="1599"/>
      <c r="F309" s="1599"/>
    </row>
    <row r="310" spans="1:7" ht="12" customHeight="1">
      <c r="A310" s="140"/>
      <c r="B310" s="140"/>
      <c r="C310" s="14"/>
      <c r="D310" s="282"/>
      <c r="E310" s="282"/>
      <c r="F310" s="282"/>
    </row>
    <row r="311" spans="1:7" ht="14.45" customHeight="1">
      <c r="A311" s="413"/>
      <c r="B311" s="950" t="s">
        <v>135</v>
      </c>
      <c r="C311" s="14"/>
      <c r="D311" s="1573" t="s">
        <v>1759</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135</v>
      </c>
      <c r="C314" s="14"/>
      <c r="D314" s="1571" t="s">
        <v>1760</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135</v>
      </c>
      <c r="C318" s="14"/>
      <c r="D318" s="1573" t="s">
        <v>1761</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1532</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179</v>
      </c>
      <c r="E323" s="1580"/>
      <c r="F323" s="1580"/>
      <c r="G323" s="2"/>
    </row>
    <row r="324" spans="1:7" ht="12.75">
      <c r="A324" s="140"/>
      <c r="B324" s="140"/>
      <c r="C324" s="320"/>
      <c r="D324" s="1575" t="s">
        <v>1576</v>
      </c>
      <c r="E324" s="1575"/>
      <c r="F324" s="1575"/>
      <c r="G324" s="2"/>
    </row>
    <row r="325" spans="1:7" ht="12.75">
      <c r="A325" s="140"/>
      <c r="B325" s="140"/>
      <c r="C325" s="320"/>
      <c r="D325" s="290"/>
      <c r="E325" s="282"/>
      <c r="F325" s="282"/>
      <c r="G325" s="2"/>
    </row>
    <row r="326" spans="1:7" ht="12.75">
      <c r="A326" s="140"/>
      <c r="B326" s="950" t="s">
        <v>135</v>
      </c>
      <c r="C326" s="14"/>
      <c r="D326" s="1575" t="s">
        <v>1762</v>
      </c>
      <c r="E326" s="1575"/>
      <c r="F326" s="1575"/>
      <c r="G326" s="2"/>
    </row>
    <row r="327" spans="1:7" ht="14.25">
      <c r="A327" s="570"/>
      <c r="B327" s="570"/>
      <c r="D327" s="702"/>
      <c r="G327" s="2"/>
    </row>
    <row r="328" spans="1:7" ht="14.25">
      <c r="A328" s="413"/>
      <c r="B328" s="950" t="s">
        <v>135</v>
      </c>
      <c r="C328" s="14"/>
      <c r="D328" s="1575" t="s">
        <v>1763</v>
      </c>
      <c r="E328" s="1575"/>
      <c r="F328" s="1575"/>
      <c r="G328" s="2"/>
    </row>
    <row r="329" spans="1:7" ht="12.75">
      <c r="A329" s="140"/>
      <c r="B329" s="140"/>
      <c r="C329" s="14"/>
      <c r="D329" s="282"/>
      <c r="E329" s="282"/>
      <c r="F329" s="282"/>
      <c r="G329" s="2"/>
    </row>
    <row r="330" spans="1:7" ht="14.45" customHeight="1">
      <c r="A330" s="413"/>
      <c r="B330" s="950" t="s">
        <v>135</v>
      </c>
      <c r="C330" s="14"/>
      <c r="D330" s="1571" t="s">
        <v>1769</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135</v>
      </c>
      <c r="C346" s="140"/>
      <c r="D346" s="1571" t="s">
        <v>1764</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135</v>
      </c>
      <c r="C356" s="14"/>
      <c r="D356" s="1572" t="s">
        <v>2136</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1399</v>
      </c>
      <c r="E363" s="1598"/>
      <c r="F363" s="1598"/>
      <c r="G363" s="71"/>
    </row>
    <row r="364" spans="1:8" ht="13.5" thickTop="1">
      <c r="A364" s="140"/>
      <c r="B364" s="140"/>
      <c r="C364" s="140"/>
      <c r="D364" s="1602" t="s">
        <v>1765</v>
      </c>
      <c r="E364" s="1602"/>
      <c r="F364" s="1602"/>
      <c r="G364" s="8"/>
    </row>
    <row r="365" spans="1:8" ht="12.75">
      <c r="A365" s="140"/>
      <c r="B365" s="140"/>
      <c r="C365" s="140"/>
      <c r="D365" s="287"/>
      <c r="E365" s="8"/>
      <c r="F365" s="8"/>
      <c r="G365" s="8"/>
    </row>
    <row r="366" spans="1:8" ht="14.25">
      <c r="A366" s="413"/>
      <c r="B366" s="950" t="s">
        <v>135</v>
      </c>
      <c r="C366" s="597"/>
      <c r="D366" s="1596" t="s">
        <v>1770</v>
      </c>
      <c r="E366" s="1596"/>
      <c r="F366" s="1596"/>
      <c r="G366" s="8"/>
    </row>
    <row r="367" spans="1:8" ht="14.25">
      <c r="A367" s="413"/>
      <c r="B367" s="413"/>
      <c r="C367" s="597"/>
      <c r="D367" s="666"/>
      <c r="E367" s="8"/>
      <c r="F367" s="8"/>
      <c r="G367" s="8"/>
    </row>
    <row r="368" spans="1:8" ht="14.25">
      <c r="A368" s="413"/>
      <c r="B368" s="950" t="s">
        <v>135</v>
      </c>
      <c r="C368" s="597"/>
      <c r="D368" s="1600" t="s">
        <v>1773</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135</v>
      </c>
      <c r="C379" s="597"/>
      <c r="D379" s="1594" t="s">
        <v>1766</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1767</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1771</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135</v>
      </c>
      <c r="C412" s="597"/>
      <c r="D412" s="1574" t="s">
        <v>1768</v>
      </c>
      <c r="E412" s="1574"/>
      <c r="F412" s="1574"/>
      <c r="G412" s="8"/>
    </row>
    <row r="413" spans="1:7" ht="12.75">
      <c r="A413" s="597"/>
      <c r="B413" s="597"/>
      <c r="C413" s="597"/>
      <c r="D413" s="1574"/>
      <c r="E413" s="1574"/>
      <c r="F413" s="1574"/>
      <c r="G413" s="8"/>
    </row>
    <row r="414" spans="1:7" ht="12.75">
      <c r="A414" s="597"/>
      <c r="B414" s="597"/>
      <c r="C414" s="597"/>
      <c r="D414" s="1353"/>
      <c r="E414" s="1353"/>
      <c r="F414" s="1353"/>
      <c r="G414" s="8"/>
    </row>
    <row r="415" spans="1:7" ht="12.75">
      <c r="A415" s="597"/>
      <c r="B415" s="1355" t="s">
        <v>135</v>
      </c>
      <c r="C415" s="597"/>
      <c r="D415" s="1578" t="s">
        <v>2141</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135</v>
      </c>
      <c r="C421" s="597"/>
      <c r="D421" s="1578" t="s">
        <v>2118</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2137</v>
      </c>
      <c r="E425" s="1579"/>
      <c r="F425" s="1579"/>
      <c r="G425" s="8"/>
    </row>
    <row r="426" spans="1:7" ht="12.75">
      <c r="A426" s="140"/>
      <c r="B426" s="140"/>
      <c r="C426" s="140"/>
      <c r="D426" s="143"/>
      <c r="E426" s="8"/>
      <c r="F426" s="8"/>
      <c r="G426" s="8"/>
    </row>
    <row r="427" spans="1:7" ht="14.45" customHeight="1">
      <c r="A427" s="413"/>
      <c r="B427" s="950" t="s">
        <v>135</v>
      </c>
      <c r="C427" s="355"/>
      <c r="D427" s="1573" t="s">
        <v>1774</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135</v>
      </c>
      <c r="C459" s="355"/>
      <c r="D459" s="1575" t="s">
        <v>1772</v>
      </c>
      <c r="E459" s="1575"/>
      <c r="F459" s="1575"/>
      <c r="G459" s="8"/>
    </row>
    <row r="460" spans="1:7" ht="12.75">
      <c r="A460" s="140"/>
      <c r="B460" s="140"/>
      <c r="C460" s="140"/>
      <c r="D460" s="1576" t="s">
        <v>2114</v>
      </c>
      <c r="E460" s="1576"/>
      <c r="F460" s="1576"/>
      <c r="G460" s="8"/>
    </row>
    <row r="461" spans="1:7" ht="13.7" customHeight="1">
      <c r="A461" s="140"/>
      <c r="B461" s="140"/>
      <c r="C461" s="140"/>
      <c r="D461" s="1577" t="s">
        <v>2115</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135</v>
      </c>
      <c r="C465" s="355"/>
      <c r="D465" s="1573" t="s">
        <v>1775</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135</v>
      </c>
      <c r="C469" s="413"/>
      <c r="D469" s="1577" t="s">
        <v>1934</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135</v>
      </c>
      <c r="C472" s="413"/>
      <c r="D472" s="1571" t="s">
        <v>1776</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135</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135</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135</v>
      </c>
      <c r="C483" s="992"/>
      <c r="D483" s="1571"/>
      <c r="E483" s="1571"/>
      <c r="F483" s="1571"/>
      <c r="G483" s="8"/>
    </row>
    <row r="484" spans="1:7" ht="12.75">
      <c r="A484" s="992"/>
      <c r="B484" s="992"/>
      <c r="C484" s="992"/>
      <c r="D484" s="1571"/>
      <c r="E484" s="1571"/>
      <c r="F484" s="1571"/>
      <c r="G484" s="8"/>
    </row>
    <row r="485" spans="1:7" ht="12.75">
      <c r="A485" s="992"/>
      <c r="B485" s="950" t="s">
        <v>135</v>
      </c>
      <c r="C485" s="992"/>
      <c r="D485" s="1571"/>
      <c r="E485" s="1571"/>
      <c r="F485" s="1571"/>
      <c r="G485" s="8"/>
    </row>
    <row r="486" spans="1:7" ht="12.75">
      <c r="A486" s="992"/>
      <c r="B486" s="14"/>
      <c r="C486" s="992"/>
      <c r="D486" s="1571"/>
      <c r="E486" s="1571"/>
      <c r="F486" s="1571"/>
      <c r="G486" s="8"/>
    </row>
    <row r="487" spans="1:7" ht="13.7" customHeight="1">
      <c r="A487" s="140"/>
      <c r="B487" s="993" t="s">
        <v>135</v>
      </c>
      <c r="C487" s="140"/>
      <c r="D487" s="1571" t="s">
        <v>1777</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135</v>
      </c>
      <c r="C493" s="140"/>
      <c r="D493" s="1583" t="s">
        <v>1577</v>
      </c>
      <c r="E493" s="1583"/>
      <c r="F493" s="1583"/>
      <c r="G493" s="8"/>
    </row>
    <row r="494" spans="1:7" ht="12.75">
      <c r="A494" s="143"/>
      <c r="B494" s="143"/>
      <c r="C494" s="14"/>
      <c r="D494" s="282"/>
      <c r="E494" s="282"/>
      <c r="F494" s="282"/>
    </row>
    <row r="495" spans="1:7" ht="12.75">
      <c r="A495" s="1589" t="s">
        <v>1533</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1238</v>
      </c>
      <c r="E497" s="1584"/>
      <c r="F497" s="1584"/>
    </row>
    <row r="498" spans="1:7" ht="12.75">
      <c r="D498" s="1585" t="s">
        <v>1570</v>
      </c>
      <c r="E498" s="1585"/>
      <c r="F498" s="1585"/>
    </row>
    <row r="499" spans="1:7" ht="14.25">
      <c r="A499" s="413"/>
      <c r="B499" s="413"/>
      <c r="C499" s="14"/>
      <c r="D499" s="667"/>
      <c r="E499" s="282"/>
      <c r="F499" s="282"/>
    </row>
    <row r="500" spans="1:7" ht="14.25">
      <c r="A500" s="413"/>
      <c r="B500" s="950" t="s">
        <v>135</v>
      </c>
      <c r="C500" s="14"/>
      <c r="D500" s="1586" t="s">
        <v>1778</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135</v>
      </c>
      <c r="D503" s="1587" t="s">
        <v>2138</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135</v>
      </c>
      <c r="C508" s="14"/>
      <c r="D508" s="1575" t="s">
        <v>1780</v>
      </c>
      <c r="E508" s="1575"/>
      <c r="F508" s="1575"/>
      <c r="G508" s="2"/>
    </row>
    <row r="509" spans="1:7" ht="12.75">
      <c r="A509" s="140"/>
      <c r="B509" s="140"/>
      <c r="C509" s="14"/>
      <c r="D509" s="287"/>
      <c r="E509" s="282"/>
      <c r="F509" s="282"/>
      <c r="G509" s="2"/>
    </row>
    <row r="510" spans="1:7" ht="14.25">
      <c r="A510" s="413"/>
      <c r="B510" s="950" t="s">
        <v>135</v>
      </c>
      <c r="C510" s="14"/>
      <c r="D510" s="1573" t="s">
        <v>1781</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135</v>
      </c>
      <c r="C513" s="14"/>
      <c r="D513" s="1575" t="s">
        <v>1779</v>
      </c>
      <c r="E513" s="1575"/>
      <c r="F513" s="1575"/>
    </row>
    <row r="514" spans="1:7" ht="14.25">
      <c r="A514" s="413"/>
      <c r="B514" s="413"/>
      <c r="C514" s="14"/>
      <c r="D514" s="287"/>
      <c r="E514" s="282"/>
      <c r="F514" s="282"/>
    </row>
    <row r="515" spans="1:7" ht="12.75">
      <c r="A515" s="1589" t="s">
        <v>1534</v>
      </c>
      <c r="B515" s="1589"/>
      <c r="C515" s="1589"/>
      <c r="D515" s="1589"/>
      <c r="E515" s="1589"/>
      <c r="F515" s="1589"/>
      <c r="G515" s="1589"/>
    </row>
    <row r="516" spans="1:7" ht="12" customHeight="1">
      <c r="A516" s="413"/>
      <c r="B516" s="413"/>
      <c r="C516" s="14"/>
      <c r="D516" s="287"/>
      <c r="E516" s="282"/>
      <c r="F516" s="282"/>
    </row>
    <row r="517" spans="1:7" ht="12.75">
      <c r="A517" s="150"/>
      <c r="B517" s="950" t="s">
        <v>1530</v>
      </c>
      <c r="C517" s="406"/>
      <c r="D517" s="1631" t="s">
        <v>1709</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135</v>
      </c>
      <c r="C522" s="322"/>
      <c r="D522" s="1607" t="s">
        <v>1725</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135</v>
      </c>
      <c r="D525" s="1632" t="s">
        <v>1699</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1546</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1578</v>
      </c>
      <c r="E531" s="1580"/>
      <c r="F531" s="1580"/>
    </row>
    <row r="532" spans="1:7" ht="12.75">
      <c r="A532" s="140"/>
      <c r="B532" s="140"/>
      <c r="C532" s="14"/>
      <c r="D532" s="282"/>
      <c r="E532" s="282"/>
      <c r="F532" s="282"/>
    </row>
    <row r="533" spans="1:7" ht="12.75">
      <c r="A533" s="140"/>
      <c r="B533" s="950" t="s">
        <v>135</v>
      </c>
      <c r="C533" s="14"/>
      <c r="D533" s="1573" t="s">
        <v>1744</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135</v>
      </c>
      <c r="C536" s="322"/>
      <c r="D536" s="1573" t="s">
        <v>1745</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1587</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180</v>
      </c>
      <c r="E541" s="1580"/>
      <c r="F541" s="1580"/>
    </row>
    <row r="542" spans="1:7" ht="12.75">
      <c r="A542" s="140"/>
      <c r="B542" s="140"/>
      <c r="C542" s="322"/>
      <c r="D542" s="1575" t="s">
        <v>1721</v>
      </c>
      <c r="E542" s="1575"/>
      <c r="F542" s="1575"/>
    </row>
    <row r="543" spans="1:7" ht="12.75">
      <c r="A543" s="140"/>
      <c r="B543" s="140"/>
      <c r="C543" s="322"/>
      <c r="D543" s="287"/>
      <c r="E543" s="287"/>
      <c r="F543" s="287"/>
    </row>
    <row r="544" spans="1:7" ht="14.25">
      <c r="A544" s="413"/>
      <c r="B544" s="950" t="s">
        <v>1530</v>
      </c>
      <c r="C544" s="322"/>
      <c r="D544" s="1575" t="s">
        <v>1231</v>
      </c>
      <c r="E544" s="1575"/>
      <c r="F544" s="1575"/>
    </row>
    <row r="545" spans="1:7" ht="12" customHeight="1">
      <c r="A545" s="355"/>
      <c r="B545" s="355"/>
      <c r="C545" s="322"/>
      <c r="D545" s="287"/>
      <c r="E545" s="2"/>
      <c r="F545" s="2"/>
      <c r="G545" s="2"/>
    </row>
    <row r="546" spans="1:7" ht="14.45" customHeight="1">
      <c r="A546" s="413"/>
      <c r="B546" s="950" t="s">
        <v>1530</v>
      </c>
      <c r="C546" s="322"/>
      <c r="D546" s="1573" t="s">
        <v>1720</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1530</v>
      </c>
      <c r="C549" s="322"/>
      <c r="D549" s="1573" t="s">
        <v>1722</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1530</v>
      </c>
      <c r="C552" s="322"/>
      <c r="D552" s="1573" t="s">
        <v>1723</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1530</v>
      </c>
      <c r="C555" s="322"/>
      <c r="D555" s="1573" t="s">
        <v>1724</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135</v>
      </c>
      <c r="C559" s="322"/>
      <c r="D559" s="1606" t="s">
        <v>1836</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135</v>
      </c>
      <c r="C562" s="322"/>
      <c r="D562" s="1573" t="s">
        <v>1726</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1530</v>
      </c>
      <c r="C565" s="322"/>
      <c r="D565" s="1575" t="s">
        <v>1727</v>
      </c>
      <c r="E565" s="1575"/>
      <c r="F565" s="1575"/>
      <c r="G565" s="2"/>
    </row>
    <row r="566" spans="1:7" ht="14.25">
      <c r="A566" s="413"/>
      <c r="B566" s="413"/>
      <c r="C566" s="322"/>
      <c r="D566" s="1575" t="s">
        <v>1134</v>
      </c>
      <c r="E566" s="1575"/>
      <c r="F566" s="1575"/>
      <c r="G566" s="2"/>
    </row>
    <row r="567" spans="1:7" ht="12.75">
      <c r="A567" s="410"/>
      <c r="B567" s="410"/>
      <c r="C567" s="405"/>
      <c r="D567" s="282"/>
      <c r="E567" s="1599" t="s">
        <v>1728</v>
      </c>
      <c r="F567" s="1599"/>
      <c r="G567" s="2"/>
    </row>
    <row r="568" spans="1:7" ht="15" customHeight="1">
      <c r="A568" s="410"/>
      <c r="B568" s="410"/>
      <c r="C568" s="405"/>
      <c r="D568" s="1618" t="s">
        <v>1977</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1530</v>
      </c>
      <c r="C578" s="405"/>
      <c r="D578" s="1635" t="s">
        <v>1729</v>
      </c>
      <c r="E578" s="1635"/>
      <c r="F578" s="1635"/>
      <c r="G578" s="2"/>
    </row>
    <row r="579" spans="1:7" ht="13.7" customHeight="1">
      <c r="A579" s="140"/>
      <c r="B579" s="140"/>
      <c r="C579" s="322"/>
      <c r="D579" s="1573" t="s">
        <v>1730</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1530</v>
      </c>
      <c r="C583" s="322"/>
      <c r="D583" s="1573" t="s">
        <v>1731</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135</v>
      </c>
      <c r="C588" s="299"/>
      <c r="D588" s="1581" t="s">
        <v>2048</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1548</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181</v>
      </c>
      <c r="E593" s="1608"/>
      <c r="F593" s="1608"/>
      <c r="G593" s="288"/>
    </row>
    <row r="594" spans="1:7" ht="12.75">
      <c r="A594" s="140"/>
      <c r="B594" s="140"/>
      <c r="C594" s="298"/>
      <c r="D594" s="1638" t="s">
        <v>1608</v>
      </c>
      <c r="E594" s="1638"/>
      <c r="F594" s="1638"/>
      <c r="G594" s="288"/>
    </row>
    <row r="595" spans="1:7" ht="12.75">
      <c r="A595" s="140"/>
      <c r="B595" s="140"/>
      <c r="C595" s="298"/>
      <c r="D595" s="593"/>
      <c r="E595" s="282"/>
      <c r="F595" s="282"/>
      <c r="G595" s="288"/>
    </row>
    <row r="596" spans="1:7" ht="14.25">
      <c r="A596" s="413"/>
      <c r="B596" s="950" t="s">
        <v>1530</v>
      </c>
      <c r="C596" s="14"/>
      <c r="D596" s="1638" t="s">
        <v>1232</v>
      </c>
      <c r="E596" s="1638"/>
      <c r="F596" s="1638"/>
      <c r="G596" s="288"/>
    </row>
    <row r="597" spans="1:7" ht="12.75">
      <c r="A597" s="33"/>
      <c r="B597" s="33"/>
      <c r="C597" s="14"/>
      <c r="D597" s="597"/>
      <c r="E597" s="282"/>
      <c r="F597" s="282"/>
      <c r="G597" s="288"/>
    </row>
    <row r="598" spans="1:7" ht="14.45" customHeight="1">
      <c r="A598" s="413"/>
      <c r="B598" s="950" t="s">
        <v>1530</v>
      </c>
      <c r="C598" s="14"/>
      <c r="D598" s="1588" t="s">
        <v>1610</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135</v>
      </c>
      <c r="C602" s="14"/>
      <c r="D602" s="1588" t="s">
        <v>1609</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1530</v>
      </c>
      <c r="D607" s="1588" t="s">
        <v>1611</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135</v>
      </c>
      <c r="C610" s="14"/>
      <c r="D610" s="1638" t="s">
        <v>1617</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1530</v>
      </c>
      <c r="C613" s="14"/>
      <c r="D613" s="1638" t="s">
        <v>1233</v>
      </c>
      <c r="E613" s="1638"/>
      <c r="F613" s="1638"/>
      <c r="G613" s="288"/>
    </row>
    <row r="614" spans="1:7" ht="12.75">
      <c r="A614" s="33"/>
      <c r="B614" s="33"/>
      <c r="C614" s="14"/>
      <c r="D614" s="282"/>
      <c r="E614" s="282"/>
      <c r="F614" s="282"/>
      <c r="G614" s="288"/>
    </row>
    <row r="615" spans="1:7" ht="12.75">
      <c r="A615" s="1589" t="s">
        <v>1550</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1549</v>
      </c>
      <c r="E617" s="1639"/>
      <c r="F617" s="1639"/>
    </row>
    <row r="618" spans="1:7" ht="12.75">
      <c r="A618" s="140"/>
      <c r="B618" s="140"/>
      <c r="C618" s="299"/>
      <c r="D618" s="1582" t="s">
        <v>1579</v>
      </c>
      <c r="E618" s="1582"/>
      <c r="F618" s="1582"/>
    </row>
    <row r="619" spans="1:7" ht="12.75">
      <c r="A619" s="984"/>
      <c r="B619" s="984"/>
      <c r="C619" s="299"/>
      <c r="D619" s="982"/>
      <c r="E619" s="982"/>
      <c r="F619" s="982"/>
    </row>
    <row r="620" spans="1:7" ht="14.25">
      <c r="A620" s="570"/>
      <c r="B620" s="950" t="s">
        <v>1530</v>
      </c>
      <c r="D620" s="1654" t="s">
        <v>1746</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1552</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1551</v>
      </c>
      <c r="E626" s="1580"/>
      <c r="F626" s="1580"/>
      <c r="G626" s="288"/>
    </row>
    <row r="627" spans="1:7" ht="12.75">
      <c r="A627" s="415"/>
      <c r="B627" s="415"/>
      <c r="C627" s="299"/>
      <c r="D627" s="1575" t="s">
        <v>1747</v>
      </c>
      <c r="E627" s="1575"/>
      <c r="F627" s="1575"/>
      <c r="G627" s="288"/>
    </row>
    <row r="628" spans="1:7" ht="12.75">
      <c r="A628" s="415"/>
      <c r="B628" s="415"/>
      <c r="C628" s="299"/>
      <c r="D628" s="282"/>
      <c r="E628" s="282"/>
      <c r="F628" s="282"/>
      <c r="G628" s="288"/>
    </row>
    <row r="629" spans="1:7" ht="14.25">
      <c r="A629" s="413"/>
      <c r="B629" s="413"/>
      <c r="C629" s="14"/>
      <c r="D629" s="1639" t="s">
        <v>955</v>
      </c>
      <c r="E629" s="1639"/>
      <c r="F629" s="1639"/>
      <c r="G629" s="288"/>
    </row>
    <row r="630" spans="1:7" ht="14.25">
      <c r="A630" s="413"/>
      <c r="B630" s="950" t="s">
        <v>1530</v>
      </c>
      <c r="C630" s="14"/>
      <c r="D630" s="1582" t="s">
        <v>1748</v>
      </c>
      <c r="E630" s="1582"/>
      <c r="F630" s="1582"/>
      <c r="G630" s="288"/>
    </row>
    <row r="631" spans="1:7" ht="14.25">
      <c r="A631" s="413"/>
      <c r="B631" s="413"/>
      <c r="C631" s="14"/>
      <c r="D631" s="287"/>
      <c r="E631" s="282"/>
      <c r="F631" s="282"/>
      <c r="G631" s="288"/>
    </row>
    <row r="632" spans="1:7" ht="14.25">
      <c r="A632" s="413"/>
      <c r="B632" s="950" t="s">
        <v>135</v>
      </c>
      <c r="C632" s="14"/>
      <c r="D632" s="1573" t="s">
        <v>1749</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135</v>
      </c>
      <c r="D635" s="1618" t="s">
        <v>2192</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135</v>
      </c>
      <c r="C638" s="14"/>
      <c r="D638" s="1582" t="s">
        <v>1750</v>
      </c>
      <c r="E638" s="1582"/>
      <c r="F638" s="1582"/>
      <c r="G638" s="288"/>
    </row>
    <row r="639" spans="1:7" ht="12.75">
      <c r="A639" s="418"/>
      <c r="B639" s="418"/>
      <c r="C639" s="303"/>
      <c r="D639" s="282"/>
      <c r="E639" s="282"/>
      <c r="F639" s="282"/>
      <c r="G639" s="288"/>
    </row>
    <row r="640" spans="1:7" ht="12.75">
      <c r="A640" s="1589" t="s">
        <v>1553</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1580</v>
      </c>
      <c r="E642" s="1659"/>
      <c r="F642" s="1659"/>
      <c r="G642" s="288"/>
    </row>
    <row r="643" spans="1:7" ht="12.75">
      <c r="A643" s="33"/>
      <c r="B643" s="33"/>
      <c r="C643" s="302"/>
      <c r="D643" s="6"/>
      <c r="E643" s="283"/>
      <c r="F643" s="283"/>
      <c r="G643" s="288"/>
    </row>
    <row r="644" spans="1:7" ht="14.25">
      <c r="A644" s="413"/>
      <c r="B644" s="950" t="s">
        <v>1530</v>
      </c>
      <c r="C644" s="302"/>
      <c r="D644" s="1660" t="s">
        <v>1751</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135</v>
      </c>
      <c r="C651" s="302"/>
      <c r="D651" s="1660" t="s">
        <v>1752</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135</v>
      </c>
      <c r="C654" s="302"/>
      <c r="D654" s="1628" t="s">
        <v>2049</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135</v>
      </c>
      <c r="C657" s="322"/>
      <c r="D657" s="1661" t="s">
        <v>1753</v>
      </c>
      <c r="E657" s="1661"/>
      <c r="F657" s="1661"/>
      <c r="G657" s="284"/>
    </row>
    <row r="658" spans="1:9" ht="12.75">
      <c r="A658" s="143"/>
      <c r="B658" s="143"/>
      <c r="C658" s="322"/>
      <c r="D658" s="286"/>
      <c r="E658" s="286"/>
      <c r="F658" s="286"/>
      <c r="G658" s="284"/>
      <c r="H658" s="404"/>
      <c r="I658" s="404"/>
    </row>
    <row r="659" spans="1:9" ht="12.75">
      <c r="A659" s="1589" t="s">
        <v>1555</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1554</v>
      </c>
      <c r="E661" s="1662"/>
      <c r="F661" s="1662"/>
      <c r="G661" s="284"/>
    </row>
    <row r="662" spans="1:9" ht="12.75">
      <c r="A662" s="415"/>
      <c r="B662" s="415"/>
      <c r="C662" s="299"/>
      <c r="D662" s="1648" t="s">
        <v>1581</v>
      </c>
      <c r="E662" s="1648"/>
      <c r="F662" s="1648"/>
      <c r="G662" s="284"/>
    </row>
    <row r="663" spans="1:9" ht="12.75">
      <c r="A663" s="415"/>
      <c r="B663" s="415"/>
      <c r="C663" s="299"/>
      <c r="D663" s="994"/>
      <c r="E663" s="994"/>
      <c r="F663" s="994"/>
      <c r="G663" s="284"/>
    </row>
    <row r="664" spans="1:9" ht="14.45" customHeight="1">
      <c r="A664" s="413"/>
      <c r="B664" s="950" t="s">
        <v>135</v>
      </c>
      <c r="C664" s="322"/>
      <c r="D664" s="1549" t="s">
        <v>2140</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85</v>
      </c>
      <c r="C671" s="405"/>
      <c r="D671" s="1636" t="s">
        <v>1606</v>
      </c>
      <c r="E671" s="1636"/>
      <c r="F671" s="1636"/>
      <c r="G671" s="284"/>
    </row>
    <row r="672" spans="1:9" ht="14.25" hidden="1">
      <c r="A672" s="570"/>
      <c r="B672" s="570"/>
      <c r="C672" s="405"/>
      <c r="D672" s="1656" t="s">
        <v>1782</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2139</v>
      </c>
      <c r="E677" s="1663"/>
      <c r="F677" s="1663"/>
      <c r="G677" s="284"/>
    </row>
    <row r="678" spans="1:7" ht="12.75">
      <c r="A678" s="143"/>
      <c r="B678" s="143"/>
      <c r="C678" s="322"/>
      <c r="D678" s="286"/>
      <c r="E678" s="286"/>
      <c r="F678" s="286"/>
      <c r="G678" s="284"/>
    </row>
    <row r="679" spans="1:7" ht="12.75">
      <c r="A679" s="1589" t="s">
        <v>1556</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855</v>
      </c>
      <c r="E681" s="1580"/>
      <c r="F681" s="1580"/>
      <c r="G681" s="284"/>
    </row>
    <row r="682" spans="1:7" ht="12.75">
      <c r="A682" s="418"/>
      <c r="B682" s="418"/>
      <c r="C682" s="303"/>
      <c r="D682" s="1580" t="s">
        <v>956</v>
      </c>
      <c r="E682" s="1580"/>
      <c r="F682" s="1580"/>
      <c r="G682" s="284"/>
    </row>
    <row r="683" spans="1:7" ht="12.75">
      <c r="A683" s="415"/>
      <c r="B683" s="415"/>
      <c r="C683" s="299"/>
      <c r="D683" s="1575" t="s">
        <v>1708</v>
      </c>
      <c r="E683" s="1575"/>
      <c r="F683" s="1575"/>
      <c r="G683" s="288"/>
    </row>
    <row r="684" spans="1:7" ht="14.25" customHeight="1">
      <c r="A684" s="415"/>
      <c r="B684" s="415"/>
      <c r="C684" s="299"/>
      <c r="D684" s="282"/>
      <c r="E684" s="282"/>
      <c r="F684" s="282"/>
      <c r="G684" s="288"/>
    </row>
    <row r="685" spans="1:7" ht="14.25">
      <c r="A685" s="413"/>
      <c r="B685" s="950" t="s">
        <v>1530</v>
      </c>
      <c r="C685" s="299"/>
      <c r="D685" s="1575" t="s">
        <v>1234</v>
      </c>
      <c r="E685" s="1575"/>
      <c r="F685" s="1575"/>
      <c r="G685" s="288"/>
    </row>
    <row r="686" spans="1:7" ht="12.75">
      <c r="A686" s="415"/>
      <c r="B686" s="415"/>
      <c r="C686" s="299"/>
      <c r="D686" s="1575" t="s">
        <v>1255</v>
      </c>
      <c r="E686" s="1575"/>
      <c r="F686" s="1575"/>
      <c r="G686" s="288"/>
    </row>
    <row r="687" spans="1:7" ht="12.75">
      <c r="A687" s="415"/>
      <c r="B687" s="415"/>
      <c r="C687" s="299"/>
      <c r="D687" s="282"/>
      <c r="E687" s="1643" t="s">
        <v>1713</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1530</v>
      </c>
      <c r="C690" s="299"/>
      <c r="D690" s="1573" t="s">
        <v>1710</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1530</v>
      </c>
      <c r="C694" s="299"/>
      <c r="D694" s="1575" t="s">
        <v>1299</v>
      </c>
      <c r="E694" s="1575"/>
      <c r="F694" s="1575"/>
      <c r="G694" s="288"/>
    </row>
    <row r="695" spans="1:7" ht="14.25">
      <c r="A695" s="413"/>
      <c r="B695" s="413"/>
      <c r="C695" s="299"/>
      <c r="D695" s="1575" t="s">
        <v>1255</v>
      </c>
      <c r="E695" s="1575"/>
      <c r="F695" s="1575"/>
      <c r="G695" s="288"/>
    </row>
    <row r="696" spans="1:7" ht="12.75">
      <c r="A696" s="415"/>
      <c r="B696" s="415"/>
      <c r="C696" s="299"/>
      <c r="D696" s="282"/>
      <c r="E696" s="1599" t="s">
        <v>1711</v>
      </c>
      <c r="F696" s="1599"/>
      <c r="G696" s="288"/>
    </row>
    <row r="697" spans="1:7" ht="12.75">
      <c r="A697" s="415"/>
      <c r="B697" s="415"/>
      <c r="C697" s="299"/>
      <c r="D697" s="6"/>
      <c r="E697" s="282"/>
      <c r="F697" s="282"/>
      <c r="G697" s="288"/>
    </row>
    <row r="698" spans="1:7" ht="14.25">
      <c r="A698" s="413"/>
      <c r="B698" s="950" t="s">
        <v>135</v>
      </c>
      <c r="C698" s="299"/>
      <c r="D698" s="1607" t="s">
        <v>1712</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135</v>
      </c>
      <c r="C705" s="299"/>
      <c r="D705" s="1606" t="s">
        <v>1954</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135</v>
      </c>
      <c r="C708" s="299"/>
      <c r="D708" s="1607" t="s">
        <v>1714</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135</v>
      </c>
      <c r="C721" s="415"/>
      <c r="D721" s="1607" t="s">
        <v>1718</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07" t="s">
        <v>1719</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06" t="s">
        <v>2193</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135</v>
      </c>
      <c r="C732" s="299"/>
      <c r="D732" s="1607" t="s">
        <v>1715</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135</v>
      </c>
      <c r="C736" s="299"/>
      <c r="D736" s="1573" t="s">
        <v>1717</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135</v>
      </c>
      <c r="C741" s="415"/>
      <c r="D741" s="1607" t="s">
        <v>1891</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1716</v>
      </c>
      <c r="E748" s="1655"/>
      <c r="F748" s="1655"/>
      <c r="G748" s="71"/>
      <c r="H748" s="886"/>
      <c r="I748" s="1086"/>
    </row>
    <row r="749" spans="1:9" s="50" customFormat="1" ht="12.75">
      <c r="A749" s="415"/>
      <c r="B749" s="415"/>
      <c r="C749" s="415"/>
      <c r="D749" s="891"/>
      <c r="E749" s="8"/>
      <c r="F749" s="8"/>
      <c r="G749" s="71"/>
      <c r="H749" s="886"/>
      <c r="I749" s="1086"/>
    </row>
    <row r="750" spans="1:9" ht="12.75">
      <c r="A750" s="1624" t="s">
        <v>1588</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1618</v>
      </c>
      <c r="E752" s="1608"/>
      <c r="F752" s="1608"/>
      <c r="G752" s="288"/>
      <c r="H752" s="404"/>
      <c r="I752" s="404"/>
    </row>
    <row r="753" spans="1:9" ht="12.75">
      <c r="A753" s="414"/>
      <c r="B753" s="414"/>
      <c r="C753" s="298"/>
      <c r="D753" s="1582" t="s">
        <v>1621</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1530</v>
      </c>
      <c r="C762" s="14"/>
      <c r="D762" s="1628" t="s">
        <v>2122</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135</v>
      </c>
      <c r="C767" s="689"/>
      <c r="D767" s="1625" t="s">
        <v>2123</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135</v>
      </c>
      <c r="D771" s="1617" t="s">
        <v>1620</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135</v>
      </c>
      <c r="D774" s="1618" t="s">
        <v>1980</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1793</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1794</v>
      </c>
      <c r="E780" s="1670"/>
      <c r="F780" s="1670"/>
      <c r="G780" s="288"/>
      <c r="H780" s="404"/>
      <c r="I780" s="404"/>
    </row>
    <row r="781" spans="1:9" ht="12.75">
      <c r="A781" s="107"/>
      <c r="B781" s="107"/>
      <c r="C781" s="302"/>
      <c r="D781" s="1671" t="s">
        <v>1795</v>
      </c>
      <c r="E781" s="1671"/>
      <c r="F781" s="1671"/>
      <c r="G781" s="288"/>
      <c r="H781" s="404"/>
      <c r="I781" s="404"/>
    </row>
    <row r="782" spans="1:9" ht="12.75">
      <c r="A782" s="107"/>
      <c r="B782" s="107"/>
      <c r="C782" s="302"/>
      <c r="D782" s="996"/>
      <c r="E782" s="996"/>
      <c r="F782" s="996"/>
      <c r="G782" s="288"/>
      <c r="H782" s="404"/>
      <c r="I782" s="404"/>
    </row>
    <row r="783" spans="1:9" ht="12.75">
      <c r="A783" s="107"/>
      <c r="B783" s="950" t="s">
        <v>1530</v>
      </c>
      <c r="C783" s="302"/>
      <c r="D783" s="1656" t="s">
        <v>1796</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135</v>
      </c>
      <c r="C787" s="303"/>
      <c r="D787" s="1656" t="s">
        <v>1797</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1" t="s">
        <v>1912</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56" t="s">
        <v>1798</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2306</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9"/>
      <c r="E803" s="1349"/>
      <c r="F803" s="1349"/>
      <c r="G803" s="572"/>
      <c r="H803" s="404"/>
      <c r="I803" s="404"/>
    </row>
    <row r="804" spans="1:9" ht="14.25">
      <c r="A804" s="413"/>
      <c r="B804" s="950" t="s">
        <v>135</v>
      </c>
      <c r="C804" s="322"/>
      <c r="D804" s="1656" t="s">
        <v>1800</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7"/>
      <c r="E810" s="1337"/>
      <c r="F810" s="1337"/>
      <c r="G810" s="572"/>
      <c r="H810" s="404"/>
      <c r="I810" s="404"/>
    </row>
    <row r="811" spans="1:9" ht="14.25">
      <c r="A811" s="413"/>
      <c r="B811" s="1338" t="s">
        <v>1530</v>
      </c>
      <c r="C811" s="322"/>
      <c r="D811" s="1591" t="s">
        <v>2124</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135</v>
      </c>
      <c r="C817" s="322"/>
      <c r="D817" s="1656" t="s">
        <v>1799</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1530</v>
      </c>
      <c r="C822" s="322"/>
      <c r="D822" s="1657" t="s">
        <v>1802</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135</v>
      </c>
      <c r="C829" s="322"/>
      <c r="D829" s="1656" t="s">
        <v>1801</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135</v>
      </c>
      <c r="C832" s="322"/>
      <c r="D832" s="1657" t="s">
        <v>1803</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2145</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1698</v>
      </c>
      <c r="E837" s="1608"/>
      <c r="F837" s="1608"/>
      <c r="H837" s="404"/>
      <c r="I837" s="404"/>
    </row>
    <row r="838" spans="1:9" ht="14.25">
      <c r="A838" s="413"/>
      <c r="B838" s="413"/>
      <c r="C838" s="14"/>
      <c r="D838" s="1572" t="s">
        <v>2142</v>
      </c>
      <c r="E838" s="1572"/>
      <c r="F838" s="1572"/>
      <c r="H838" s="404"/>
      <c r="I838" s="404"/>
    </row>
    <row r="839" spans="1:9" ht="14.25">
      <c r="A839" s="413"/>
      <c r="B839" s="413"/>
      <c r="C839" s="14"/>
      <c r="D839" s="1352"/>
      <c r="E839" s="1354"/>
      <c r="F839" s="1354"/>
      <c r="H839" s="404"/>
      <c r="I839" s="404"/>
    </row>
    <row r="840" spans="1:9" ht="12.75">
      <c r="A840" s="140"/>
      <c r="B840" s="950" t="s">
        <v>1530</v>
      </c>
      <c r="C840" s="322"/>
      <c r="D840" s="1573" t="s">
        <v>1624</v>
      </c>
      <c r="E840" s="1573"/>
      <c r="F840" s="1573"/>
      <c r="H840" s="404"/>
      <c r="I840" s="404"/>
    </row>
    <row r="841" spans="1:9" ht="12.75">
      <c r="A841" s="33"/>
      <c r="B841" s="33"/>
      <c r="C841" s="322"/>
      <c r="D841" s="6" t="s">
        <v>1593</v>
      </c>
      <c r="E841" s="1643" t="s">
        <v>1625</v>
      </c>
      <c r="F841" s="1643"/>
      <c r="H841" s="404"/>
      <c r="I841" s="404"/>
    </row>
    <row r="842" spans="1:9" ht="12.75">
      <c r="A842" s="33"/>
      <c r="B842" s="33"/>
      <c r="C842" s="322"/>
      <c r="D842" s="333"/>
      <c r="E842" s="282"/>
      <c r="F842" s="282"/>
      <c r="H842" s="404"/>
      <c r="I842" s="404"/>
    </row>
    <row r="843" spans="1:9" ht="12.75">
      <c r="A843" s="1034"/>
      <c r="B843" s="1033" t="s">
        <v>135</v>
      </c>
      <c r="C843" s="322"/>
      <c r="D843" s="1658" t="s">
        <v>1888</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1530</v>
      </c>
      <c r="C853" s="322"/>
      <c r="D853" s="1573" t="s">
        <v>1626</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135</v>
      </c>
      <c r="C857" s="405"/>
      <c r="D857" s="1666" t="s">
        <v>1627</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1653</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135</v>
      </c>
      <c r="C866" s="405"/>
      <c r="D866" s="1617" t="s">
        <v>1300</v>
      </c>
      <c r="E866" s="1617"/>
      <c r="F866" s="1617"/>
      <c r="H866" s="404"/>
      <c r="I866" s="404"/>
    </row>
    <row r="867" spans="1:9" ht="14.25">
      <c r="A867" s="570"/>
      <c r="B867" s="570"/>
      <c r="C867" s="405"/>
      <c r="D867" s="1617" t="s">
        <v>1301</v>
      </c>
      <c r="E867" s="1617"/>
      <c r="F867" s="1617"/>
      <c r="H867" s="404"/>
      <c r="I867" s="404"/>
    </row>
    <row r="868" spans="1:9" ht="14.25">
      <c r="A868" s="570"/>
      <c r="B868" s="570"/>
      <c r="C868" s="405"/>
      <c r="D868" s="330" t="s">
        <v>1592</v>
      </c>
      <c r="E868" s="1672" t="s">
        <v>1628</v>
      </c>
      <c r="F868" s="1672"/>
      <c r="H868" s="404"/>
      <c r="I868" s="404"/>
    </row>
    <row r="869" spans="1:9" ht="14.25">
      <c r="A869" s="570"/>
      <c r="B869" s="570"/>
      <c r="C869" s="405"/>
      <c r="D869" s="403"/>
      <c r="H869" s="404"/>
      <c r="I869" s="404"/>
    </row>
    <row r="870" spans="1:9" ht="14.25">
      <c r="A870" s="570"/>
      <c r="B870" s="950" t="s">
        <v>135</v>
      </c>
      <c r="C870" s="405"/>
      <c r="D870" s="1617" t="s">
        <v>1629</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1557</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1697</v>
      </c>
      <c r="E877" s="1580"/>
      <c r="F877" s="1580"/>
      <c r="G877" s="572"/>
      <c r="H877" s="404"/>
      <c r="I877" s="404"/>
    </row>
    <row r="878" spans="1:9" ht="12.75">
      <c r="A878" s="1022"/>
      <c r="B878" s="1022"/>
      <c r="C878" s="299"/>
      <c r="D878" s="1668" t="s">
        <v>2143</v>
      </c>
      <c r="E878" s="1669"/>
      <c r="F878" s="1669"/>
      <c r="G878" s="572"/>
      <c r="H878" s="404"/>
      <c r="I878" s="404"/>
    </row>
    <row r="879" spans="1:9" ht="12.75">
      <c r="A879" s="1022"/>
      <c r="B879" s="1022"/>
      <c r="C879" s="299"/>
      <c r="D879" s="1015"/>
      <c r="E879" s="1015"/>
      <c r="F879" s="1015"/>
      <c r="G879" s="572"/>
      <c r="H879" s="404"/>
      <c r="I879" s="404"/>
    </row>
    <row r="880" spans="1:9" ht="14.25">
      <c r="A880" s="413"/>
      <c r="B880" s="950" t="s">
        <v>1530</v>
      </c>
      <c r="C880" s="14"/>
      <c r="D880" s="1575" t="s">
        <v>1652</v>
      </c>
      <c r="E880" s="1575"/>
      <c r="F880" s="1575"/>
      <c r="G880" s="572"/>
      <c r="H880" s="404"/>
      <c r="I880" s="404"/>
    </row>
    <row r="881" spans="1:9" ht="12.75">
      <c r="A881" s="140"/>
      <c r="B881" s="140"/>
      <c r="C881" s="14"/>
      <c r="D881" s="6" t="s">
        <v>1592</v>
      </c>
      <c r="E881" s="1667" t="s">
        <v>1628</v>
      </c>
      <c r="F881" s="1667"/>
      <c r="G881" s="572"/>
    </row>
    <row r="882" spans="1:9" ht="12.75">
      <c r="A882" s="140"/>
      <c r="B882" s="140"/>
      <c r="C882" s="14"/>
      <c r="D882" s="287"/>
      <c r="E882" s="296"/>
      <c r="F882" s="296"/>
      <c r="G882" s="572"/>
      <c r="H882" s="404"/>
      <c r="I882" s="404"/>
    </row>
    <row r="883" spans="1:9" ht="14.25">
      <c r="A883" s="413"/>
      <c r="B883" s="950" t="s">
        <v>1530</v>
      </c>
      <c r="C883" s="14"/>
      <c r="D883" s="1572" t="s">
        <v>2146</v>
      </c>
      <c r="E883" s="1627"/>
      <c r="F883" s="1627"/>
    </row>
    <row r="884" spans="1:9" ht="12.6"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135</v>
      </c>
      <c r="D886" s="1664" t="s">
        <v>1892</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1653</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135</v>
      </c>
      <c r="C895" s="14"/>
      <c r="D895" s="1582" t="s">
        <v>1300</v>
      </c>
      <c r="E895" s="1582"/>
      <c r="F895" s="1582"/>
      <c r="G895" s="572"/>
      <c r="H895" s="404"/>
      <c r="I895" s="404"/>
    </row>
    <row r="896" spans="1:9" ht="14.25">
      <c r="A896" s="413"/>
      <c r="B896" s="413"/>
      <c r="C896" s="14"/>
      <c r="D896" s="1582" t="s">
        <v>1301</v>
      </c>
      <c r="E896" s="1582"/>
      <c r="F896" s="1582"/>
      <c r="G896" s="572"/>
      <c r="H896" s="404"/>
      <c r="I896" s="404"/>
    </row>
    <row r="897" spans="1:9" ht="14.25">
      <c r="A897" s="413"/>
      <c r="B897" s="413"/>
      <c r="C897" s="14"/>
      <c r="D897" s="6" t="s">
        <v>1654</v>
      </c>
      <c r="E897" s="1665" t="s">
        <v>1628</v>
      </c>
      <c r="F897" s="1665"/>
      <c r="G897" s="572"/>
      <c r="H897" s="404"/>
      <c r="I897" s="404"/>
    </row>
    <row r="898" spans="1:9" ht="14.25">
      <c r="A898" s="413"/>
      <c r="B898" s="413"/>
      <c r="C898" s="14"/>
      <c r="D898" s="287"/>
      <c r="E898" s="296"/>
      <c r="F898" s="296"/>
      <c r="G898" s="572"/>
      <c r="H898" s="404"/>
      <c r="I898" s="404"/>
    </row>
    <row r="899" spans="1:9" ht="14.25">
      <c r="A899" s="413"/>
      <c r="B899" s="950" t="s">
        <v>135</v>
      </c>
      <c r="C899" s="14"/>
      <c r="D899" s="1573" t="s">
        <v>1629</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1558</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1840</v>
      </c>
      <c r="E906" s="1636"/>
      <c r="F906" s="1636"/>
      <c r="G906" s="572"/>
      <c r="H906" s="404"/>
      <c r="I906" s="404"/>
    </row>
    <row r="907" spans="1:9" ht="12.75">
      <c r="A907" s="414"/>
      <c r="B907" s="414"/>
      <c r="C907" s="298"/>
      <c r="D907" s="1575" t="s">
        <v>1651</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4" t="s">
        <v>1850</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1530</v>
      </c>
      <c r="C915" s="571"/>
      <c r="D915" s="1672" t="s">
        <v>1950</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72" t="s">
        <v>1951</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631" t="s">
        <v>1851</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2" t="s">
        <v>1852</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1530</v>
      </c>
      <c r="C949" s="14"/>
      <c r="D949" s="1573" t="s">
        <v>1854</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1843</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1530</v>
      </c>
      <c r="C954" s="322"/>
      <c r="D954" s="1588" t="s">
        <v>1842</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88" t="s">
        <v>1841</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135</v>
      </c>
      <c r="C967" s="322"/>
      <c r="D967" s="1588" t="s">
        <v>1844</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88" t="s">
        <v>1845</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135</v>
      </c>
      <c r="C977" s="322"/>
      <c r="D977" s="1588" t="s">
        <v>1846</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135</v>
      </c>
      <c r="C980" s="322"/>
      <c r="D980" s="1573" t="s">
        <v>1847</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135</v>
      </c>
      <c r="C983" s="322"/>
      <c r="D983" s="1673" t="s">
        <v>1999</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135</v>
      </c>
      <c r="C988" s="322"/>
      <c r="D988" s="1575" t="s">
        <v>1235</v>
      </c>
      <c r="E988" s="1575"/>
      <c r="F988" s="1575"/>
      <c r="G988" s="572"/>
      <c r="H988" s="404"/>
      <c r="I988" s="404"/>
    </row>
    <row r="989" spans="1:9" ht="12.75">
      <c r="A989" s="355"/>
      <c r="B989" s="355"/>
      <c r="C989" s="322"/>
      <c r="D989" s="287"/>
      <c r="E989" s="296"/>
      <c r="F989" s="296"/>
      <c r="G989" s="572"/>
      <c r="H989" s="404"/>
      <c r="I989" s="404"/>
    </row>
    <row r="990" spans="1:9" ht="12.75">
      <c r="A990" s="355"/>
      <c r="B990" s="950" t="s">
        <v>135</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1655</v>
      </c>
      <c r="E992" s="1580"/>
      <c r="F992" s="1580"/>
      <c r="G992" s="572"/>
      <c r="H992" s="404"/>
      <c r="I992" s="404"/>
    </row>
    <row r="993" spans="1:9" ht="12.75">
      <c r="A993" s="355"/>
      <c r="B993" s="14"/>
      <c r="C993" s="322"/>
      <c r="D993" s="1017"/>
      <c r="E993" s="296"/>
      <c r="F993" s="296"/>
      <c r="G993" s="572"/>
      <c r="H993" s="404"/>
      <c r="I993" s="404"/>
    </row>
    <row r="994" spans="1:9" ht="14.25">
      <c r="A994" s="413"/>
      <c r="B994" s="950" t="s">
        <v>1530</v>
      </c>
      <c r="C994" s="322"/>
      <c r="D994" s="1617" t="s">
        <v>1848</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135</v>
      </c>
      <c r="C1000" s="322"/>
      <c r="D1000" s="1617" t="s">
        <v>1849</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1656</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1530</v>
      </c>
      <c r="C1008" s="322"/>
      <c r="D1008" s="1617" t="s">
        <v>1855</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135</v>
      </c>
      <c r="C1012" s="322"/>
      <c r="D1012" s="1617" t="s">
        <v>1856</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1657</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1530</v>
      </c>
      <c r="C1018" s="322"/>
      <c r="D1018" s="1621" t="s">
        <v>1858</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1" t="s">
        <v>1857</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5" t="s">
        <v>1859</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1" t="s">
        <v>1860</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1" t="s">
        <v>1861</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1" t="s">
        <v>1658</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1" t="s">
        <v>1659</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1530</v>
      </c>
      <c r="C1046" s="405"/>
      <c r="D1046" s="1622" t="s">
        <v>1246</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1660</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1530</v>
      </c>
      <c r="C1060" s="322"/>
      <c r="D1060" s="1573" t="s">
        <v>1862</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3" t="s">
        <v>1863</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135</v>
      </c>
      <c r="C1070" s="322"/>
      <c r="D1070" s="1641" t="s">
        <v>1864</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135</v>
      </c>
      <c r="C1074" s="680"/>
      <c r="D1074" s="1642" t="s">
        <v>1865</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1661</v>
      </c>
      <c r="E1078" s="1580"/>
      <c r="F1078" s="1580"/>
      <c r="G1078" s="572"/>
    </row>
    <row r="1079" spans="1:7" ht="12.75">
      <c r="A1079" s="14"/>
      <c r="B1079" s="14"/>
      <c r="C1079" s="322"/>
      <c r="D1079" s="1017"/>
      <c r="E1079" s="296"/>
      <c r="F1079" s="296"/>
      <c r="G1079" s="572"/>
    </row>
    <row r="1080" spans="1:7" ht="12.75">
      <c r="A1080" s="355"/>
      <c r="B1080" s="950" t="s">
        <v>135</v>
      </c>
      <c r="C1080" s="322"/>
      <c r="D1080" s="1617" t="s">
        <v>1866</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135</v>
      </c>
      <c r="C1084" s="322"/>
      <c r="D1084" s="1617" t="s">
        <v>1867</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1237</v>
      </c>
      <c r="E1088" s="1580"/>
      <c r="F1088" s="1580"/>
      <c r="G1088" s="572"/>
    </row>
    <row r="1089" spans="1:7" ht="12.75">
      <c r="A1089" s="355"/>
      <c r="B1089" s="355"/>
      <c r="C1089" s="322"/>
      <c r="D1089" s="1575" t="s">
        <v>1662</v>
      </c>
      <c r="E1089" s="1575"/>
      <c r="F1089" s="1575"/>
      <c r="G1089" s="572"/>
    </row>
    <row r="1090" spans="1:7" ht="12.75">
      <c r="A1090" s="355"/>
      <c r="B1090" s="355"/>
      <c r="C1090" s="322"/>
      <c r="D1090" s="1018"/>
      <c r="E1090" s="296"/>
      <c r="F1090" s="296"/>
      <c r="G1090" s="572"/>
    </row>
    <row r="1091" spans="1:7" ht="14.25">
      <c r="A1091" s="413"/>
      <c r="B1091" s="950" t="s">
        <v>135</v>
      </c>
      <c r="C1091" s="322"/>
      <c r="D1091" s="1573" t="s">
        <v>1868</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135</v>
      </c>
      <c r="C1094" s="322"/>
      <c r="D1094" s="1573" t="s">
        <v>1869</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1663</v>
      </c>
      <c r="E1097" s="1580"/>
      <c r="F1097" s="1580"/>
      <c r="G1097" s="572"/>
    </row>
    <row r="1098" spans="1:7" ht="12.75">
      <c r="A1098" s="355"/>
      <c r="B1098" s="355"/>
      <c r="C1098" s="322"/>
      <c r="D1098" s="1017"/>
      <c r="E1098" s="296"/>
      <c r="F1098" s="296"/>
      <c r="G1098" s="572"/>
    </row>
    <row r="1099" spans="1:7" ht="14.25">
      <c r="A1099" s="413"/>
      <c r="B1099" s="950" t="s">
        <v>1530</v>
      </c>
      <c r="C1099" s="322"/>
      <c r="D1099" s="1573" t="s">
        <v>1870</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135</v>
      </c>
      <c r="C1107" s="322"/>
      <c r="D1107" s="1573" t="s">
        <v>1871</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6" customHeight="1">
      <c r="A1115" s="355"/>
      <c r="B1115" s="1134" t="s">
        <v>135</v>
      </c>
      <c r="C1115" s="322"/>
      <c r="D1115" s="1644" t="s">
        <v>2000</v>
      </c>
      <c r="E1115" s="1641"/>
      <c r="F1115" s="1641"/>
      <c r="G1115" s="572"/>
    </row>
    <row r="1116" spans="1:7" ht="12.6"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1664</v>
      </c>
      <c r="E1119" s="1580"/>
      <c r="F1119" s="1580"/>
    </row>
    <row r="1120" spans="1:7" ht="12.75">
      <c r="A1120" s="1022"/>
      <c r="B1120" s="1022"/>
      <c r="C1120" s="14"/>
      <c r="D1120" s="1017"/>
      <c r="E1120" s="282"/>
      <c r="F1120" s="282"/>
    </row>
    <row r="1121" spans="1:7" ht="14.25">
      <c r="A1121" s="413"/>
      <c r="B1121" s="950" t="s">
        <v>1530</v>
      </c>
      <c r="C1121" s="14"/>
      <c r="D1121" s="1617" t="s">
        <v>1872</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135</v>
      </c>
      <c r="C1124" s="14"/>
      <c r="D1124" s="1617" t="s">
        <v>1873</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1665</v>
      </c>
      <c r="E1127" s="1580"/>
      <c r="F1127" s="1580"/>
    </row>
    <row r="1128" spans="1:7" ht="12.75">
      <c r="A1128" s="1022"/>
      <c r="B1128" s="1022"/>
      <c r="C1128" s="14"/>
      <c r="D1128" s="1017"/>
      <c r="E1128" s="282"/>
      <c r="F1128" s="282"/>
    </row>
    <row r="1129" spans="1:7" ht="14.25">
      <c r="A1129" s="413"/>
      <c r="B1129" s="950" t="s">
        <v>135</v>
      </c>
      <c r="C1129" s="14"/>
      <c r="D1129" s="1575" t="s">
        <v>1874</v>
      </c>
      <c r="E1129" s="1575"/>
      <c r="F1129" s="1575"/>
    </row>
    <row r="1130" spans="1:7" ht="12.75">
      <c r="A1130" s="140"/>
      <c r="B1130" s="140"/>
      <c r="C1130" s="14"/>
      <c r="D1130" s="282"/>
      <c r="E1130" s="282"/>
      <c r="F1130" s="282"/>
    </row>
    <row r="1131" spans="1:7" ht="14.25">
      <c r="A1131" s="413"/>
      <c r="B1131" s="950" t="s">
        <v>135</v>
      </c>
      <c r="C1131" s="14"/>
      <c r="D1131" s="1573" t="s">
        <v>1875</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1885</v>
      </c>
      <c r="E1134" s="1580"/>
      <c r="F1134" s="1580"/>
      <c r="G1134" s="2"/>
    </row>
    <row r="1135" spans="1:7" ht="12.75">
      <c r="A1135" s="1028"/>
      <c r="B1135" s="1028"/>
      <c r="C1135" s="14"/>
      <c r="D1135" s="1027"/>
      <c r="E1135" s="282"/>
      <c r="F1135" s="282"/>
      <c r="G1135" s="2"/>
    </row>
    <row r="1136" spans="1:7" ht="14.45" customHeight="1">
      <c r="A1136" s="413"/>
      <c r="B1136" s="1029" t="s">
        <v>135</v>
      </c>
      <c r="C1136" s="14"/>
      <c r="D1136" s="1572" t="s">
        <v>1981</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1559</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1876</v>
      </c>
      <c r="E1153" s="1580"/>
      <c r="F1153" s="1580"/>
    </row>
    <row r="1154" spans="1:7" ht="12.75">
      <c r="A1154" s="414"/>
      <c r="B1154" s="414"/>
      <c r="C1154" s="298"/>
      <c r="D1154" s="1677" t="s">
        <v>1669</v>
      </c>
      <c r="E1154" s="1575"/>
      <c r="F1154" s="1575"/>
    </row>
    <row r="1155" spans="1:7" ht="12.75">
      <c r="A1155" s="414"/>
      <c r="B1155" s="414"/>
      <c r="C1155" s="298"/>
      <c r="D1155" s="282"/>
      <c r="E1155" s="282"/>
      <c r="F1155" s="296"/>
      <c r="G1155" s="2"/>
    </row>
    <row r="1156" spans="1:7" ht="13.7" customHeight="1">
      <c r="A1156" s="140"/>
      <c r="B1156" s="950" t="s">
        <v>1530</v>
      </c>
      <c r="C1156" s="14"/>
      <c r="D1156" s="1643" t="s">
        <v>1982</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135</v>
      </c>
      <c r="C1164" s="299"/>
      <c r="D1164" s="1617" t="s">
        <v>1886</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135</v>
      </c>
      <c r="C1169" s="299"/>
      <c r="D1169" s="1618" t="s">
        <v>1983</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1530</v>
      </c>
      <c r="C1172" s="14"/>
      <c r="D1172" s="1575" t="s">
        <v>1877</v>
      </c>
      <c r="E1172" s="1575"/>
      <c r="F1172" s="1575"/>
      <c r="G1172" s="2"/>
    </row>
    <row r="1173" spans="1:7" ht="12.75">
      <c r="A1173" s="140"/>
      <c r="B1173" s="140"/>
      <c r="C1173" s="14"/>
      <c r="D1173" s="282"/>
      <c r="E1173" s="282"/>
      <c r="F1173" s="282"/>
      <c r="G1173" s="2"/>
    </row>
    <row r="1174" spans="1:7" ht="14.25">
      <c r="A1174" s="413"/>
      <c r="B1174" s="950" t="s">
        <v>135</v>
      </c>
      <c r="C1174" s="14"/>
      <c r="D1174" s="1575" t="s">
        <v>1878</v>
      </c>
      <c r="E1174" s="1575"/>
      <c r="F1174" s="1575"/>
      <c r="G1174" s="2"/>
    </row>
    <row r="1175" spans="1:7" ht="12.75">
      <c r="A1175" s="140"/>
      <c r="B1175" s="140"/>
      <c r="C1175" s="14"/>
      <c r="D1175" s="287"/>
      <c r="E1175" s="282"/>
      <c r="F1175" s="282"/>
      <c r="G1175" s="2"/>
    </row>
    <row r="1176" spans="1:7" ht="14.25">
      <c r="A1176" s="413"/>
      <c r="B1176" s="950" t="s">
        <v>1530</v>
      </c>
      <c r="C1176" s="14"/>
      <c r="D1176" s="1575" t="s">
        <v>1879</v>
      </c>
      <c r="E1176" s="1575"/>
      <c r="F1176" s="1575"/>
      <c r="G1176" s="2"/>
    </row>
    <row r="1177" spans="1:7" ht="12.75">
      <c r="A1177" s="140"/>
      <c r="B1177" s="140"/>
      <c r="C1177" s="14"/>
      <c r="D1177" s="287"/>
      <c r="E1177" s="282"/>
      <c r="F1177" s="282"/>
      <c r="G1177" s="2"/>
    </row>
    <row r="1178" spans="1:7" ht="14.25">
      <c r="A1178" s="413"/>
      <c r="B1178" s="950" t="s">
        <v>135</v>
      </c>
      <c r="C1178" s="14"/>
      <c r="D1178" s="1573" t="s">
        <v>1880</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135</v>
      </c>
      <c r="C1181" s="465"/>
      <c r="D1181" s="1626" t="s">
        <v>1881</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135</v>
      </c>
      <c r="C1184" s="465"/>
      <c r="D1184" s="1676" t="s">
        <v>1882</v>
      </c>
      <c r="E1184" s="1676"/>
      <c r="F1184" s="1676"/>
      <c r="G1184" s="708"/>
    </row>
    <row r="1185" spans="1:7" s="707" customFormat="1" ht="12.75">
      <c r="A1185" s="465"/>
      <c r="B1185" s="465"/>
      <c r="C1185" s="465"/>
      <c r="D1185" s="466"/>
      <c r="E1185" s="467"/>
      <c r="F1185" s="467"/>
      <c r="G1185" s="708"/>
    </row>
    <row r="1186" spans="1:7" ht="14.25">
      <c r="A1186" s="413"/>
      <c r="B1186" s="950" t="s">
        <v>135</v>
      </c>
      <c r="C1186" s="14"/>
      <c r="D1186" s="1575" t="s">
        <v>1883</v>
      </c>
      <c r="E1186" s="1575"/>
      <c r="F1186" s="1575"/>
    </row>
    <row r="1187" spans="1:7" ht="14.25">
      <c r="A1187" s="413"/>
      <c r="B1187" s="413"/>
      <c r="C1187" s="14"/>
      <c r="D1187" s="287"/>
      <c r="E1187" s="282"/>
      <c r="F1187" s="282"/>
    </row>
    <row r="1188" spans="1:7" ht="14.25">
      <c r="A1188" s="413"/>
      <c r="B1188" s="950" t="s">
        <v>135</v>
      </c>
      <c r="C1188" s="14"/>
      <c r="D1188" s="1573" t="s">
        <v>1884</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2307</v>
      </c>
      <c r="B1191" s="1589"/>
      <c r="C1191" s="1589"/>
      <c r="D1191" s="1589"/>
      <c r="E1191" s="1589"/>
      <c r="F1191" s="1589"/>
      <c r="G1191" s="1589"/>
    </row>
    <row r="1192" spans="1:7" ht="12.75">
      <c r="A1192" s="140"/>
      <c r="B1192" s="140"/>
      <c r="C1192" s="14"/>
      <c r="D1192" s="282"/>
      <c r="E1192" s="282"/>
      <c r="F1192" s="282"/>
    </row>
    <row r="1193" spans="1:7" ht="12.75">
      <c r="A1193" s="1589" t="s">
        <v>1560</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1689</v>
      </c>
      <c r="E1195" s="1636"/>
      <c r="F1195" s="1636"/>
    </row>
    <row r="1196" spans="1:7" ht="12.75">
      <c r="A1196" s="150"/>
      <c r="B1196" s="150"/>
      <c r="D1196" s="1637" t="s">
        <v>2185</v>
      </c>
      <c r="E1196" s="1637"/>
      <c r="F1196" s="1637"/>
    </row>
    <row r="1197" spans="1:7" ht="12.75">
      <c r="A1197" s="430"/>
      <c r="B1197" s="430"/>
      <c r="C1197" s="406"/>
    </row>
    <row r="1198" spans="1:7" ht="14.25">
      <c r="A1198" s="413"/>
      <c r="B1198" s="413"/>
      <c r="C1198" s="299"/>
      <c r="D1198" s="1636" t="s">
        <v>1690</v>
      </c>
      <c r="E1198" s="1636"/>
      <c r="F1198" s="1636"/>
    </row>
    <row r="1199" spans="1:7" ht="12.75">
      <c r="A1199" s="140"/>
      <c r="B1199" s="950" t="s">
        <v>1530</v>
      </c>
      <c r="C1199" s="14"/>
      <c r="D1199" s="1640" t="s">
        <v>1691</v>
      </c>
      <c r="E1199" s="1640"/>
      <c r="F1199" s="1640"/>
    </row>
    <row r="1200" spans="1:7" ht="12.75">
      <c r="A1200" s="140"/>
      <c r="B1200" s="140"/>
      <c r="C1200" s="14"/>
      <c r="D1200" s="1637" t="s">
        <v>2186</v>
      </c>
      <c r="E1200" s="1637"/>
      <c r="F1200" s="1637"/>
    </row>
    <row r="1201" spans="1:7" ht="12.75">
      <c r="A1201" s="150"/>
      <c r="B1201" s="150"/>
      <c r="G1201" s="2"/>
    </row>
    <row r="1202" spans="1:7" ht="12.75" customHeight="1">
      <c r="A1202" s="150"/>
      <c r="B1202" s="1313" t="s">
        <v>135</v>
      </c>
      <c r="D1202" s="1591" t="s">
        <v>2075</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1562</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1561</v>
      </c>
      <c r="E1208" s="1634"/>
      <c r="F1208" s="1634"/>
      <c r="G1208" s="288"/>
    </row>
    <row r="1209" spans="1:7" ht="12.75" customHeight="1">
      <c r="A1209" s="76"/>
      <c r="B1209" s="76"/>
      <c r="C1209" s="285"/>
      <c r="D1209" s="1635" t="s">
        <v>1571</v>
      </c>
      <c r="E1209" s="1635"/>
      <c r="F1209" s="1635"/>
      <c r="G1209" s="288"/>
    </row>
    <row r="1210" spans="1:7" ht="12.75" customHeight="1">
      <c r="A1210" s="76"/>
      <c r="B1210" s="76"/>
      <c r="C1210" s="285"/>
      <c r="D1210" s="288"/>
      <c r="E1210" s="288"/>
      <c r="F1210" s="288"/>
      <c r="G1210" s="288"/>
    </row>
    <row r="1211" spans="1:7" ht="14.25">
      <c r="A1211" s="413"/>
      <c r="B1211" s="950" t="s">
        <v>135</v>
      </c>
      <c r="C1211" s="14"/>
      <c r="D1211" s="1582" t="s">
        <v>1124</v>
      </c>
      <c r="E1211" s="1582"/>
      <c r="F1211" s="1582"/>
    </row>
    <row r="1212" spans="1:7" ht="12.75">
      <c r="A1212" s="140"/>
      <c r="B1212" s="140"/>
      <c r="C1212" s="14"/>
      <c r="D1212" s="1575" t="s">
        <v>1255</v>
      </c>
      <c r="E1212" s="1575"/>
      <c r="F1212" s="1575"/>
    </row>
    <row r="1213" spans="1:7" ht="12.75">
      <c r="A1213" s="140"/>
      <c r="B1213" s="140"/>
      <c r="C1213" s="14"/>
      <c r="D1213" s="282"/>
      <c r="E1213" s="1599" t="s">
        <v>1692</v>
      </c>
      <c r="F1213" s="1599"/>
    </row>
    <row r="1214" spans="1:7" ht="12.75">
      <c r="A1214" s="140"/>
      <c r="B1214" s="140"/>
      <c r="C1214" s="14"/>
      <c r="D1214" s="6"/>
      <c r="E1214" s="282"/>
      <c r="F1214" s="282"/>
    </row>
    <row r="1215" spans="1:7" ht="12.75">
      <c r="A1215" s="140"/>
      <c r="B1215" s="140"/>
      <c r="C1215" s="14"/>
      <c r="D1215" s="1633" t="s">
        <v>1406</v>
      </c>
      <c r="E1215" s="1633"/>
      <c r="F1215" s="1633"/>
    </row>
    <row r="1216" spans="1:7" ht="12.75">
      <c r="A1216" s="140"/>
      <c r="B1216" s="950" t="s">
        <v>135</v>
      </c>
      <c r="C1216" s="140"/>
      <c r="D1216" s="1573" t="s">
        <v>1693</v>
      </c>
      <c r="E1216" s="1573"/>
      <c r="F1216" s="1573"/>
      <c r="G1216" s="2"/>
    </row>
    <row r="1217" spans="1:7" ht="12.75">
      <c r="A1217" s="140"/>
      <c r="B1217" s="140"/>
      <c r="C1217" s="14"/>
      <c r="D1217" s="1573"/>
      <c r="E1217" s="1573"/>
      <c r="F1217" s="1573"/>
      <c r="G1217" s="2"/>
    </row>
    <row r="1218" spans="1:7" ht="12.75">
      <c r="A1218" s="140"/>
      <c r="B1218" s="140"/>
      <c r="C1218" s="14"/>
      <c r="D1218" s="810" t="s">
        <v>1409</v>
      </c>
      <c r="E1218" s="2"/>
      <c r="F1218" s="2"/>
      <c r="G1218" s="2"/>
    </row>
    <row r="1219" spans="1:7" ht="13.7" customHeight="1">
      <c r="A1219" s="140"/>
      <c r="B1219" s="140"/>
      <c r="C1219" s="14"/>
      <c r="D1219" s="1573" t="s">
        <v>1694</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1127</v>
      </c>
      <c r="E1223" s="1599"/>
      <c r="F1223" s="1599"/>
      <c r="G1223" s="2"/>
    </row>
    <row r="1224" spans="1:7" ht="12.75">
      <c r="A1224" s="140"/>
      <c r="B1224" s="950" t="s">
        <v>135</v>
      </c>
      <c r="C1224" s="140"/>
      <c r="D1224" s="1582" t="s">
        <v>1407</v>
      </c>
      <c r="E1224" s="1582"/>
      <c r="F1224" s="1582"/>
      <c r="G1224" s="2"/>
    </row>
    <row r="1225" spans="1:7" ht="12.75">
      <c r="A1225" s="140"/>
      <c r="B1225" s="140"/>
      <c r="C1225" s="14"/>
      <c r="D1225" s="282"/>
      <c r="E1225" s="2"/>
      <c r="F1225" s="2"/>
      <c r="G1225" s="2"/>
    </row>
    <row r="1226" spans="1:7" ht="12.75">
      <c r="A1226" s="140"/>
      <c r="B1226" s="140"/>
      <c r="C1226" s="14"/>
      <c r="D1226" s="1605" t="s">
        <v>1408</v>
      </c>
      <c r="E1226" s="1605"/>
      <c r="F1226" s="1605"/>
      <c r="G1226" s="2"/>
    </row>
    <row r="1227" spans="1:7" ht="12.75">
      <c r="A1227" s="140"/>
      <c r="B1227" s="140"/>
      <c r="C1227" s="14"/>
      <c r="D1227" s="6" t="s">
        <v>1125</v>
      </c>
      <c r="E1227" s="2"/>
      <c r="F1227" s="2"/>
      <c r="G1227" s="2"/>
    </row>
    <row r="1228" spans="1:7" ht="14.45" customHeight="1">
      <c r="A1228" s="413"/>
      <c r="B1228" s="950" t="s">
        <v>135</v>
      </c>
      <c r="C1228" s="140"/>
      <c r="D1228" s="1573" t="s">
        <v>1695</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3" t="s">
        <v>1696</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1604</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1605</v>
      </c>
      <c r="E1241" s="1619"/>
      <c r="F1241" s="1619"/>
      <c r="G1241" s="288"/>
    </row>
    <row r="1242" spans="1:7" ht="12.75">
      <c r="A1242" s="419"/>
      <c r="B1242" s="419"/>
      <c r="C1242" s="407"/>
      <c r="D1242" s="1620" t="s">
        <v>1622</v>
      </c>
      <c r="E1242" s="1620"/>
      <c r="F1242" s="1620"/>
      <c r="G1242" s="408"/>
    </row>
    <row r="1243" spans="1:7" ht="10.5" customHeight="1">
      <c r="A1243" s="150"/>
      <c r="B1243" s="150"/>
    </row>
    <row r="1244" spans="1:7" ht="14.25">
      <c r="A1244" s="413"/>
      <c r="B1244" s="950" t="s">
        <v>135</v>
      </c>
      <c r="D1244" s="1582" t="s">
        <v>1256</v>
      </c>
      <c r="E1244" s="1582"/>
      <c r="F1244" s="1582"/>
    </row>
    <row r="1245" spans="1:7" ht="12.75">
      <c r="A1245" s="150"/>
      <c r="B1245" s="150"/>
      <c r="D1245" s="282"/>
      <c r="E1245" s="1605" t="s">
        <v>1531</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130" zoomScaleNormal="130" zoomScaleSheetLayoutView="100" workbookViewId="0">
      <selection activeCell="AL416" sqref="AL41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867</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2245</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2.75">
      <c r="A11" s="2012" t="s">
        <v>2368</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2.75">
      <c r="A12" s="1545" t="s">
        <v>2135</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3" t="s">
        <v>2369</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868</v>
      </c>
      <c r="C17" s="8"/>
      <c r="D17" s="8"/>
      <c r="E17" s="8"/>
      <c r="F17" s="8"/>
      <c r="G17" s="8"/>
      <c r="H17" s="1692" t="s">
        <v>2370</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4" t="s">
        <v>1492</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6">
        <f>ROUND('Basis &amp; Credits'!AB55,0)</f>
        <v>1338479</v>
      </c>
      <c r="N25" s="1996"/>
      <c r="O25" s="1996"/>
      <c r="P25" s="1996"/>
      <c r="Q25" s="1996"/>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6">
        <f>'Basis &amp; Credits'!AB76</f>
        <v>0</v>
      </c>
      <c r="N27" s="1996"/>
      <c r="O27" s="1996"/>
      <c r="P27" s="1996"/>
      <c r="Q27" s="1996"/>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86" t="s">
        <v>530</v>
      </c>
      <c r="P33" s="1686"/>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0"/>
      <c r="H128" s="1800"/>
      <c r="I128" s="72" t="s">
        <v>460</v>
      </c>
      <c r="J128" s="72"/>
      <c r="L128" s="1851" t="s">
        <v>2372</v>
      </c>
      <c r="M128" s="1852"/>
      <c r="N128" s="1852"/>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1" t="s">
        <v>123</v>
      </c>
      <c r="D130" s="1852"/>
      <c r="E130" s="1852"/>
      <c r="F130" s="1852"/>
      <c r="G130" s="1852"/>
      <c r="H130" s="1852"/>
      <c r="I130" s="1852"/>
      <c r="J130" s="1852"/>
      <c r="K130" s="1852"/>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2373</v>
      </c>
      <c r="Z131" s="1684"/>
      <c r="AA131" s="1684"/>
      <c r="AB131" s="1684"/>
      <c r="AC131" s="1684"/>
      <c r="AD131" s="1684"/>
      <c r="AE131" s="1684"/>
      <c r="AF131" s="1684"/>
      <c r="AG131" s="1684"/>
      <c r="AH131" s="1684"/>
      <c r="AI131" s="1684"/>
      <c r="AJ131" s="1684"/>
      <c r="AK131" s="16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2374</v>
      </c>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2" t="s">
        <v>2371</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85</v>
      </c>
    </row>
    <row r="157" spans="1:72" ht="12.75" customHeight="1">
      <c r="D157" s="734" t="s">
        <v>601</v>
      </c>
      <c r="F157" s="42"/>
      <c r="G157" s="42"/>
      <c r="H157" s="42"/>
      <c r="I157" s="42"/>
      <c r="J157" s="42"/>
      <c r="K157" s="42"/>
      <c r="L157" s="42"/>
      <c r="M157" s="42"/>
      <c r="N157" s="42"/>
      <c r="O157" s="1693" t="s">
        <v>2375</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774</v>
      </c>
      <c r="BN157" s="47" t="s">
        <v>470</v>
      </c>
      <c r="BT157" s="16" t="s">
        <v>32</v>
      </c>
    </row>
    <row r="158" spans="1:72" ht="12.75" customHeight="1">
      <c r="D158" s="17" t="s">
        <v>602</v>
      </c>
      <c r="F158" s="17"/>
      <c r="G158" s="17"/>
      <c r="H158" s="17"/>
      <c r="I158" s="17"/>
      <c r="J158" s="17"/>
      <c r="K158" s="17"/>
      <c r="L158" s="17"/>
      <c r="M158" s="17"/>
      <c r="N158" s="17"/>
      <c r="O158" s="1849" t="s">
        <v>603</v>
      </c>
      <c r="P158" s="1849"/>
      <c r="Q158" s="1849"/>
      <c r="R158" s="1849"/>
      <c r="S158" s="1849"/>
      <c r="T158" s="1849"/>
      <c r="U158" s="1849"/>
      <c r="V158" s="1849"/>
      <c r="W158" s="1849"/>
      <c r="X158" s="1849"/>
      <c r="Y158" s="1849"/>
      <c r="Z158" s="1849"/>
      <c r="AA158" s="1849"/>
      <c r="AB158" s="1849"/>
      <c r="AC158" s="1849"/>
      <c r="AD158" s="1849"/>
      <c r="AE158" s="1849"/>
      <c r="AF158" s="1849"/>
      <c r="AG158" s="1849"/>
      <c r="AH158" s="1849"/>
      <c r="BN158" s="47" t="s">
        <v>471</v>
      </c>
      <c r="BT158" s="16" t="s">
        <v>33</v>
      </c>
    </row>
    <row r="159" spans="1:72" ht="12.75" customHeight="1">
      <c r="D159" s="42" t="s">
        <v>712</v>
      </c>
      <c r="F159" s="42"/>
      <c r="G159" s="42"/>
      <c r="H159" s="42"/>
      <c r="I159" s="42"/>
      <c r="J159" s="42"/>
      <c r="K159" s="42"/>
      <c r="L159" s="42"/>
      <c r="M159" s="42"/>
      <c r="N159" s="42"/>
      <c r="O159" s="1689" t="s">
        <v>2376</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79</v>
      </c>
      <c r="BT159" s="16" t="s">
        <v>431</v>
      </c>
    </row>
    <row r="160" spans="1:72" ht="12.75" customHeight="1">
      <c r="D160" s="42" t="s">
        <v>713</v>
      </c>
      <c r="F160" s="42"/>
      <c r="G160" s="42"/>
      <c r="H160" s="42"/>
      <c r="I160" s="42"/>
      <c r="J160" s="42"/>
      <c r="K160" s="42"/>
      <c r="L160" s="42"/>
      <c r="M160" s="42"/>
      <c r="N160" s="42"/>
      <c r="O160" s="1692" t="s">
        <v>2377</v>
      </c>
      <c r="P160" s="1684"/>
      <c r="Q160" s="1684"/>
      <c r="R160" s="1684"/>
      <c r="S160" s="1684"/>
      <c r="T160" s="1684"/>
      <c r="U160" s="1684"/>
      <c r="V160" s="1684"/>
      <c r="W160" s="1684"/>
      <c r="X160" s="1684"/>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5">
        <v>92101</v>
      </c>
      <c r="P161" s="1855"/>
      <c r="Q161" s="1855"/>
      <c r="R161" s="185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38" t="s">
        <v>2378</v>
      </c>
      <c r="P162" s="1838"/>
      <c r="Q162" s="1838"/>
      <c r="R162" s="1838"/>
      <c r="S162" s="1838"/>
      <c r="T162" s="1838"/>
      <c r="V162" s="271" t="s">
        <v>12</v>
      </c>
      <c r="W162" s="1856"/>
      <c r="X162" s="1856"/>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38" t="s">
        <v>2379</v>
      </c>
      <c r="P163" s="1838"/>
      <c r="Q163" s="1838"/>
      <c r="R163" s="1838"/>
      <c r="S163" s="1838"/>
      <c r="T163" s="1838"/>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5" t="s">
        <v>2380</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4" t="s">
        <v>2194</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78" t="s">
        <v>422</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534</v>
      </c>
      <c r="BT169" s="16" t="s">
        <v>441</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0" t="s">
        <v>562</v>
      </c>
      <c r="K173" s="1850"/>
      <c r="L173" s="1850"/>
      <c r="M173" s="1850"/>
      <c r="N173" s="1850"/>
      <c r="O173" s="1850"/>
      <c r="P173" s="1850"/>
      <c r="Q173" s="1850"/>
      <c r="R173" s="1850"/>
      <c r="S173" s="1850"/>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6" t="s">
        <v>118</v>
      </c>
      <c r="V174" s="1686"/>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7">
        <v>21</v>
      </c>
      <c r="V175" s="1847"/>
      <c r="W175" s="4" t="s">
        <v>258</v>
      </c>
      <c r="X175" s="1853">
        <v>554</v>
      </c>
      <c r="Y175" s="1853"/>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86" t="s">
        <v>530</v>
      </c>
      <c r="V176" s="1686"/>
      <c r="W176" s="3"/>
      <c r="X176" s="3"/>
      <c r="Y176" s="3"/>
      <c r="AD176" s="35"/>
      <c r="AF176" s="35"/>
      <c r="AH176" s="35"/>
      <c r="AJ176" s="3"/>
      <c r="AK176" s="3"/>
      <c r="AL176" s="3"/>
      <c r="BN176" s="47" t="s">
        <v>662</v>
      </c>
      <c r="BT176" s="16" t="s">
        <v>448</v>
      </c>
    </row>
    <row r="177" spans="1:72" ht="12.75">
      <c r="A177" s="35"/>
      <c r="C177" s="54"/>
      <c r="D177" s="596" t="s">
        <v>1362</v>
      </c>
      <c r="AD177" s="35"/>
      <c r="AF177" s="35"/>
      <c r="AH177" s="35"/>
      <c r="AJ177" s="3"/>
      <c r="AK177" s="3"/>
      <c r="AL177" s="3"/>
      <c r="BN177" s="47" t="s">
        <v>663</v>
      </c>
      <c r="BT177" s="16" t="s">
        <v>449</v>
      </c>
    </row>
    <row r="178" spans="1:72" ht="12.75">
      <c r="A178" s="35"/>
      <c r="C178" s="54"/>
      <c r="E178" s="782" t="s">
        <v>256</v>
      </c>
      <c r="F178" s="597"/>
      <c r="G178" s="782"/>
      <c r="H178" s="782" t="s">
        <v>257</v>
      </c>
      <c r="I178" s="597"/>
      <c r="J178" s="2004"/>
      <c r="K178" s="2004"/>
      <c r="L178" s="781" t="s">
        <v>258</v>
      </c>
      <c r="M178" s="1860"/>
      <c r="N178" s="1860"/>
      <c r="O178" s="597"/>
      <c r="P178" s="597"/>
      <c r="Q178" s="597"/>
      <c r="R178" s="597"/>
      <c r="U178" s="743" t="s">
        <v>1363</v>
      </c>
      <c r="V178" s="597"/>
      <c r="W178" s="782"/>
      <c r="X178" s="782"/>
      <c r="Y178" s="782"/>
      <c r="Z178" s="782"/>
      <c r="AA178" s="782"/>
      <c r="AB178" s="782"/>
      <c r="AD178" s="2005"/>
      <c r="AE178" s="2005"/>
      <c r="AF178" s="2005"/>
      <c r="AG178" s="2005"/>
      <c r="AH178" s="2005"/>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86"/>
      <c r="Z180" s="1839"/>
      <c r="AE180" s="35"/>
      <c r="AJ180" s="3"/>
      <c r="AK180" s="3"/>
      <c r="AL180" s="3"/>
      <c r="BN180" s="47" t="s">
        <v>667</v>
      </c>
      <c r="BT180" s="16" t="s">
        <v>452</v>
      </c>
    </row>
    <row r="181" spans="1:72" ht="12.75">
      <c r="A181" s="35"/>
      <c r="C181" s="55"/>
      <c r="D181" s="57"/>
      <c r="E181" s="596" t="s">
        <v>1361</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42" t="str">
        <f>H17</f>
        <v>Fourth Corner Apartments</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131</v>
      </c>
      <c r="BN184" s="47" t="s">
        <v>633</v>
      </c>
      <c r="BT184" s="16" t="s">
        <v>456</v>
      </c>
    </row>
    <row r="185" spans="1:72" ht="12.75">
      <c r="A185" s="35"/>
      <c r="C185" s="58"/>
      <c r="D185" s="35" t="s">
        <v>477</v>
      </c>
      <c r="E185" s="35"/>
      <c r="F185" s="35"/>
      <c r="G185" s="35"/>
      <c r="H185" s="35"/>
      <c r="I185" s="1688" t="s">
        <v>2381</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636</v>
      </c>
      <c r="BT187" s="16" t="s">
        <v>922</v>
      </c>
    </row>
    <row r="188" spans="1:72" ht="12.75">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638</v>
      </c>
      <c r="BT188" s="16" t="s">
        <v>923</v>
      </c>
    </row>
    <row r="189" spans="1:72" ht="12.75">
      <c r="A189" s="35"/>
      <c r="C189" s="58"/>
      <c r="D189" s="35" t="s">
        <v>478</v>
      </c>
      <c r="E189" s="35"/>
      <c r="I189" s="1689" t="s">
        <v>123</v>
      </c>
      <c r="J189" s="1689"/>
      <c r="K189" s="1689"/>
      <c r="L189" s="1689"/>
      <c r="M189" s="1689"/>
      <c r="N189" s="1689"/>
      <c r="O189" s="1689"/>
      <c r="P189" s="1689"/>
      <c r="Q189" s="35" t="s">
        <v>480</v>
      </c>
      <c r="T189" s="1689" t="s">
        <v>123</v>
      </c>
      <c r="U189" s="1689"/>
      <c r="V189" s="1689"/>
      <c r="W189" s="1689"/>
      <c r="X189" s="1689"/>
      <c r="Y189" s="1689"/>
      <c r="Z189" s="1689"/>
      <c r="AA189" s="1689"/>
      <c r="AB189" s="1689"/>
      <c r="AC189" s="1689"/>
      <c r="AD189" s="1689"/>
      <c r="AE189" s="1689"/>
      <c r="AH189" s="35"/>
      <c r="AJ189" s="3"/>
      <c r="AK189" s="3"/>
      <c r="AL189" s="3"/>
      <c r="BC189" s="16" t="s">
        <v>85</v>
      </c>
      <c r="BH189" s="72" t="s">
        <v>135</v>
      </c>
      <c r="BN189" s="47" t="s">
        <v>639</v>
      </c>
      <c r="BT189" s="16" t="s">
        <v>119</v>
      </c>
    </row>
    <row r="190" spans="1:72" ht="12.75">
      <c r="A190" s="35"/>
      <c r="C190" s="59"/>
      <c r="D190" s="35" t="s">
        <v>481</v>
      </c>
      <c r="E190" s="35"/>
      <c r="F190" s="35"/>
      <c r="G190" s="35"/>
      <c r="I190" s="1688">
        <v>92105</v>
      </c>
      <c r="J190" s="1688"/>
      <c r="K190" s="1688"/>
      <c r="L190" s="1688"/>
      <c r="M190" s="1688"/>
      <c r="N190" s="1688"/>
      <c r="O190" s="35" t="s">
        <v>483</v>
      </c>
      <c r="P190" s="35"/>
      <c r="Q190" s="35"/>
      <c r="R190" s="35"/>
      <c r="S190" s="35"/>
      <c r="T190" s="1848">
        <v>6073002302</v>
      </c>
      <c r="U190" s="1848"/>
      <c r="V190" s="1848"/>
      <c r="W190" s="1848"/>
      <c r="X190" s="1848"/>
      <c r="Y190" s="1848"/>
      <c r="Z190" s="1848"/>
      <c r="AA190" s="1848"/>
      <c r="AB190" s="1848"/>
      <c r="AC190" s="1848"/>
      <c r="AD190" s="1848"/>
      <c r="AE190" s="1848"/>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06" t="s">
        <v>2382</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1582</v>
      </c>
      <c r="BH191" s="16" t="s">
        <v>1582</v>
      </c>
      <c r="BN191" s="47" t="s">
        <v>641</v>
      </c>
      <c r="BT191" s="16" t="s">
        <v>121</v>
      </c>
    </row>
    <row r="192" spans="1:72" ht="12.75">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729</v>
      </c>
      <c r="BH192" s="8" t="s">
        <v>1589</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86" t="s">
        <v>530</v>
      </c>
      <c r="U193" s="1686"/>
      <c r="W193" s="72" t="s">
        <v>2153</v>
      </c>
      <c r="AA193" s="1846"/>
      <c r="AB193" s="1846"/>
      <c r="AC193" s="1846"/>
      <c r="AJ193" s="3"/>
      <c r="AK193" s="3"/>
      <c r="AL193" s="3"/>
      <c r="BC193" s="16" t="s">
        <v>623</v>
      </c>
      <c r="BH193" s="8" t="s">
        <v>1590</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1" t="s">
        <v>118</v>
      </c>
      <c r="U194" s="1721"/>
      <c r="W194" s="35" t="s">
        <v>67</v>
      </c>
      <c r="X194" s="35"/>
      <c r="Y194" s="35"/>
      <c r="Z194" s="35"/>
      <c r="AA194" s="35"/>
      <c r="AB194" s="35"/>
      <c r="AC194" s="35"/>
      <c r="AD194" s="35"/>
      <c r="AE194" s="35"/>
      <c r="AF194" s="35"/>
      <c r="AG194" s="35"/>
      <c r="AH194" s="35"/>
      <c r="AI194" s="1686" t="s">
        <v>530</v>
      </c>
      <c r="AJ194" s="1686"/>
      <c r="AK194" s="3"/>
      <c r="AL194" s="3"/>
      <c r="AX194" s="8" t="s">
        <v>135</v>
      </c>
      <c r="BC194" s="16" t="s">
        <v>680</v>
      </c>
      <c r="BN194" s="47" t="s">
        <v>824</v>
      </c>
      <c r="BT194" s="16" t="s">
        <v>124</v>
      </c>
    </row>
    <row r="195" spans="1:73" ht="12.75">
      <c r="A195" s="35"/>
      <c r="C195" s="59"/>
      <c r="D195" s="1105" t="s">
        <v>1956</v>
      </c>
      <c r="E195" s="3"/>
      <c r="F195" s="3"/>
      <c r="G195" s="3"/>
      <c r="H195" s="3"/>
      <c r="I195" s="3"/>
      <c r="J195" s="3"/>
      <c r="K195" s="3"/>
      <c r="L195" s="3"/>
      <c r="M195" s="3"/>
      <c r="N195" s="35"/>
      <c r="O195" s="35"/>
      <c r="P195" s="35"/>
      <c r="Q195" s="35"/>
      <c r="R195" s="35"/>
      <c r="T195" s="1721" t="s">
        <v>530</v>
      </c>
      <c r="U195" s="1721"/>
      <c r="X195" s="1360" t="s">
        <v>2175</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1" t="s">
        <v>530</v>
      </c>
      <c r="U196" s="1721"/>
      <c r="W196" s="3"/>
      <c r="X196" s="3"/>
      <c r="Y196" s="3"/>
      <c r="Z196" s="3"/>
      <c r="AA196" s="3"/>
      <c r="AB196" s="3"/>
      <c r="AC196" s="3"/>
      <c r="AD196" s="3"/>
      <c r="AE196" s="3"/>
      <c r="AF196" s="3"/>
      <c r="AG196" s="3"/>
      <c r="AH196" s="3"/>
      <c r="AI196" s="3"/>
      <c r="AJ196" s="3"/>
      <c r="AK196" s="1845"/>
      <c r="AL196" s="1845"/>
      <c r="AX196" s="8" t="s">
        <v>1275</v>
      </c>
      <c r="BN196" s="47" t="s">
        <v>826</v>
      </c>
      <c r="BT196" s="16" t="s">
        <v>126</v>
      </c>
    </row>
    <row r="197" spans="1:73" ht="12.75">
      <c r="A197" s="35"/>
      <c r="C197" s="59"/>
      <c r="D197" s="72" t="s">
        <v>2154</v>
      </c>
      <c r="T197" s="1686" t="s">
        <v>530</v>
      </c>
      <c r="U197" s="1686"/>
      <c r="AJ197" s="3"/>
      <c r="AK197" s="3"/>
      <c r="AL197" s="3"/>
      <c r="AX197" s="8" t="s">
        <v>1276</v>
      </c>
      <c r="BC197" s="16" t="s">
        <v>85</v>
      </c>
      <c r="BN197" s="47" t="s">
        <v>827</v>
      </c>
      <c r="BT197" s="16" t="s">
        <v>127</v>
      </c>
    </row>
    <row r="198" spans="1:73" ht="12.75">
      <c r="A198" s="35"/>
      <c r="C198" s="59"/>
      <c r="D198" s="1105" t="s">
        <v>2184</v>
      </c>
      <c r="W198" s="1840" t="s">
        <v>530</v>
      </c>
      <c r="X198" s="1686"/>
      <c r="AG198" s="35"/>
      <c r="AH198" s="3"/>
      <c r="AI198" s="3"/>
      <c r="AJ198" s="3"/>
      <c r="AK198" s="3"/>
      <c r="AL198" s="3"/>
      <c r="AX198" s="8" t="s">
        <v>1277</v>
      </c>
      <c r="BC198" s="645" t="s">
        <v>1221</v>
      </c>
      <c r="BN198" s="47" t="s">
        <v>828</v>
      </c>
      <c r="BT198" s="16" t="s">
        <v>884</v>
      </c>
    </row>
    <row r="199" spans="1:73" ht="12.75">
      <c r="A199" s="35"/>
      <c r="C199" s="59"/>
      <c r="D199" s="1105" t="s">
        <v>2329</v>
      </c>
      <c r="L199" s="1510"/>
      <c r="M199" s="1510"/>
      <c r="N199" s="1510"/>
      <c r="O199" s="1510"/>
      <c r="P199" s="1510"/>
      <c r="Q199" s="1510"/>
      <c r="R199" s="1844" t="s">
        <v>2326</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75"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75">
      <c r="A203" s="35"/>
      <c r="C203" s="35"/>
      <c r="D203" s="1842" t="str">
        <f>IF(AND(M25&gt;0,M27&gt;0),"Federal and State","Federal Only")</f>
        <v>Federal Only</v>
      </c>
      <c r="E203" s="1842"/>
      <c r="F203" s="1842"/>
      <c r="G203" s="1842"/>
      <c r="H203" s="1842"/>
      <c r="I203" s="1842"/>
      <c r="J203" s="1842"/>
      <c r="K203" s="1842"/>
      <c r="L203" s="1842"/>
      <c r="M203" s="1842"/>
      <c r="P203" s="2010">
        <f>M25</f>
        <v>1338479</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135</v>
      </c>
      <c r="AX203" s="8" t="s">
        <v>729</v>
      </c>
      <c r="BC203" s="3" t="s">
        <v>1600</v>
      </c>
      <c r="BN203" s="47" t="s">
        <v>726</v>
      </c>
      <c r="BT203" s="69" t="s">
        <v>889</v>
      </c>
      <c r="BU203" s="65"/>
    </row>
    <row r="204" spans="1:73" ht="12.75">
      <c r="A204" s="35"/>
      <c r="C204" s="58"/>
      <c r="E204" s="35"/>
      <c r="F204" s="35"/>
      <c r="G204" s="35"/>
      <c r="P204" s="1998" t="s">
        <v>191</v>
      </c>
      <c r="Q204" s="1998"/>
      <c r="R204" s="1998"/>
      <c r="S204" s="1998"/>
      <c r="T204" s="1998"/>
      <c r="U204" s="1998"/>
      <c r="V204" s="60"/>
      <c r="W204" s="1998" t="s">
        <v>192</v>
      </c>
      <c r="X204" s="1998"/>
      <c r="Y204" s="1998"/>
      <c r="Z204" s="1998"/>
      <c r="AA204" s="1998"/>
      <c r="AB204" s="1998"/>
      <c r="AD204" s="35"/>
      <c r="AE204" s="35"/>
      <c r="AF204" s="35"/>
      <c r="AG204" s="35"/>
      <c r="AH204" s="35"/>
      <c r="AI204" s="35"/>
      <c r="AJ204" s="3"/>
      <c r="AK204" s="3"/>
      <c r="AL204" s="3"/>
      <c r="AV204" s="16" t="s">
        <v>118</v>
      </c>
      <c r="AX204" s="8" t="s">
        <v>1528</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1603</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75">
      <c r="A208" s="35"/>
      <c r="C208" s="58"/>
      <c r="D208" s="1684" t="s">
        <v>2383</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80</v>
      </c>
      <c r="BN209" s="47" t="s">
        <v>3</v>
      </c>
      <c r="BT209" s="69" t="s">
        <v>894</v>
      </c>
    </row>
    <row r="210" spans="1:72" ht="12.75">
      <c r="A210" s="63" t="s">
        <v>134</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75">
      <c r="C211" s="58"/>
      <c r="D211" s="1684"/>
      <c r="E211" s="1684"/>
      <c r="F211" s="1684"/>
      <c r="G211" s="1684"/>
      <c r="H211" s="1684"/>
      <c r="I211" s="1684"/>
      <c r="J211" s="1684"/>
      <c r="K211" s="1684"/>
      <c r="L211" s="1684"/>
      <c r="M211" s="1684"/>
      <c r="N211" s="1684"/>
      <c r="O211" s="1684"/>
      <c r="P211" s="1684"/>
      <c r="X211" s="1372"/>
      <c r="Y211" s="1686" t="s">
        <v>118</v>
      </c>
      <c r="Z211" s="1686"/>
      <c r="AA211" s="1373"/>
      <c r="AB211" s="1373"/>
      <c r="AC211" s="1373"/>
      <c r="AD211" s="1373"/>
      <c r="AE211" s="1373"/>
      <c r="AF211" s="1373"/>
      <c r="AG211" s="1373"/>
      <c r="AH211" s="1373"/>
      <c r="AI211" s="1373"/>
      <c r="AJ211" s="1373"/>
      <c r="AK211" s="1374"/>
      <c r="AL211" s="3"/>
      <c r="AX211" s="16" t="s">
        <v>2325</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2326</v>
      </c>
      <c r="BC212" s="750" t="s">
        <v>85</v>
      </c>
      <c r="BN212" s="47" t="s">
        <v>5</v>
      </c>
      <c r="BT212" s="69" t="s">
        <v>896</v>
      </c>
    </row>
    <row r="213" spans="1:72" ht="12.75">
      <c r="A213" s="63" t="s">
        <v>136</v>
      </c>
      <c r="C213" s="63" t="s">
        <v>1583</v>
      </c>
      <c r="AG213" s="3"/>
      <c r="AJ213" s="3"/>
      <c r="AK213" s="3"/>
      <c r="AL213" s="3"/>
      <c r="AX213" s="72" t="s">
        <v>2328</v>
      </c>
      <c r="BC213" s="16" t="s">
        <v>691</v>
      </c>
      <c r="BN213" s="47" t="s">
        <v>6</v>
      </c>
      <c r="BT213" s="69" t="s">
        <v>897</v>
      </c>
    </row>
    <row r="214" spans="1:72" ht="12.75">
      <c r="C214" s="58"/>
      <c r="D214" s="1684" t="s">
        <v>728</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695</v>
      </c>
      <c r="BN214" s="47" t="s">
        <v>491</v>
      </c>
      <c r="BT214" s="69" t="s">
        <v>898</v>
      </c>
    </row>
    <row r="215" spans="1:72" ht="12.75">
      <c r="D215" s="64"/>
      <c r="E215" s="8" t="s">
        <v>1599</v>
      </c>
      <c r="AE215" s="2008">
        <v>0</v>
      </c>
      <c r="AF215" s="2008"/>
      <c r="AG215" s="3"/>
      <c r="AJ215" s="3"/>
      <c r="AK215" s="3"/>
      <c r="AL215" s="3"/>
      <c r="BC215" s="16" t="s">
        <v>692</v>
      </c>
    </row>
    <row r="216" spans="1:72" ht="12.75" customHeight="1">
      <c r="D216" s="64"/>
      <c r="E216" s="8" t="s">
        <v>1596</v>
      </c>
      <c r="AG216" s="3"/>
      <c r="AJ216" s="3"/>
      <c r="AK216" s="3"/>
      <c r="AL216" s="3"/>
      <c r="BC216" s="16" t="s">
        <v>811</v>
      </c>
    </row>
    <row r="217" spans="1:72" ht="12.75">
      <c r="E217" s="2015" t="s">
        <v>135</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693</v>
      </c>
    </row>
    <row r="218" spans="1:72" ht="12.75">
      <c r="E218" s="72" t="s">
        <v>2247</v>
      </c>
      <c r="AA218" s="83"/>
      <c r="AC218" s="1841"/>
      <c r="AD218" s="1841"/>
      <c r="AE218" s="1841"/>
      <c r="AF218" s="1841"/>
      <c r="AG218" s="1841"/>
      <c r="AH218" s="1841"/>
      <c r="AI218" s="1841"/>
      <c r="AJ218" s="1841"/>
      <c r="AK218" s="1841"/>
      <c r="AL218" s="1841"/>
      <c r="AM218" s="1841"/>
      <c r="BC218" s="16" t="s">
        <v>694</v>
      </c>
      <c r="BI218" s="67"/>
    </row>
    <row r="219" spans="1:72" ht="12.75" customHeight="1">
      <c r="E219" s="72" t="s">
        <v>2248</v>
      </c>
      <c r="AA219" s="83"/>
      <c r="AC219" s="1841"/>
      <c r="AD219" s="1841"/>
      <c r="AE219" s="1841"/>
      <c r="AF219" s="1841"/>
      <c r="AG219" s="1841"/>
      <c r="AH219" s="1841"/>
      <c r="AI219" s="1841"/>
      <c r="AJ219" s="1841"/>
      <c r="AK219" s="1841"/>
      <c r="AL219" s="1841"/>
      <c r="AM219" s="1841"/>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944</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6">
        <v>51</v>
      </c>
      <c r="P225" s="1686"/>
    </row>
    <row r="226" spans="1:59" ht="12.75" customHeight="1">
      <c r="D226" s="35" t="s">
        <v>617</v>
      </c>
      <c r="E226" s="35"/>
      <c r="F226" s="35"/>
      <c r="G226" s="35"/>
      <c r="H226" s="35"/>
      <c r="I226" s="35"/>
      <c r="J226" s="35"/>
      <c r="K226" s="35"/>
      <c r="L226" s="35"/>
      <c r="M226" s="35"/>
      <c r="N226" s="35"/>
      <c r="O226" s="1686">
        <v>80</v>
      </c>
      <c r="P226" s="168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6">
        <v>40</v>
      </c>
      <c r="P227" s="168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78" t="s">
        <v>543</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1997" t="str">
        <f>H15</f>
        <v>Wakeland Price Fourth Corner LP</v>
      </c>
      <c r="N235" s="1997"/>
      <c r="O235" s="1997"/>
      <c r="P235" s="1997"/>
      <c r="Q235" s="1997"/>
      <c r="R235" s="1997"/>
      <c r="S235" s="1997"/>
      <c r="T235" s="1997"/>
      <c r="U235" s="1997"/>
      <c r="V235" s="1997"/>
      <c r="W235" s="1997"/>
      <c r="X235" s="1997"/>
      <c r="Y235" s="1997"/>
      <c r="Z235" s="1997"/>
      <c r="AA235" s="1997"/>
      <c r="AB235" s="1997"/>
      <c r="AC235" s="1997"/>
      <c r="AD235" s="1997"/>
      <c r="AE235" s="1997"/>
      <c r="AF235" s="1997"/>
      <c r="AG235" s="1997"/>
      <c r="AH235" s="1997"/>
      <c r="AI235" s="1997"/>
      <c r="AJ235" s="1997"/>
      <c r="AK235" s="1997"/>
      <c r="BB235" s="62"/>
      <c r="BC235" s="35"/>
      <c r="BD235" s="35"/>
      <c r="BE235" s="35"/>
      <c r="BF235" s="35"/>
      <c r="BG235" s="71"/>
    </row>
    <row r="236" spans="1:59" ht="12.75" customHeight="1">
      <c r="D236" s="71" t="s">
        <v>415</v>
      </c>
      <c r="E236" s="71"/>
      <c r="F236" s="71"/>
      <c r="G236" s="71"/>
      <c r="H236" s="71"/>
      <c r="I236" s="71"/>
      <c r="J236" s="71"/>
      <c r="K236" s="8"/>
      <c r="M236" s="1692" t="s">
        <v>2384</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702</v>
      </c>
      <c r="BG236" s="646">
        <f>IF(AND(AND($M$251="nonprofit",$M$259="nonprofit",$M$267="nonprofit")),1,0)</f>
        <v>0</v>
      </c>
    </row>
    <row r="237" spans="1:59" ht="12.75">
      <c r="D237" s="71" t="s">
        <v>478</v>
      </c>
      <c r="E237" s="71"/>
      <c r="M237" s="1692" t="s">
        <v>123</v>
      </c>
      <c r="N237" s="1684"/>
      <c r="O237" s="1684"/>
      <c r="P237" s="1684"/>
      <c r="Q237" s="1684"/>
      <c r="R237" s="1684"/>
      <c r="S237" s="1684"/>
      <c r="T237" s="1684"/>
      <c r="V237" s="73" t="s">
        <v>416</v>
      </c>
      <c r="W237" s="1693" t="s">
        <v>2392</v>
      </c>
      <c r="X237" s="1694"/>
      <c r="Y237" s="71" t="s">
        <v>481</v>
      </c>
      <c r="AC237" s="1684">
        <v>92101</v>
      </c>
      <c r="AD237" s="1684"/>
      <c r="AE237" s="1684"/>
      <c r="AN237" s="72"/>
      <c r="BB237" s="16" t="s">
        <v>702</v>
      </c>
      <c r="BG237" s="646">
        <f>IF(AND(AND($M$251="nonprofit",$M$259="nonprofit",$M$267="(select one)")),1,0)</f>
        <v>0</v>
      </c>
    </row>
    <row r="238" spans="1:59" ht="12.75">
      <c r="D238" s="74" t="s">
        <v>417</v>
      </c>
      <c r="E238" s="8"/>
      <c r="F238" s="8"/>
      <c r="G238" s="8"/>
      <c r="H238" s="8"/>
      <c r="I238" s="8"/>
      <c r="J238" s="8"/>
      <c r="K238" s="39"/>
      <c r="M238" s="1692" t="s">
        <v>2385</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6">
        <f>IF(AND(AND($M$251="nonprofit",$M$259="(select one)",$M$267="(select one)")),1,0)</f>
        <v>1</v>
      </c>
    </row>
    <row r="239" spans="1:59" ht="12.75">
      <c r="D239" s="74" t="s">
        <v>418</v>
      </c>
      <c r="E239" s="8"/>
      <c r="F239" s="8"/>
      <c r="M239" s="1680" t="s">
        <v>2386</v>
      </c>
      <c r="N239" s="1681"/>
      <c r="O239" s="1681"/>
      <c r="P239" s="1681"/>
      <c r="Q239" s="1681"/>
      <c r="R239" s="1681"/>
      <c r="S239" s="8" t="s">
        <v>899</v>
      </c>
      <c r="T239" s="8"/>
      <c r="U239" s="1694"/>
      <c r="V239" s="1694"/>
      <c r="W239" s="1694"/>
      <c r="X239" s="8" t="s">
        <v>419</v>
      </c>
      <c r="Z239" s="1680" t="s">
        <v>2387</v>
      </c>
      <c r="AA239" s="1681"/>
      <c r="AB239" s="1681"/>
      <c r="AC239" s="1681"/>
      <c r="AD239" s="1681"/>
      <c r="AE239" s="1681"/>
      <c r="AM239" s="72"/>
      <c r="AN239" s="72"/>
      <c r="BB239" s="16" t="s">
        <v>1113</v>
      </c>
      <c r="BG239" s="646">
        <f>IF(AND(AND($M$251="for profit",$M$259="for profit",$M$267="for profit")),3,0)</f>
        <v>0</v>
      </c>
    </row>
    <row r="240" spans="1:59" ht="12.75">
      <c r="D240" s="74" t="s">
        <v>420</v>
      </c>
      <c r="E240" s="8"/>
      <c r="F240" s="8"/>
      <c r="M240" s="1685" t="s">
        <v>2388</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88" t="s">
        <v>693</v>
      </c>
      <c r="N241" s="1688"/>
      <c r="O241" s="1688"/>
      <c r="P241" s="1688"/>
      <c r="Q241" s="1688"/>
      <c r="R241" s="1688"/>
      <c r="S241" s="1688"/>
      <c r="T241" s="1688"/>
      <c r="U241" s="8" t="s">
        <v>1266</v>
      </c>
      <c r="AA241" s="1690" t="s">
        <v>2389</v>
      </c>
      <c r="AB241" s="1691"/>
      <c r="AC241" s="1691"/>
      <c r="AD241" s="1691"/>
      <c r="AE241" s="1691"/>
      <c r="AF241" s="1691"/>
      <c r="AG241" s="1691"/>
      <c r="AH241" s="1691"/>
      <c r="AI241" s="1691"/>
      <c r="AJ241" s="1691"/>
      <c r="AK241" s="1691"/>
      <c r="AL241" s="72"/>
      <c r="AM241" s="8"/>
      <c r="AN241" s="72"/>
      <c r="AO241" s="72"/>
      <c r="BB241" s="16" t="s">
        <v>1113</v>
      </c>
      <c r="BC241" s="35"/>
      <c r="BD241" s="35"/>
      <c r="BE241" s="35"/>
      <c r="BF241" s="35"/>
      <c r="BG241" s="647">
        <f>IF(AND(AND($M$251="for profit",$M$259="(select one)",$M$267="(select one)")),3,0)</f>
        <v>0</v>
      </c>
    </row>
    <row r="242" spans="1:67" ht="12.75">
      <c r="D242" s="16" t="s">
        <v>696</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1640</v>
      </c>
      <c r="D245" s="71" t="s">
        <v>697</v>
      </c>
      <c r="E245" s="71"/>
      <c r="F245" s="71"/>
      <c r="G245" s="71"/>
      <c r="H245" s="71"/>
      <c r="I245" s="71"/>
      <c r="J245" s="71"/>
      <c r="K245" s="71"/>
      <c r="L245" s="8"/>
      <c r="M245" s="1843" t="s">
        <v>2390</v>
      </c>
      <c r="N245" s="1843"/>
      <c r="O245" s="1843"/>
      <c r="P245" s="1843"/>
      <c r="Q245" s="1843"/>
      <c r="R245" s="1843"/>
      <c r="S245" s="1843"/>
      <c r="T245" s="1843"/>
      <c r="U245" s="1843"/>
      <c r="V245" s="1843"/>
      <c r="W245" s="1843"/>
      <c r="X245" s="1843"/>
      <c r="Y245" s="1843"/>
      <c r="Z245" s="1843"/>
      <c r="AA245" s="1843"/>
      <c r="AB245" s="1843"/>
      <c r="AC245" s="1843"/>
      <c r="AD245" s="1843"/>
      <c r="AE245" s="1843"/>
      <c r="AF245" s="1682" t="s">
        <v>2391</v>
      </c>
      <c r="AG245" s="1682"/>
      <c r="AH245" s="1682"/>
      <c r="AI245" s="1682"/>
      <c r="AJ245" s="1682"/>
      <c r="AK245" s="1682"/>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92" t="s">
        <v>2384</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502</v>
      </c>
      <c r="BH246" s="16">
        <v>3</v>
      </c>
      <c r="BI246" s="16" t="s">
        <v>701</v>
      </c>
    </row>
    <row r="247" spans="1:67" ht="12.75">
      <c r="A247" s="39"/>
      <c r="B247" s="8"/>
      <c r="C247" s="8"/>
      <c r="D247" s="71" t="s">
        <v>478</v>
      </c>
      <c r="E247" s="71"/>
      <c r="M247" s="1692" t="s">
        <v>123</v>
      </c>
      <c r="N247" s="1684"/>
      <c r="O247" s="1684"/>
      <c r="P247" s="1684"/>
      <c r="Q247" s="1684"/>
      <c r="R247" s="1684"/>
      <c r="S247" s="1684"/>
      <c r="T247" s="1684"/>
      <c r="V247" s="73" t="s">
        <v>416</v>
      </c>
      <c r="W247" s="1693" t="s">
        <v>2392</v>
      </c>
      <c r="X247" s="1694"/>
      <c r="Y247" s="71" t="s">
        <v>481</v>
      </c>
      <c r="AC247" s="1684">
        <v>92101</v>
      </c>
      <c r="AD247" s="1684"/>
      <c r="AE247" s="1684"/>
      <c r="AN247" s="72"/>
    </row>
    <row r="248" spans="1:67" ht="12.75">
      <c r="A248" s="39"/>
      <c r="B248" s="8"/>
      <c r="C248" s="8"/>
      <c r="D248" s="74" t="s">
        <v>417</v>
      </c>
      <c r="E248" s="8"/>
      <c r="F248" s="8"/>
      <c r="G248" s="8"/>
      <c r="H248" s="8"/>
      <c r="I248" s="8"/>
      <c r="J248" s="8"/>
      <c r="K248" s="8"/>
      <c r="L248" s="39"/>
      <c r="M248" s="1692" t="s">
        <v>2385</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75">
      <c r="A249" s="39"/>
      <c r="B249" s="8"/>
      <c r="C249" s="8"/>
      <c r="D249" s="74" t="s">
        <v>418</v>
      </c>
      <c r="E249" s="8"/>
      <c r="F249" s="8"/>
      <c r="M249" s="1680" t="s">
        <v>2386</v>
      </c>
      <c r="N249" s="1681"/>
      <c r="O249" s="1681"/>
      <c r="P249" s="1681"/>
      <c r="Q249" s="1681"/>
      <c r="R249" s="1681"/>
      <c r="S249" s="8" t="s">
        <v>899</v>
      </c>
      <c r="T249" s="8"/>
      <c r="U249" s="1694"/>
      <c r="V249" s="1694"/>
      <c r="W249" s="1694"/>
      <c r="X249" s="8" t="s">
        <v>419</v>
      </c>
      <c r="Z249" s="1680" t="s">
        <v>2387</v>
      </c>
      <c r="AA249" s="1681"/>
      <c r="AB249" s="1681"/>
      <c r="AC249" s="1681"/>
      <c r="AD249" s="1681"/>
      <c r="AE249" s="1681"/>
      <c r="AM249" s="8"/>
      <c r="AN249" s="72"/>
    </row>
    <row r="250" spans="1:67" ht="12.75">
      <c r="A250" s="39"/>
      <c r="B250" s="8"/>
      <c r="C250" s="8"/>
      <c r="D250" s="74" t="s">
        <v>420</v>
      </c>
      <c r="E250" s="8"/>
      <c r="F250" s="8"/>
      <c r="M250" s="1685" t="s">
        <v>2388</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75">
      <c r="A251" s="33"/>
      <c r="B251" s="8"/>
      <c r="C251" s="147"/>
      <c r="D251" s="74" t="s">
        <v>700</v>
      </c>
      <c r="E251" s="8"/>
      <c r="F251" s="8"/>
      <c r="G251" s="8"/>
      <c r="H251" s="8"/>
      <c r="I251" s="8"/>
      <c r="J251" s="8"/>
      <c r="K251" s="8"/>
      <c r="L251" s="8"/>
      <c r="M251" s="1688" t="s">
        <v>699</v>
      </c>
      <c r="N251" s="1688"/>
      <c r="O251" s="1688"/>
      <c r="P251" s="1688"/>
      <c r="Q251" s="1688"/>
      <c r="R251" s="1688"/>
      <c r="S251" s="1688"/>
      <c r="T251" s="1688"/>
      <c r="U251" s="8" t="s">
        <v>1266</v>
      </c>
      <c r="AA251" s="1690" t="s">
        <v>2389</v>
      </c>
      <c r="AB251" s="1691"/>
      <c r="AC251" s="1691"/>
      <c r="AD251" s="1691"/>
      <c r="AE251" s="1691"/>
      <c r="AF251" s="1691"/>
      <c r="AG251" s="1691"/>
      <c r="AH251" s="1691"/>
      <c r="AI251" s="1691"/>
      <c r="AJ251" s="1691"/>
      <c r="AK251" s="1691"/>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1342</v>
      </c>
      <c r="E253" s="71"/>
      <c r="F253" s="71"/>
      <c r="G253" s="71"/>
      <c r="H253" s="71"/>
      <c r="I253" s="71"/>
      <c r="J253" s="71"/>
      <c r="K253" s="71"/>
      <c r="L253" s="8"/>
      <c r="M253" s="1843"/>
      <c r="N253" s="1843"/>
      <c r="O253" s="1843"/>
      <c r="P253" s="1843"/>
      <c r="Q253" s="1843"/>
      <c r="R253" s="1843"/>
      <c r="S253" s="1843"/>
      <c r="T253" s="1843"/>
      <c r="U253" s="1843"/>
      <c r="V253" s="1843"/>
      <c r="W253" s="1843"/>
      <c r="X253" s="1843"/>
      <c r="Y253" s="1843"/>
      <c r="Z253" s="1843"/>
      <c r="AA253" s="1843"/>
      <c r="AB253" s="1843"/>
      <c r="AC253" s="1843"/>
      <c r="AD253" s="1843"/>
      <c r="AE253" s="1843"/>
      <c r="AF253" s="1682" t="s">
        <v>85</v>
      </c>
      <c r="AG253" s="1682"/>
      <c r="AH253" s="1682"/>
      <c r="AI253" s="1682"/>
      <c r="AJ253" s="1682"/>
      <c r="AK253" s="1682"/>
      <c r="AM253" s="8"/>
    </row>
    <row r="254" spans="1:67" ht="12.75">
      <c r="A254" s="39"/>
      <c r="B254" s="8"/>
      <c r="C254" s="8"/>
      <c r="D254" s="71" t="s">
        <v>415</v>
      </c>
      <c r="E254" s="71"/>
      <c r="F254" s="71"/>
      <c r="G254" s="71"/>
      <c r="H254" s="71"/>
      <c r="I254" s="71"/>
      <c r="J254" s="71"/>
      <c r="K254" s="71"/>
      <c r="L254" s="8"/>
      <c r="M254" s="1684"/>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75">
      <c r="A255" s="39"/>
      <c r="B255" s="8"/>
      <c r="C255" s="8"/>
      <c r="D255" s="71" t="s">
        <v>478</v>
      </c>
      <c r="E255" s="71"/>
      <c r="M255" s="1684"/>
      <c r="N255" s="1684"/>
      <c r="O255" s="1684"/>
      <c r="P255" s="1684"/>
      <c r="Q255" s="1684"/>
      <c r="R255" s="1684"/>
      <c r="S255" s="1684"/>
      <c r="T255" s="1684"/>
      <c r="V255" s="73" t="s">
        <v>416</v>
      </c>
      <c r="W255" s="1694"/>
      <c r="X255" s="1694"/>
      <c r="Y255" s="71" t="s">
        <v>481</v>
      </c>
      <c r="AC255" s="1684"/>
      <c r="AD255" s="1684"/>
      <c r="AE255" s="1684"/>
    </row>
    <row r="256" spans="1:67" ht="12.75">
      <c r="A256" s="39"/>
      <c r="B256" s="8"/>
      <c r="C256" s="8"/>
      <c r="D256" s="74" t="s">
        <v>417</v>
      </c>
      <c r="E256" s="8"/>
      <c r="F256" s="8"/>
      <c r="G256" s="8"/>
      <c r="H256" s="8"/>
      <c r="I256" s="8"/>
      <c r="J256" s="8"/>
      <c r="K256" s="8"/>
      <c r="L256" s="39"/>
      <c r="M256" s="1684"/>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75">
      <c r="A257" s="39"/>
      <c r="B257" s="8"/>
      <c r="C257" s="8"/>
      <c r="D257" s="74" t="s">
        <v>418</v>
      </c>
      <c r="E257" s="8"/>
      <c r="F257" s="8"/>
      <c r="M257" s="1681"/>
      <c r="N257" s="1681"/>
      <c r="O257" s="1681"/>
      <c r="P257" s="1681"/>
      <c r="Q257" s="1681"/>
      <c r="R257" s="1681"/>
      <c r="S257" s="8" t="s">
        <v>899</v>
      </c>
      <c r="T257" s="8"/>
      <c r="U257" s="1694"/>
      <c r="V257" s="1694"/>
      <c r="W257" s="1694"/>
      <c r="X257" s="8" t="s">
        <v>419</v>
      </c>
      <c r="Z257" s="1681"/>
      <c r="AA257" s="1681"/>
      <c r="AB257" s="1681"/>
      <c r="AC257" s="1681"/>
      <c r="AD257" s="1681"/>
      <c r="AE257" s="1681"/>
      <c r="BA257" s="75"/>
    </row>
    <row r="258" spans="1:53" ht="12.75">
      <c r="A258" s="39"/>
      <c r="B258" s="8"/>
      <c r="C258" s="8"/>
      <c r="D258" s="74" t="s">
        <v>420</v>
      </c>
      <c r="E258" s="8"/>
      <c r="F258" s="8"/>
      <c r="M258" s="1685"/>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75">
      <c r="A259" s="33"/>
      <c r="B259" s="8"/>
      <c r="C259" s="147"/>
      <c r="D259" s="74" t="s">
        <v>700</v>
      </c>
      <c r="E259" s="8"/>
      <c r="F259" s="8"/>
      <c r="G259" s="8"/>
      <c r="H259" s="8"/>
      <c r="I259" s="8"/>
      <c r="J259" s="8"/>
      <c r="K259" s="8"/>
      <c r="L259" s="8"/>
      <c r="M259" s="1688" t="s">
        <v>85</v>
      </c>
      <c r="N259" s="1688"/>
      <c r="O259" s="1688"/>
      <c r="P259" s="1688"/>
      <c r="Q259" s="1688"/>
      <c r="R259" s="1688"/>
      <c r="S259" s="1688"/>
      <c r="T259" s="1688"/>
      <c r="U259" s="8" t="s">
        <v>1266</v>
      </c>
      <c r="AA259" s="1691"/>
      <c r="AB259" s="1691"/>
      <c r="AC259" s="1691"/>
      <c r="AD259" s="1691"/>
      <c r="AE259" s="1691"/>
      <c r="AF259" s="1691"/>
      <c r="AG259" s="1691"/>
      <c r="AH259" s="1691"/>
      <c r="AI259" s="1691"/>
      <c r="AJ259" s="1691"/>
      <c r="AK259" s="169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2152</v>
      </c>
      <c r="D261" s="71" t="s">
        <v>697</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85</v>
      </c>
      <c r="AG261" s="1682"/>
      <c r="AH261" s="1682"/>
      <c r="AI261" s="1682"/>
      <c r="AJ261" s="1682"/>
      <c r="AK261" s="1682"/>
      <c r="AL261" s="72"/>
      <c r="BA261" s="3"/>
    </row>
    <row r="262" spans="1:53" ht="12.75">
      <c r="A262" s="33"/>
      <c r="B262" s="8"/>
      <c r="C262" s="8"/>
      <c r="D262" s="71" t="s">
        <v>415</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75">
      <c r="A263" s="33"/>
      <c r="B263" s="8"/>
      <c r="C263" s="8"/>
      <c r="D263" s="71" t="s">
        <v>478</v>
      </c>
      <c r="E263" s="71"/>
      <c r="M263" s="1684"/>
      <c r="N263" s="1684"/>
      <c r="O263" s="1684"/>
      <c r="P263" s="1684"/>
      <c r="Q263" s="1684"/>
      <c r="R263" s="1684"/>
      <c r="S263" s="1684"/>
      <c r="T263" s="1684"/>
      <c r="V263" s="73" t="s">
        <v>416</v>
      </c>
      <c r="W263" s="1694"/>
      <c r="X263" s="1694"/>
      <c r="Y263" s="71" t="s">
        <v>481</v>
      </c>
      <c r="AC263" s="1684"/>
      <c r="AD263" s="1684"/>
      <c r="AE263" s="1684"/>
      <c r="AL263" s="72"/>
      <c r="BA263" s="75"/>
    </row>
    <row r="264" spans="1:53" ht="12.75">
      <c r="A264" s="33"/>
      <c r="B264" s="8"/>
      <c r="C264" s="8"/>
      <c r="D264" s="74" t="s">
        <v>417</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75">
      <c r="A265" s="33"/>
      <c r="B265" s="8"/>
      <c r="C265" s="8"/>
      <c r="D265" s="74" t="s">
        <v>418</v>
      </c>
      <c r="E265" s="8"/>
      <c r="F265" s="8"/>
      <c r="M265" s="1681"/>
      <c r="N265" s="1681"/>
      <c r="O265" s="1681"/>
      <c r="P265" s="1681"/>
      <c r="Q265" s="1681"/>
      <c r="R265" s="1681"/>
      <c r="S265" s="8" t="s">
        <v>899</v>
      </c>
      <c r="T265" s="8"/>
      <c r="U265" s="1694"/>
      <c r="V265" s="1694"/>
      <c r="W265" s="1694"/>
      <c r="X265" s="8" t="s">
        <v>419</v>
      </c>
      <c r="Z265" s="1681"/>
      <c r="AA265" s="1681"/>
      <c r="AB265" s="1681"/>
      <c r="AC265" s="1681"/>
      <c r="AD265" s="1681"/>
      <c r="AE265" s="1681"/>
      <c r="AL265" s="72"/>
      <c r="BA265" s="75"/>
    </row>
    <row r="266" spans="1:53" ht="12.75">
      <c r="A266" s="33"/>
      <c r="B266" s="8"/>
      <c r="C266" s="8"/>
      <c r="D266" s="74" t="s">
        <v>420</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75">
      <c r="A267" s="33"/>
      <c r="B267" s="8"/>
      <c r="C267" s="147"/>
      <c r="D267" s="74" t="s">
        <v>700</v>
      </c>
      <c r="E267" s="8"/>
      <c r="F267" s="8"/>
      <c r="G267" s="8"/>
      <c r="H267" s="8"/>
      <c r="I267" s="8"/>
      <c r="J267" s="8"/>
      <c r="K267" s="8"/>
      <c r="L267" s="8"/>
      <c r="M267" s="1688" t="s">
        <v>85</v>
      </c>
      <c r="N267" s="1688"/>
      <c r="O267" s="1688"/>
      <c r="P267" s="1688"/>
      <c r="Q267" s="1688"/>
      <c r="R267" s="1688"/>
      <c r="S267" s="1688"/>
      <c r="T267" s="1688"/>
      <c r="U267" s="8" t="s">
        <v>1266</v>
      </c>
      <c r="AA267" s="1691"/>
      <c r="AB267" s="1691"/>
      <c r="AC267" s="1691"/>
      <c r="AD267" s="1691"/>
      <c r="AE267" s="1691"/>
      <c r="AF267" s="1691"/>
      <c r="AG267" s="1691"/>
      <c r="AH267" s="1691"/>
      <c r="AI267" s="1691"/>
      <c r="AJ267" s="1691"/>
      <c r="AK267" s="169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3" t="str">
        <f>BO245</f>
        <v>Nonprofit</v>
      </c>
      <c r="U269" s="1683"/>
      <c r="V269" s="1683"/>
      <c r="W269" s="1683"/>
      <c r="X269" s="1683"/>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4" t="s">
        <v>993</v>
      </c>
      <c r="E272" s="1684"/>
      <c r="F272" s="1684"/>
      <c r="G272" s="1684"/>
      <c r="H272" s="1684"/>
      <c r="J272" s="16" t="s">
        <v>992</v>
      </c>
      <c r="X272" s="1857"/>
      <c r="Y272" s="1857"/>
      <c r="Z272" s="1857"/>
      <c r="AA272" s="1857"/>
      <c r="AB272" s="1857"/>
      <c r="AC272" s="185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43" t="s">
        <v>2393</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415</v>
      </c>
      <c r="E277" s="71"/>
      <c r="F277" s="71"/>
      <c r="G277" s="71"/>
      <c r="H277" s="71"/>
      <c r="I277" s="71"/>
      <c r="J277" s="71"/>
      <c r="K277" s="8"/>
      <c r="L277" s="1692" t="s">
        <v>2384</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75">
      <c r="D278" s="71" t="s">
        <v>478</v>
      </c>
      <c r="E278" s="71"/>
      <c r="L278" s="1692" t="s">
        <v>123</v>
      </c>
      <c r="M278" s="1684"/>
      <c r="N278" s="1684"/>
      <c r="O278" s="1684"/>
      <c r="P278" s="1684"/>
      <c r="Q278" s="1684"/>
      <c r="R278" s="1684"/>
      <c r="S278" s="1684"/>
      <c r="U278" s="73" t="s">
        <v>416</v>
      </c>
      <c r="V278" s="1693" t="s">
        <v>2392</v>
      </c>
      <c r="W278" s="1694"/>
      <c r="X278" s="71" t="s">
        <v>481</v>
      </c>
      <c r="AB278" s="1684">
        <v>92101</v>
      </c>
      <c r="AC278" s="1684"/>
      <c r="AD278" s="1684"/>
      <c r="AK278" s="72"/>
      <c r="AL278" s="72"/>
      <c r="BA278" s="75"/>
    </row>
    <row r="279" spans="1:53" ht="12.75">
      <c r="D279" s="74" t="s">
        <v>417</v>
      </c>
      <c r="E279" s="8"/>
      <c r="F279" s="8"/>
      <c r="G279" s="8"/>
      <c r="H279" s="8"/>
      <c r="I279" s="8"/>
      <c r="J279" s="8"/>
      <c r="K279" s="39"/>
      <c r="L279" s="1692" t="s">
        <v>2385</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75">
      <c r="D280" s="74" t="s">
        <v>418</v>
      </c>
      <c r="E280" s="8"/>
      <c r="F280" s="8"/>
      <c r="L280" s="1680" t="s">
        <v>2386</v>
      </c>
      <c r="M280" s="1681"/>
      <c r="N280" s="1681"/>
      <c r="O280" s="1681"/>
      <c r="P280" s="1681"/>
      <c r="Q280" s="1681"/>
      <c r="R280" s="8" t="s">
        <v>899</v>
      </c>
      <c r="S280" s="8"/>
      <c r="T280" s="1694"/>
      <c r="U280" s="1694"/>
      <c r="V280" s="1694"/>
      <c r="W280" s="8" t="s">
        <v>419</v>
      </c>
      <c r="Y280" s="1680" t="s">
        <v>2547</v>
      </c>
      <c r="Z280" s="1681"/>
      <c r="AA280" s="1681"/>
      <c r="AB280" s="1681"/>
      <c r="AC280" s="1681"/>
      <c r="AD280" s="1681"/>
      <c r="BA280" s="75"/>
    </row>
    <row r="281" spans="1:53" ht="12.75">
      <c r="D281" s="74" t="s">
        <v>420</v>
      </c>
      <c r="E281" s="8"/>
      <c r="F281" s="8"/>
      <c r="L281" s="1685" t="s">
        <v>2388</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75">
      <c r="D282" s="72" t="s">
        <v>202</v>
      </c>
      <c r="E282" s="72"/>
      <c r="F282" s="72"/>
      <c r="G282" s="72"/>
      <c r="H282" s="72"/>
      <c r="I282" s="72"/>
      <c r="L282" s="1693"/>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203</v>
      </c>
      <c r="BA283" s="75"/>
    </row>
    <row r="284" spans="1:53" ht="12.75">
      <c r="A284" s="1678" t="s">
        <v>544</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89" t="s">
        <v>2393</v>
      </c>
      <c r="I289" s="1689"/>
      <c r="J289" s="1689"/>
      <c r="K289" s="1689"/>
      <c r="L289" s="1689"/>
      <c r="M289" s="1689"/>
      <c r="N289" s="1689"/>
      <c r="O289" s="1689"/>
      <c r="P289" s="1689"/>
      <c r="Q289" s="1689"/>
      <c r="R289" s="1689"/>
      <c r="T289" s="72" t="s">
        <v>812</v>
      </c>
      <c r="V289" s="72"/>
      <c r="W289" s="72"/>
      <c r="X289" s="72"/>
      <c r="Y289" s="72"/>
      <c r="AA289" s="1689" t="s">
        <v>2551</v>
      </c>
      <c r="AB289" s="1689"/>
      <c r="AC289" s="1689"/>
      <c r="AD289" s="1689"/>
      <c r="AE289" s="1689"/>
      <c r="AF289" s="1689"/>
      <c r="AG289" s="1689"/>
      <c r="AH289" s="1689"/>
      <c r="AI289" s="1689"/>
      <c r="AJ289" s="1689"/>
      <c r="AK289" s="1689"/>
      <c r="BA289" s="75"/>
    </row>
    <row r="290" spans="2:53" ht="12.75">
      <c r="B290" s="72" t="s">
        <v>764</v>
      </c>
      <c r="C290" s="72"/>
      <c r="D290" s="72"/>
      <c r="E290" s="72"/>
      <c r="F290" s="72"/>
      <c r="H290" s="1688" t="s">
        <v>2384</v>
      </c>
      <c r="I290" s="1688"/>
      <c r="J290" s="1688"/>
      <c r="K290" s="1688"/>
      <c r="L290" s="1688"/>
      <c r="M290" s="1688"/>
      <c r="N290" s="1688"/>
      <c r="O290" s="1688"/>
      <c r="P290" s="1688"/>
      <c r="Q290" s="1688"/>
      <c r="R290" s="1688"/>
      <c r="T290" s="72" t="s">
        <v>764</v>
      </c>
      <c r="V290" s="72"/>
      <c r="W290" s="72"/>
      <c r="X290" s="72"/>
      <c r="Y290" s="72"/>
      <c r="AA290" s="1688" t="s">
        <v>2400</v>
      </c>
      <c r="AB290" s="1688"/>
      <c r="AC290" s="1688"/>
      <c r="AD290" s="1688"/>
      <c r="AE290" s="1688"/>
      <c r="AF290" s="1688"/>
      <c r="AG290" s="1688"/>
      <c r="AH290" s="1688"/>
      <c r="AI290" s="1688"/>
      <c r="AJ290" s="1688"/>
      <c r="AK290" s="1688"/>
      <c r="BA290" s="75"/>
    </row>
    <row r="291" spans="2:53" ht="12.75">
      <c r="B291" s="72" t="s">
        <v>766</v>
      </c>
      <c r="C291" s="72"/>
      <c r="D291" s="72"/>
      <c r="E291" s="72"/>
      <c r="F291" s="72"/>
      <c r="H291" s="1688" t="s">
        <v>2398</v>
      </c>
      <c r="I291" s="1688"/>
      <c r="J291" s="1688"/>
      <c r="K291" s="1688"/>
      <c r="L291" s="1688"/>
      <c r="M291" s="1688"/>
      <c r="N291" s="1688"/>
      <c r="O291" s="1688"/>
      <c r="P291" s="1688"/>
      <c r="Q291" s="1688"/>
      <c r="R291" s="1688"/>
      <c r="T291" s="72" t="s">
        <v>765</v>
      </c>
      <c r="V291" s="72"/>
      <c r="W291" s="72"/>
      <c r="X291" s="72"/>
      <c r="Y291" s="72"/>
      <c r="AA291" s="1688" t="s">
        <v>2401</v>
      </c>
      <c r="AB291" s="1688"/>
      <c r="AC291" s="1688"/>
      <c r="AD291" s="1688"/>
      <c r="AE291" s="1688"/>
      <c r="AF291" s="1688"/>
      <c r="AG291" s="1688"/>
      <c r="AH291" s="1688"/>
      <c r="AI291" s="1688"/>
      <c r="AJ291" s="1688"/>
      <c r="AK291" s="1688"/>
      <c r="BA291" s="75"/>
    </row>
    <row r="292" spans="2:53" ht="12.75">
      <c r="B292" s="72" t="s">
        <v>417</v>
      </c>
      <c r="C292" s="72"/>
      <c r="D292" s="72"/>
      <c r="E292" s="72"/>
      <c r="F292" s="72"/>
      <c r="H292" s="1688" t="s">
        <v>2373</v>
      </c>
      <c r="I292" s="1688"/>
      <c r="J292" s="1688"/>
      <c r="K292" s="1688"/>
      <c r="L292" s="1688"/>
      <c r="M292" s="1688"/>
      <c r="N292" s="1688"/>
      <c r="O292" s="1688"/>
      <c r="P292" s="1688"/>
      <c r="Q292" s="1688"/>
      <c r="R292" s="1688"/>
      <c r="T292" s="72" t="s">
        <v>417</v>
      </c>
      <c r="V292" s="72"/>
      <c r="W292" s="72"/>
      <c r="X292" s="72"/>
      <c r="Y292" s="72"/>
      <c r="AA292" s="1688" t="s">
        <v>2402</v>
      </c>
      <c r="AB292" s="1688"/>
      <c r="AC292" s="1688"/>
      <c r="AD292" s="1688"/>
      <c r="AE292" s="1688"/>
      <c r="AF292" s="1688"/>
      <c r="AG292" s="1688"/>
      <c r="AH292" s="1688"/>
      <c r="AI292" s="1688"/>
      <c r="AJ292" s="1688"/>
      <c r="AK292" s="1688"/>
      <c r="BA292" s="75"/>
    </row>
    <row r="293" spans="2:53" ht="12.75" customHeight="1">
      <c r="B293" s="72" t="s">
        <v>418</v>
      </c>
      <c r="C293" s="72"/>
      <c r="D293" s="72"/>
      <c r="E293" s="72"/>
      <c r="F293" s="72"/>
      <c r="G293" s="72"/>
      <c r="H293" s="1690" t="s">
        <v>2387</v>
      </c>
      <c r="I293" s="1691"/>
      <c r="J293" s="1691"/>
      <c r="K293" s="1691"/>
      <c r="L293" s="1691"/>
      <c r="M293" s="1691"/>
      <c r="N293" s="8" t="s">
        <v>899</v>
      </c>
      <c r="O293" s="8"/>
      <c r="P293" s="1684"/>
      <c r="Q293" s="1684"/>
      <c r="R293" s="1684"/>
      <c r="S293" s="72"/>
      <c r="T293" s="72" t="s">
        <v>418</v>
      </c>
      <c r="V293" s="72"/>
      <c r="W293" s="72"/>
      <c r="X293" s="72"/>
      <c r="Y293" s="72"/>
      <c r="AA293" s="1690" t="s">
        <v>2403</v>
      </c>
      <c r="AB293" s="1691"/>
      <c r="AC293" s="1691"/>
      <c r="AD293" s="1691"/>
      <c r="AE293" s="1691"/>
      <c r="AF293" s="1691"/>
      <c r="AG293" s="8" t="s">
        <v>899</v>
      </c>
      <c r="AH293" s="8"/>
      <c r="AI293" s="1684"/>
      <c r="AJ293" s="1684"/>
      <c r="AK293" s="1684"/>
      <c r="BA293" s="75"/>
    </row>
    <row r="294" spans="2:53" ht="12.75">
      <c r="B294" s="72" t="s">
        <v>419</v>
      </c>
      <c r="C294" s="72"/>
      <c r="D294" s="72"/>
      <c r="E294" s="72"/>
      <c r="F294" s="72"/>
      <c r="G294" s="72"/>
      <c r="H294" s="1681"/>
      <c r="I294" s="1681"/>
      <c r="J294" s="1681"/>
      <c r="K294" s="1681"/>
      <c r="L294" s="1681"/>
      <c r="M294" s="1681"/>
      <c r="N294" s="74"/>
      <c r="O294" s="74"/>
      <c r="P294" s="76"/>
      <c r="Q294" s="76"/>
      <c r="R294" s="76"/>
      <c r="S294" s="72"/>
      <c r="T294" s="72" t="s">
        <v>419</v>
      </c>
      <c r="V294" s="72"/>
      <c r="W294" s="72"/>
      <c r="X294" s="72"/>
      <c r="Y294" s="72"/>
      <c r="AA294" s="1681"/>
      <c r="AB294" s="1681"/>
      <c r="AC294" s="1681"/>
      <c r="AD294" s="1681"/>
      <c r="AE294" s="1681"/>
      <c r="AF294" s="1681"/>
      <c r="AG294" s="74"/>
      <c r="AH294" s="74"/>
      <c r="AI294" s="76"/>
      <c r="AJ294" s="76"/>
      <c r="AK294" s="76"/>
      <c r="BA294" s="75"/>
    </row>
    <row r="295" spans="2:53" ht="12.75">
      <c r="B295" s="72" t="s">
        <v>767</v>
      </c>
      <c r="C295" s="72"/>
      <c r="D295" s="72"/>
      <c r="E295" s="72"/>
      <c r="F295" s="72"/>
      <c r="G295" s="72"/>
      <c r="H295" s="1688" t="s">
        <v>2399</v>
      </c>
      <c r="I295" s="1688"/>
      <c r="J295" s="1688"/>
      <c r="K295" s="1688"/>
      <c r="L295" s="1688"/>
      <c r="M295" s="1688"/>
      <c r="N295" s="1689"/>
      <c r="O295" s="1689"/>
      <c r="P295" s="1689"/>
      <c r="Q295" s="1689"/>
      <c r="R295" s="1689"/>
      <c r="S295" s="72"/>
      <c r="T295" s="72" t="s">
        <v>767</v>
      </c>
      <c r="V295" s="72"/>
      <c r="W295" s="72"/>
      <c r="X295" s="72"/>
      <c r="Y295" s="72"/>
      <c r="AA295" s="1688" t="s">
        <v>2404</v>
      </c>
      <c r="AB295" s="1688"/>
      <c r="AC295" s="1688"/>
      <c r="AD295" s="1688"/>
      <c r="AE295" s="1688"/>
      <c r="AF295" s="1688"/>
      <c r="AG295" s="1689"/>
      <c r="AH295" s="1689"/>
      <c r="AI295" s="1689"/>
      <c r="AJ295" s="1689"/>
      <c r="AK295" s="168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89" t="s">
        <v>2405</v>
      </c>
      <c r="I297" s="1689"/>
      <c r="J297" s="1689"/>
      <c r="K297" s="1689"/>
      <c r="L297" s="1689"/>
      <c r="M297" s="1689"/>
      <c r="N297" s="1689"/>
      <c r="O297" s="1689"/>
      <c r="P297" s="1689"/>
      <c r="Q297" s="1689"/>
      <c r="R297" s="1689"/>
      <c r="T297" s="72" t="s">
        <v>40</v>
      </c>
      <c r="V297" s="72"/>
      <c r="W297" s="72"/>
      <c r="X297" s="72"/>
      <c r="Y297" s="72"/>
      <c r="AA297" s="1689" t="s">
        <v>2412</v>
      </c>
      <c r="AB297" s="1689"/>
      <c r="AC297" s="1689"/>
      <c r="AD297" s="1689"/>
      <c r="AE297" s="1689"/>
      <c r="AF297" s="1689"/>
      <c r="AG297" s="1689"/>
      <c r="AH297" s="1689"/>
      <c r="AI297" s="1689"/>
      <c r="AJ297" s="1689"/>
      <c r="AK297" s="1689"/>
      <c r="BA297" s="75"/>
    </row>
    <row r="298" spans="2:53" ht="12.75">
      <c r="B298" s="72" t="s">
        <v>764</v>
      </c>
      <c r="C298" s="72"/>
      <c r="D298" s="72"/>
      <c r="E298" s="72"/>
      <c r="F298" s="72"/>
      <c r="H298" s="1688" t="s">
        <v>2406</v>
      </c>
      <c r="I298" s="1688"/>
      <c r="J298" s="1688"/>
      <c r="K298" s="1688"/>
      <c r="L298" s="1688"/>
      <c r="M298" s="1688"/>
      <c r="N298" s="1688"/>
      <c r="O298" s="1688"/>
      <c r="P298" s="1688"/>
      <c r="Q298" s="1688"/>
      <c r="R298" s="1688"/>
      <c r="T298" s="72" t="s">
        <v>764</v>
      </c>
      <c r="V298" s="72"/>
      <c r="W298" s="72"/>
      <c r="X298" s="72"/>
      <c r="Y298" s="72"/>
      <c r="AA298" s="1688" t="s">
        <v>2413</v>
      </c>
      <c r="AB298" s="1688"/>
      <c r="AC298" s="1688"/>
      <c r="AD298" s="1688"/>
      <c r="AE298" s="1688"/>
      <c r="AF298" s="1688"/>
      <c r="AG298" s="1688"/>
      <c r="AH298" s="1688"/>
      <c r="AI298" s="1688"/>
      <c r="AJ298" s="1688"/>
      <c r="AK298" s="1688"/>
      <c r="BA298" s="75"/>
    </row>
    <row r="299" spans="2:53" ht="12.75">
      <c r="B299" s="72" t="s">
        <v>766</v>
      </c>
      <c r="C299" s="72"/>
      <c r="D299" s="72"/>
      <c r="E299" s="72"/>
      <c r="F299" s="72"/>
      <c r="H299" s="1688" t="s">
        <v>2407</v>
      </c>
      <c r="I299" s="1688"/>
      <c r="J299" s="1688"/>
      <c r="K299" s="1688"/>
      <c r="L299" s="1688"/>
      <c r="M299" s="1688"/>
      <c r="N299" s="1688"/>
      <c r="O299" s="1688"/>
      <c r="P299" s="1688"/>
      <c r="Q299" s="1688"/>
      <c r="R299" s="1688"/>
      <c r="T299" s="72" t="s">
        <v>765</v>
      </c>
      <c r="V299" s="72"/>
      <c r="W299" s="72"/>
      <c r="X299" s="72"/>
      <c r="Y299" s="72"/>
      <c r="AA299" s="1688" t="s">
        <v>2414</v>
      </c>
      <c r="AB299" s="1688"/>
      <c r="AC299" s="1688"/>
      <c r="AD299" s="1688"/>
      <c r="AE299" s="1688"/>
      <c r="AF299" s="1688"/>
      <c r="AG299" s="1688"/>
      <c r="AH299" s="1688"/>
      <c r="AI299" s="1688"/>
      <c r="AJ299" s="1688"/>
      <c r="AK299" s="1688"/>
      <c r="BA299" s="75"/>
    </row>
    <row r="300" spans="2:53" ht="12.75">
      <c r="B300" s="72" t="s">
        <v>417</v>
      </c>
      <c r="C300" s="72"/>
      <c r="D300" s="72"/>
      <c r="E300" s="72"/>
      <c r="F300" s="72"/>
      <c r="H300" s="1688" t="s">
        <v>2408</v>
      </c>
      <c r="I300" s="1688"/>
      <c r="J300" s="1688"/>
      <c r="K300" s="1688"/>
      <c r="L300" s="1688"/>
      <c r="M300" s="1688"/>
      <c r="N300" s="1688"/>
      <c r="O300" s="1688"/>
      <c r="P300" s="1688"/>
      <c r="Q300" s="1688"/>
      <c r="R300" s="1688"/>
      <c r="T300" s="72" t="s">
        <v>417</v>
      </c>
      <c r="V300" s="72"/>
      <c r="W300" s="72"/>
      <c r="X300" s="72"/>
      <c r="Y300" s="72"/>
      <c r="AA300" s="1688" t="s">
        <v>2415</v>
      </c>
      <c r="AB300" s="1688"/>
      <c r="AC300" s="1688"/>
      <c r="AD300" s="1688"/>
      <c r="AE300" s="1688"/>
      <c r="AF300" s="1688"/>
      <c r="AG300" s="1688"/>
      <c r="AH300" s="1688"/>
      <c r="AI300" s="1688"/>
      <c r="AJ300" s="1688"/>
      <c r="AK300" s="1688"/>
      <c r="BA300" s="75"/>
    </row>
    <row r="301" spans="2:53" ht="12.75" customHeight="1">
      <c r="B301" s="72" t="s">
        <v>418</v>
      </c>
      <c r="C301" s="72"/>
      <c r="D301" s="72"/>
      <c r="E301" s="72"/>
      <c r="F301" s="72"/>
      <c r="G301" s="72"/>
      <c r="H301" s="1690" t="s">
        <v>2409</v>
      </c>
      <c r="I301" s="1691"/>
      <c r="J301" s="1691"/>
      <c r="K301" s="1691"/>
      <c r="L301" s="1691"/>
      <c r="M301" s="1691"/>
      <c r="N301" s="8" t="s">
        <v>899</v>
      </c>
      <c r="O301" s="8"/>
      <c r="P301" s="1684"/>
      <c r="Q301" s="1684"/>
      <c r="R301" s="1684"/>
      <c r="S301" s="72"/>
      <c r="T301" s="72" t="s">
        <v>418</v>
      </c>
      <c r="V301" s="72"/>
      <c r="W301" s="72"/>
      <c r="X301" s="72"/>
      <c r="Y301" s="72"/>
      <c r="AA301" s="1690" t="s">
        <v>2416</v>
      </c>
      <c r="AB301" s="1691"/>
      <c r="AC301" s="1691"/>
      <c r="AD301" s="1691"/>
      <c r="AE301" s="1691"/>
      <c r="AF301" s="1691"/>
      <c r="AG301" s="8" t="s">
        <v>899</v>
      </c>
      <c r="AH301" s="8"/>
      <c r="AI301" s="1684"/>
      <c r="AJ301" s="1684"/>
      <c r="AK301" s="1684"/>
      <c r="BA301" s="75"/>
    </row>
    <row r="302" spans="2:53" ht="12.75">
      <c r="B302" s="72" t="s">
        <v>419</v>
      </c>
      <c r="C302" s="72"/>
      <c r="D302" s="72"/>
      <c r="E302" s="72"/>
      <c r="F302" s="72"/>
      <c r="G302" s="72"/>
      <c r="H302" s="1680" t="s">
        <v>2410</v>
      </c>
      <c r="I302" s="1681"/>
      <c r="J302" s="1681"/>
      <c r="K302" s="1681"/>
      <c r="L302" s="1681"/>
      <c r="M302" s="1681"/>
      <c r="N302" s="74"/>
      <c r="O302" s="74"/>
      <c r="P302" s="76"/>
      <c r="Q302" s="76"/>
      <c r="R302" s="76"/>
      <c r="S302" s="72"/>
      <c r="T302" s="72" t="s">
        <v>419</v>
      </c>
      <c r="V302" s="72"/>
      <c r="W302" s="72"/>
      <c r="X302" s="72"/>
      <c r="Y302" s="72"/>
      <c r="AA302" s="1681"/>
      <c r="AB302" s="1681"/>
      <c r="AC302" s="1681"/>
      <c r="AD302" s="1681"/>
      <c r="AE302" s="1681"/>
      <c r="AF302" s="1681"/>
      <c r="AG302" s="74"/>
      <c r="AH302" s="74"/>
      <c r="AI302" s="76"/>
      <c r="AJ302" s="76"/>
      <c r="AK302" s="76"/>
      <c r="BA302" s="75"/>
    </row>
    <row r="303" spans="2:53" ht="12.75">
      <c r="B303" s="72" t="s">
        <v>767</v>
      </c>
      <c r="C303" s="72"/>
      <c r="D303" s="72"/>
      <c r="E303" s="72"/>
      <c r="F303" s="72"/>
      <c r="G303" s="72"/>
      <c r="H303" s="1688" t="s">
        <v>2411</v>
      </c>
      <c r="I303" s="1688"/>
      <c r="J303" s="1688"/>
      <c r="K303" s="1688"/>
      <c r="L303" s="1688"/>
      <c r="M303" s="1688"/>
      <c r="N303" s="1689"/>
      <c r="O303" s="1689"/>
      <c r="P303" s="1689"/>
      <c r="Q303" s="1689"/>
      <c r="R303" s="1689"/>
      <c r="S303" s="72"/>
      <c r="T303" s="72" t="s">
        <v>767</v>
      </c>
      <c r="V303" s="72"/>
      <c r="W303" s="72"/>
      <c r="X303" s="72"/>
      <c r="Y303" s="72"/>
      <c r="AA303" s="1688" t="s">
        <v>2417</v>
      </c>
      <c r="AB303" s="1688"/>
      <c r="AC303" s="1688"/>
      <c r="AD303" s="1688"/>
      <c r="AE303" s="1688"/>
      <c r="AF303" s="1688"/>
      <c r="AG303" s="1689"/>
      <c r="AH303" s="1689"/>
      <c r="AI303" s="1689"/>
      <c r="AJ303" s="1689"/>
      <c r="AK303" s="1689"/>
      <c r="BA303" s="75"/>
    </row>
    <row r="304" spans="2:53" ht="12.75">
      <c r="BA304" s="75"/>
    </row>
    <row r="305" spans="1:53" ht="12.75" customHeight="1">
      <c r="B305" s="72" t="s">
        <v>768</v>
      </c>
      <c r="C305" s="72"/>
      <c r="D305" s="72"/>
      <c r="E305" s="72"/>
      <c r="F305" s="72"/>
      <c r="H305" s="1689" t="s">
        <v>2418</v>
      </c>
      <c r="I305" s="1689"/>
      <c r="J305" s="1689"/>
      <c r="K305" s="1689"/>
      <c r="L305" s="1689"/>
      <c r="M305" s="1689"/>
      <c r="N305" s="1689"/>
      <c r="O305" s="1689"/>
      <c r="P305" s="1689"/>
      <c r="Q305" s="1689"/>
      <c r="R305" s="1689"/>
      <c r="T305" s="8" t="s">
        <v>1223</v>
      </c>
      <c r="V305" s="72"/>
      <c r="W305" s="72"/>
      <c r="X305" s="72"/>
      <c r="Y305" s="72"/>
      <c r="AA305" s="1689" t="s">
        <v>2424</v>
      </c>
      <c r="AB305" s="1689"/>
      <c r="AC305" s="1689"/>
      <c r="AD305" s="1689"/>
      <c r="AE305" s="1689"/>
      <c r="AF305" s="1689"/>
      <c r="AG305" s="1689"/>
      <c r="AH305" s="1689"/>
      <c r="AI305" s="1689"/>
      <c r="AJ305" s="1689"/>
      <c r="AK305" s="1689"/>
      <c r="BA305" s="75"/>
    </row>
    <row r="306" spans="1:53" ht="12.75" customHeight="1">
      <c r="B306" s="72" t="s">
        <v>764</v>
      </c>
      <c r="C306" s="72"/>
      <c r="D306" s="72"/>
      <c r="E306" s="72"/>
      <c r="F306" s="72"/>
      <c r="H306" s="1688" t="s">
        <v>2419</v>
      </c>
      <c r="I306" s="1688"/>
      <c r="J306" s="1688"/>
      <c r="K306" s="1688"/>
      <c r="L306" s="1688"/>
      <c r="M306" s="1688"/>
      <c r="N306" s="1688"/>
      <c r="O306" s="1688"/>
      <c r="P306" s="1688"/>
      <c r="Q306" s="1688"/>
      <c r="R306" s="1688"/>
      <c r="T306" s="72" t="s">
        <v>764</v>
      </c>
      <c r="V306" s="72"/>
      <c r="W306" s="72"/>
      <c r="X306" s="72"/>
      <c r="Y306" s="72"/>
      <c r="AA306" s="1688" t="s">
        <v>2425</v>
      </c>
      <c r="AB306" s="1688"/>
      <c r="AC306" s="1688"/>
      <c r="AD306" s="1688"/>
      <c r="AE306" s="1688"/>
      <c r="AF306" s="1688"/>
      <c r="AG306" s="1688"/>
      <c r="AH306" s="1688"/>
      <c r="AI306" s="1688"/>
      <c r="AJ306" s="1688"/>
      <c r="AK306" s="1688"/>
      <c r="BA306" s="75"/>
    </row>
    <row r="307" spans="1:53" ht="12.75" customHeight="1">
      <c r="B307" s="72" t="s">
        <v>766</v>
      </c>
      <c r="C307" s="72"/>
      <c r="D307" s="72"/>
      <c r="E307" s="72"/>
      <c r="F307" s="72"/>
      <c r="H307" s="1688" t="s">
        <v>2420</v>
      </c>
      <c r="I307" s="1688"/>
      <c r="J307" s="1688"/>
      <c r="K307" s="1688"/>
      <c r="L307" s="1688"/>
      <c r="M307" s="1688"/>
      <c r="N307" s="1688"/>
      <c r="O307" s="1688"/>
      <c r="P307" s="1688"/>
      <c r="Q307" s="1688"/>
      <c r="R307" s="1688"/>
      <c r="T307" s="72" t="s">
        <v>765</v>
      </c>
      <c r="V307" s="72"/>
      <c r="W307" s="72"/>
      <c r="X307" s="72"/>
      <c r="Y307" s="72"/>
      <c r="AA307" s="1688" t="s">
        <v>2426</v>
      </c>
      <c r="AB307" s="1688"/>
      <c r="AC307" s="1688"/>
      <c r="AD307" s="1688"/>
      <c r="AE307" s="1688"/>
      <c r="AF307" s="1688"/>
      <c r="AG307" s="1688"/>
      <c r="AH307" s="1688"/>
      <c r="AI307" s="1688"/>
      <c r="AJ307" s="1688"/>
      <c r="AK307" s="1688"/>
      <c r="BA307" s="75"/>
    </row>
    <row r="308" spans="1:53" ht="12.75" customHeight="1">
      <c r="B308" s="72" t="s">
        <v>417</v>
      </c>
      <c r="C308" s="72"/>
      <c r="D308" s="72"/>
      <c r="E308" s="72"/>
      <c r="F308" s="72"/>
      <c r="H308" s="1688" t="s">
        <v>2421</v>
      </c>
      <c r="I308" s="1688"/>
      <c r="J308" s="1688"/>
      <c r="K308" s="1688"/>
      <c r="L308" s="1688"/>
      <c r="M308" s="1688"/>
      <c r="N308" s="1688"/>
      <c r="O308" s="1688"/>
      <c r="P308" s="1688"/>
      <c r="Q308" s="1688"/>
      <c r="R308" s="1688"/>
      <c r="T308" s="72" t="s">
        <v>417</v>
      </c>
      <c r="V308" s="72"/>
      <c r="W308" s="72"/>
      <c r="X308" s="72"/>
      <c r="Y308" s="72"/>
      <c r="AA308" s="1688" t="s">
        <v>2427</v>
      </c>
      <c r="AB308" s="1688"/>
      <c r="AC308" s="1688"/>
      <c r="AD308" s="1688"/>
      <c r="AE308" s="1688"/>
      <c r="AF308" s="1688"/>
      <c r="AG308" s="1688"/>
      <c r="AH308" s="1688"/>
      <c r="AI308" s="1688"/>
      <c r="AJ308" s="1688"/>
      <c r="AK308" s="1688"/>
      <c r="BA308" s="75"/>
    </row>
    <row r="309" spans="1:53" ht="12.75">
      <c r="B309" s="72" t="s">
        <v>418</v>
      </c>
      <c r="C309" s="72"/>
      <c r="D309" s="72"/>
      <c r="E309" s="72"/>
      <c r="F309" s="72"/>
      <c r="G309" s="72"/>
      <c r="H309" s="1690" t="s">
        <v>2422</v>
      </c>
      <c r="I309" s="1691"/>
      <c r="J309" s="1691"/>
      <c r="K309" s="1691"/>
      <c r="L309" s="1691"/>
      <c r="M309" s="1691"/>
      <c r="N309" s="8" t="s">
        <v>899</v>
      </c>
      <c r="O309" s="8"/>
      <c r="P309" s="1684"/>
      <c r="Q309" s="1684"/>
      <c r="R309" s="1684"/>
      <c r="S309" s="72"/>
      <c r="T309" s="72" t="s">
        <v>418</v>
      </c>
      <c r="V309" s="72"/>
      <c r="W309" s="72"/>
      <c r="X309" s="72"/>
      <c r="Y309" s="72"/>
      <c r="AA309" s="1690" t="s">
        <v>2428</v>
      </c>
      <c r="AB309" s="1691"/>
      <c r="AC309" s="1691"/>
      <c r="AD309" s="1691"/>
      <c r="AE309" s="1691"/>
      <c r="AF309" s="1691"/>
      <c r="AG309" s="8" t="s">
        <v>899</v>
      </c>
      <c r="AH309" s="8"/>
      <c r="AI309" s="1684"/>
      <c r="AJ309" s="1684"/>
      <c r="AK309" s="1684"/>
      <c r="BA309" s="75"/>
    </row>
    <row r="310" spans="1:53" ht="12.75">
      <c r="B310" s="72" t="s">
        <v>419</v>
      </c>
      <c r="C310" s="72"/>
      <c r="D310" s="72"/>
      <c r="E310" s="72"/>
      <c r="F310" s="72"/>
      <c r="G310" s="72"/>
      <c r="H310" s="1681"/>
      <c r="I310" s="1681"/>
      <c r="J310" s="1681"/>
      <c r="K310" s="1681"/>
      <c r="L310" s="1681"/>
      <c r="M310" s="1681"/>
      <c r="N310" s="74"/>
      <c r="O310" s="74"/>
      <c r="P310" s="76"/>
      <c r="Q310" s="76"/>
      <c r="R310" s="76"/>
      <c r="S310" s="72"/>
      <c r="T310" s="72" t="s">
        <v>419</v>
      </c>
      <c r="V310" s="72"/>
      <c r="W310" s="72"/>
      <c r="X310" s="72"/>
      <c r="Y310" s="72"/>
      <c r="AA310" s="1681"/>
      <c r="AB310" s="1681"/>
      <c r="AC310" s="1681"/>
      <c r="AD310" s="1681"/>
      <c r="AE310" s="1681"/>
      <c r="AF310" s="1681"/>
      <c r="AG310" s="74"/>
      <c r="AH310" s="74"/>
      <c r="AI310" s="76"/>
      <c r="AJ310" s="76"/>
      <c r="AK310" s="76"/>
      <c r="BA310" s="75"/>
    </row>
    <row r="311" spans="1:53" ht="12.75">
      <c r="B311" s="72" t="s">
        <v>767</v>
      </c>
      <c r="C311" s="72"/>
      <c r="D311" s="72"/>
      <c r="E311" s="72"/>
      <c r="F311" s="72"/>
      <c r="G311" s="72"/>
      <c r="H311" s="1688" t="s">
        <v>2423</v>
      </c>
      <c r="I311" s="1688"/>
      <c r="J311" s="1688"/>
      <c r="K311" s="1688"/>
      <c r="L311" s="1688"/>
      <c r="M311" s="1688"/>
      <c r="N311" s="1689"/>
      <c r="O311" s="1689"/>
      <c r="P311" s="1689"/>
      <c r="Q311" s="1689"/>
      <c r="R311" s="1689"/>
      <c r="S311" s="72"/>
      <c r="T311" s="72" t="s">
        <v>767</v>
      </c>
      <c r="V311" s="72"/>
      <c r="W311" s="72"/>
      <c r="X311" s="72"/>
      <c r="Y311" s="72"/>
      <c r="AA311" s="1688" t="s">
        <v>2429</v>
      </c>
      <c r="AB311" s="1688"/>
      <c r="AC311" s="1688"/>
      <c r="AD311" s="1688"/>
      <c r="AE311" s="1688"/>
      <c r="AF311" s="1688"/>
      <c r="AG311" s="1689"/>
      <c r="AH311" s="1689"/>
      <c r="AI311" s="1689"/>
      <c r="AJ311" s="1689"/>
      <c r="AK311" s="1689"/>
      <c r="BA311" s="75"/>
    </row>
    <row r="312" spans="1:53" ht="12.75">
      <c r="BA312" s="75"/>
    </row>
    <row r="313" spans="1:53" ht="12.75">
      <c r="B313" s="8" t="s">
        <v>1268</v>
      </c>
      <c r="C313" s="72"/>
      <c r="D313" s="72"/>
      <c r="E313" s="72"/>
      <c r="F313" s="72"/>
      <c r="H313" s="1689" t="s">
        <v>2418</v>
      </c>
      <c r="I313" s="1689"/>
      <c r="J313" s="1689"/>
      <c r="K313" s="1689"/>
      <c r="L313" s="1689"/>
      <c r="M313" s="1689"/>
      <c r="N313" s="1689"/>
      <c r="O313" s="1689"/>
      <c r="P313" s="1689"/>
      <c r="Q313" s="1689"/>
      <c r="R313" s="1689"/>
      <c r="T313" s="72" t="s">
        <v>41</v>
      </c>
      <c r="V313" s="72"/>
      <c r="W313" s="72"/>
      <c r="X313" s="72"/>
      <c r="Y313" s="72"/>
      <c r="AA313" s="1689" t="s">
        <v>2548</v>
      </c>
      <c r="AB313" s="1689"/>
      <c r="AC313" s="1689"/>
      <c r="AD313" s="1689"/>
      <c r="AE313" s="1689"/>
      <c r="AF313" s="1689"/>
      <c r="AG313" s="1689"/>
      <c r="AH313" s="1689"/>
      <c r="AI313" s="1689"/>
      <c r="AJ313" s="1689"/>
      <c r="AK313" s="1689"/>
      <c r="BA313" s="75"/>
    </row>
    <row r="314" spans="1:53" ht="12.75">
      <c r="B314" s="72" t="s">
        <v>764</v>
      </c>
      <c r="C314" s="72"/>
      <c r="D314" s="72"/>
      <c r="E314" s="72"/>
      <c r="F314" s="72"/>
      <c r="H314" s="1688" t="s">
        <v>2419</v>
      </c>
      <c r="I314" s="1688"/>
      <c r="J314" s="1688"/>
      <c r="K314" s="1688"/>
      <c r="L314" s="1688"/>
      <c r="M314" s="1688"/>
      <c r="N314" s="1688"/>
      <c r="O314" s="1688"/>
      <c r="P314" s="1688"/>
      <c r="Q314" s="1688"/>
      <c r="R314" s="1688"/>
      <c r="T314" s="72" t="s">
        <v>764</v>
      </c>
      <c r="V314" s="72"/>
      <c r="W314" s="72"/>
      <c r="X314" s="72"/>
      <c r="Y314" s="72"/>
      <c r="AA314" s="1688"/>
      <c r="AB314" s="1688"/>
      <c r="AC314" s="1688"/>
      <c r="AD314" s="1688"/>
      <c r="AE314" s="1688"/>
      <c r="AF314" s="1688"/>
      <c r="AG314" s="1688"/>
      <c r="AH314" s="1688"/>
      <c r="AI314" s="1688"/>
      <c r="AJ314" s="1688"/>
      <c r="AK314" s="1688"/>
      <c r="BA314" s="75"/>
    </row>
    <row r="315" spans="1:53" ht="12.75" customHeight="1">
      <c r="B315" s="72" t="s">
        <v>766</v>
      </c>
      <c r="C315" s="72"/>
      <c r="D315" s="72"/>
      <c r="E315" s="72"/>
      <c r="F315" s="72"/>
      <c r="H315" s="1688" t="s">
        <v>2420</v>
      </c>
      <c r="I315" s="1688"/>
      <c r="J315" s="1688"/>
      <c r="K315" s="1688"/>
      <c r="L315" s="1688"/>
      <c r="M315" s="1688"/>
      <c r="N315" s="1688"/>
      <c r="O315" s="1688"/>
      <c r="P315" s="1688"/>
      <c r="Q315" s="1688"/>
      <c r="R315" s="1688"/>
      <c r="T315" s="72" t="s">
        <v>765</v>
      </c>
      <c r="V315" s="72"/>
      <c r="W315" s="72"/>
      <c r="X315" s="72"/>
      <c r="Y315" s="72"/>
      <c r="AA315" s="1688"/>
      <c r="AB315" s="1688"/>
      <c r="AC315" s="1688"/>
      <c r="AD315" s="1688"/>
      <c r="AE315" s="1688"/>
      <c r="AF315" s="1688"/>
      <c r="AG315" s="1688"/>
      <c r="AH315" s="1688"/>
      <c r="AI315" s="1688"/>
      <c r="AJ315" s="1688"/>
      <c r="AK315" s="1688"/>
      <c r="BA315" s="75"/>
    </row>
    <row r="316" spans="1:53" ht="12.75" customHeight="1">
      <c r="A316" s="50"/>
      <c r="B316" s="72" t="s">
        <v>417</v>
      </c>
      <c r="C316" s="72"/>
      <c r="D316" s="72"/>
      <c r="E316" s="72"/>
      <c r="F316" s="72"/>
      <c r="H316" s="1688" t="s">
        <v>2421</v>
      </c>
      <c r="I316" s="1688"/>
      <c r="J316" s="1688"/>
      <c r="K316" s="1688"/>
      <c r="L316" s="1688"/>
      <c r="M316" s="1688"/>
      <c r="N316" s="1688"/>
      <c r="O316" s="1688"/>
      <c r="P316" s="1688"/>
      <c r="Q316" s="1688"/>
      <c r="R316" s="1688"/>
      <c r="T316" s="72" t="s">
        <v>417</v>
      </c>
      <c r="V316" s="72"/>
      <c r="W316" s="72"/>
      <c r="X316" s="72"/>
      <c r="Y316" s="72"/>
      <c r="AA316" s="1688"/>
      <c r="AB316" s="1688"/>
      <c r="AC316" s="1688"/>
      <c r="AD316" s="1688"/>
      <c r="AE316" s="1688"/>
      <c r="AF316" s="1688"/>
      <c r="AG316" s="1688"/>
      <c r="AH316" s="1688"/>
      <c r="AI316" s="1688"/>
      <c r="AJ316" s="1688"/>
      <c r="AK316" s="1688"/>
      <c r="AL316" s="50"/>
      <c r="BA316" s="75"/>
    </row>
    <row r="317" spans="1:53" ht="12.75" customHeight="1">
      <c r="A317" s="50"/>
      <c r="B317" s="72" t="s">
        <v>418</v>
      </c>
      <c r="C317" s="72"/>
      <c r="D317" s="72"/>
      <c r="E317" s="72"/>
      <c r="F317" s="72"/>
      <c r="G317" s="72"/>
      <c r="H317" s="1690" t="s">
        <v>2422</v>
      </c>
      <c r="I317" s="1691"/>
      <c r="J317" s="1691"/>
      <c r="K317" s="1691"/>
      <c r="L317" s="1691"/>
      <c r="M317" s="1691"/>
      <c r="N317" s="8" t="s">
        <v>899</v>
      </c>
      <c r="O317" s="8"/>
      <c r="P317" s="1684"/>
      <c r="Q317" s="1684"/>
      <c r="R317" s="1684"/>
      <c r="S317" s="72"/>
      <c r="T317" s="72" t="s">
        <v>418</v>
      </c>
      <c r="V317" s="72"/>
      <c r="W317" s="72"/>
      <c r="X317" s="72"/>
      <c r="Y317" s="72"/>
      <c r="AA317" s="1691"/>
      <c r="AB317" s="1691"/>
      <c r="AC317" s="1691"/>
      <c r="AD317" s="1691"/>
      <c r="AE317" s="1691"/>
      <c r="AF317" s="1691"/>
      <c r="AG317" s="8" t="s">
        <v>899</v>
      </c>
      <c r="AH317" s="8"/>
      <c r="AI317" s="1684"/>
      <c r="AJ317" s="1684"/>
      <c r="AK317" s="1684"/>
      <c r="AL317" s="50"/>
      <c r="BA317" s="75"/>
    </row>
    <row r="318" spans="1:53" ht="12.75" customHeight="1">
      <c r="A318" s="50"/>
      <c r="B318" s="72" t="s">
        <v>419</v>
      </c>
      <c r="C318" s="72"/>
      <c r="D318" s="72"/>
      <c r="E318" s="72"/>
      <c r="F318" s="72"/>
      <c r="G318" s="72"/>
      <c r="H318" s="1681"/>
      <c r="I318" s="1681"/>
      <c r="J318" s="1681"/>
      <c r="K318" s="1681"/>
      <c r="L318" s="1681"/>
      <c r="M318" s="1681"/>
      <c r="N318" s="74"/>
      <c r="O318" s="74"/>
      <c r="P318" s="76"/>
      <c r="Q318" s="76"/>
      <c r="R318" s="76"/>
      <c r="S318" s="72"/>
      <c r="T318" s="72" t="s">
        <v>419</v>
      </c>
      <c r="V318" s="72"/>
      <c r="W318" s="72"/>
      <c r="X318" s="72"/>
      <c r="Y318" s="72"/>
      <c r="AA318" s="1681"/>
      <c r="AB318" s="1681"/>
      <c r="AC318" s="1681"/>
      <c r="AD318" s="1681"/>
      <c r="AE318" s="1681"/>
      <c r="AF318" s="1681"/>
      <c r="AG318" s="74"/>
      <c r="AH318" s="74"/>
      <c r="AI318" s="76"/>
      <c r="AJ318" s="76"/>
      <c r="AK318" s="76"/>
      <c r="AL318" s="50"/>
      <c r="BA318" s="75"/>
    </row>
    <row r="319" spans="1:53" ht="12.75">
      <c r="A319" s="50"/>
      <c r="B319" s="72" t="s">
        <v>767</v>
      </c>
      <c r="C319" s="72"/>
      <c r="D319" s="72"/>
      <c r="E319" s="72"/>
      <c r="F319" s="72"/>
      <c r="G319" s="72"/>
      <c r="H319" s="1688" t="s">
        <v>2423</v>
      </c>
      <c r="I319" s="1688"/>
      <c r="J319" s="1688"/>
      <c r="K319" s="1688"/>
      <c r="L319" s="1688"/>
      <c r="M319" s="1688"/>
      <c r="N319" s="1689"/>
      <c r="O319" s="1689"/>
      <c r="P319" s="1689"/>
      <c r="Q319" s="1689"/>
      <c r="R319" s="1689"/>
      <c r="S319" s="72"/>
      <c r="T319" s="72" t="s">
        <v>767</v>
      </c>
      <c r="V319" s="72"/>
      <c r="W319" s="72"/>
      <c r="X319" s="72"/>
      <c r="Y319" s="72"/>
      <c r="AA319" s="1688"/>
      <c r="AB319" s="1688"/>
      <c r="AC319" s="1688"/>
      <c r="AD319" s="1688"/>
      <c r="AE319" s="1688"/>
      <c r="AF319" s="1688"/>
      <c r="AG319" s="1689"/>
      <c r="AH319" s="1689"/>
      <c r="AI319" s="1689"/>
      <c r="AJ319" s="1689"/>
      <c r="AK319" s="168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89" t="s">
        <v>2436</v>
      </c>
      <c r="I321" s="1689"/>
      <c r="J321" s="1689"/>
      <c r="K321" s="1689"/>
      <c r="L321" s="1689"/>
      <c r="M321" s="1689"/>
      <c r="N321" s="1689"/>
      <c r="O321" s="1689"/>
      <c r="P321" s="1689"/>
      <c r="Q321" s="1689"/>
      <c r="R321" s="1689"/>
      <c r="T321" s="72" t="s">
        <v>42</v>
      </c>
      <c r="V321" s="72"/>
      <c r="W321" s="72"/>
      <c r="X321" s="72"/>
      <c r="Y321" s="72"/>
      <c r="AA321" s="1689" t="s">
        <v>2430</v>
      </c>
      <c r="AB321" s="1689"/>
      <c r="AC321" s="1689"/>
      <c r="AD321" s="1689"/>
      <c r="AE321" s="1689"/>
      <c r="AF321" s="1689"/>
      <c r="AG321" s="1689"/>
      <c r="AH321" s="1689"/>
      <c r="AI321" s="1689"/>
      <c r="AJ321" s="1689"/>
      <c r="AK321" s="1689"/>
      <c r="AL321" s="50"/>
      <c r="BA321" s="75"/>
    </row>
    <row r="322" spans="1:53" ht="12.75">
      <c r="A322" s="50"/>
      <c r="B322" s="72" t="s">
        <v>764</v>
      </c>
      <c r="C322" s="72"/>
      <c r="D322" s="72"/>
      <c r="E322" s="72"/>
      <c r="F322" s="72"/>
      <c r="H322" s="1688" t="s">
        <v>2437</v>
      </c>
      <c r="I322" s="1688"/>
      <c r="J322" s="1688"/>
      <c r="K322" s="1688"/>
      <c r="L322" s="1688"/>
      <c r="M322" s="1688"/>
      <c r="N322" s="1688"/>
      <c r="O322" s="1688"/>
      <c r="P322" s="1688"/>
      <c r="Q322" s="1688"/>
      <c r="R322" s="1688"/>
      <c r="T322" s="72" t="s">
        <v>764</v>
      </c>
      <c r="V322" s="72"/>
      <c r="W322" s="72"/>
      <c r="X322" s="72"/>
      <c r="Y322" s="72"/>
      <c r="AA322" s="1688" t="s">
        <v>2431</v>
      </c>
      <c r="AB322" s="1688"/>
      <c r="AC322" s="1688"/>
      <c r="AD322" s="1688"/>
      <c r="AE322" s="1688"/>
      <c r="AF322" s="1688"/>
      <c r="AG322" s="1688"/>
      <c r="AH322" s="1688"/>
      <c r="AI322" s="1688"/>
      <c r="AJ322" s="1688"/>
      <c r="AK322" s="1688"/>
      <c r="AL322" s="50"/>
      <c r="BA322" s="75"/>
    </row>
    <row r="323" spans="1:53" ht="12.75">
      <c r="A323" s="50"/>
      <c r="B323" s="72" t="s">
        <v>766</v>
      </c>
      <c r="C323" s="72"/>
      <c r="D323" s="72"/>
      <c r="E323" s="72"/>
      <c r="F323" s="72"/>
      <c r="H323" s="1688" t="s">
        <v>2438</v>
      </c>
      <c r="I323" s="1688"/>
      <c r="J323" s="1688"/>
      <c r="K323" s="1688"/>
      <c r="L323" s="1688"/>
      <c r="M323" s="1688"/>
      <c r="N323" s="1688"/>
      <c r="O323" s="1688"/>
      <c r="P323" s="1688"/>
      <c r="Q323" s="1688"/>
      <c r="R323" s="1688"/>
      <c r="T323" s="72" t="s">
        <v>765</v>
      </c>
      <c r="V323" s="72"/>
      <c r="W323" s="72"/>
      <c r="X323" s="72"/>
      <c r="Y323" s="72"/>
      <c r="AA323" s="1688" t="s">
        <v>2432</v>
      </c>
      <c r="AB323" s="1688"/>
      <c r="AC323" s="1688"/>
      <c r="AD323" s="1688"/>
      <c r="AE323" s="1688"/>
      <c r="AF323" s="1688"/>
      <c r="AG323" s="1688"/>
      <c r="AH323" s="1688"/>
      <c r="AI323" s="1688"/>
      <c r="AJ323" s="1688"/>
      <c r="AK323" s="1688"/>
      <c r="AL323" s="50"/>
      <c r="BA323" s="75"/>
    </row>
    <row r="324" spans="1:53" ht="12.75">
      <c r="A324" s="50"/>
      <c r="B324" s="72" t="s">
        <v>417</v>
      </c>
      <c r="C324" s="72"/>
      <c r="D324" s="72"/>
      <c r="E324" s="72"/>
      <c r="F324" s="72"/>
      <c r="H324" s="1688" t="s">
        <v>2439</v>
      </c>
      <c r="I324" s="1688"/>
      <c r="J324" s="1688"/>
      <c r="K324" s="1688"/>
      <c r="L324" s="1688"/>
      <c r="M324" s="1688"/>
      <c r="N324" s="1688"/>
      <c r="O324" s="1688"/>
      <c r="P324" s="1688"/>
      <c r="Q324" s="1688"/>
      <c r="R324" s="1688"/>
      <c r="T324" s="72" t="s">
        <v>417</v>
      </c>
      <c r="V324" s="72"/>
      <c r="W324" s="72"/>
      <c r="X324" s="72"/>
      <c r="Y324" s="72"/>
      <c r="AA324" s="1688" t="s">
        <v>2433</v>
      </c>
      <c r="AB324" s="1688"/>
      <c r="AC324" s="1688"/>
      <c r="AD324" s="1688"/>
      <c r="AE324" s="1688"/>
      <c r="AF324" s="1688"/>
      <c r="AG324" s="1688"/>
      <c r="AH324" s="1688"/>
      <c r="AI324" s="1688"/>
      <c r="AJ324" s="1688"/>
      <c r="AK324" s="1688"/>
      <c r="AL324" s="50"/>
      <c r="BA324" s="75"/>
    </row>
    <row r="325" spans="1:53" ht="12.75">
      <c r="A325" s="50"/>
      <c r="B325" s="72" t="s">
        <v>418</v>
      </c>
      <c r="C325" s="72"/>
      <c r="D325" s="72"/>
      <c r="E325" s="72"/>
      <c r="F325" s="72"/>
      <c r="G325" s="72"/>
      <c r="H325" s="1690" t="s">
        <v>2440</v>
      </c>
      <c r="I325" s="1691"/>
      <c r="J325" s="1691"/>
      <c r="K325" s="1691"/>
      <c r="L325" s="1691"/>
      <c r="M325" s="1691"/>
      <c r="N325" s="8" t="s">
        <v>899</v>
      </c>
      <c r="O325" s="8"/>
      <c r="P325" s="1684"/>
      <c r="Q325" s="1684"/>
      <c r="R325" s="1684"/>
      <c r="S325" s="72"/>
      <c r="T325" s="72" t="s">
        <v>418</v>
      </c>
      <c r="V325" s="72"/>
      <c r="W325" s="72"/>
      <c r="X325" s="72"/>
      <c r="Y325" s="72"/>
      <c r="AA325" s="1690" t="s">
        <v>2434</v>
      </c>
      <c r="AB325" s="1691"/>
      <c r="AC325" s="1691"/>
      <c r="AD325" s="1691"/>
      <c r="AE325" s="1691"/>
      <c r="AF325" s="1691"/>
      <c r="AG325" s="8" t="s">
        <v>899</v>
      </c>
      <c r="AH325" s="8"/>
      <c r="AI325" s="1684"/>
      <c r="AJ325" s="1684"/>
      <c r="AK325" s="1684"/>
      <c r="AL325" s="50"/>
      <c r="BA325" s="75"/>
    </row>
    <row r="326" spans="1:53" ht="12.75">
      <c r="A326" s="50"/>
      <c r="B326" s="72" t="s">
        <v>419</v>
      </c>
      <c r="C326" s="72"/>
      <c r="D326" s="72"/>
      <c r="E326" s="72"/>
      <c r="F326" s="72"/>
      <c r="G326" s="72"/>
      <c r="H326" s="1681"/>
      <c r="I326" s="1681"/>
      <c r="J326" s="1681"/>
      <c r="K326" s="1681"/>
      <c r="L326" s="1681"/>
      <c r="M326" s="1681"/>
      <c r="N326" s="74"/>
      <c r="O326" s="74"/>
      <c r="P326" s="76"/>
      <c r="Q326" s="76"/>
      <c r="R326" s="76"/>
      <c r="S326" s="72"/>
      <c r="T326" s="72" t="s">
        <v>419</v>
      </c>
      <c r="V326" s="72"/>
      <c r="W326" s="72"/>
      <c r="X326" s="72"/>
      <c r="Y326" s="72"/>
      <c r="AA326" s="1681"/>
      <c r="AB326" s="1681"/>
      <c r="AC326" s="1681"/>
      <c r="AD326" s="1681"/>
      <c r="AE326" s="1681"/>
      <c r="AF326" s="1681"/>
      <c r="AG326" s="74"/>
      <c r="AH326" s="74"/>
      <c r="AI326" s="76"/>
      <c r="AJ326" s="76"/>
      <c r="AK326" s="76"/>
      <c r="AL326" s="50"/>
      <c r="BA326" s="75"/>
    </row>
    <row r="327" spans="1:53" ht="12.75">
      <c r="A327" s="50"/>
      <c r="B327" s="72" t="s">
        <v>767</v>
      </c>
      <c r="C327" s="72"/>
      <c r="D327" s="72"/>
      <c r="E327" s="72"/>
      <c r="F327" s="72"/>
      <c r="G327" s="72"/>
      <c r="H327" s="1688" t="s">
        <v>2441</v>
      </c>
      <c r="I327" s="1688"/>
      <c r="J327" s="1688"/>
      <c r="K327" s="1688"/>
      <c r="L327" s="1688"/>
      <c r="M327" s="1688"/>
      <c r="N327" s="1689"/>
      <c r="O327" s="1689"/>
      <c r="P327" s="1689"/>
      <c r="Q327" s="1689"/>
      <c r="R327" s="1689"/>
      <c r="S327" s="72"/>
      <c r="T327" s="72" t="s">
        <v>767</v>
      </c>
      <c r="V327" s="72"/>
      <c r="W327" s="72"/>
      <c r="X327" s="72"/>
      <c r="Y327" s="72"/>
      <c r="AA327" s="1688" t="s">
        <v>2435</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9" t="s">
        <v>2430</v>
      </c>
      <c r="I329" s="1689"/>
      <c r="J329" s="1689"/>
      <c r="K329" s="1689"/>
      <c r="L329" s="1689"/>
      <c r="M329" s="1689"/>
      <c r="N329" s="1689"/>
      <c r="O329" s="1689"/>
      <c r="P329" s="1689"/>
      <c r="Q329" s="1689"/>
      <c r="R329" s="1689"/>
      <c r="S329" s="723"/>
      <c r="T329" s="652" t="s">
        <v>1224</v>
      </c>
      <c r="V329" s="72"/>
      <c r="W329" s="72"/>
      <c r="X329" s="72"/>
      <c r="Y329" s="72"/>
      <c r="AA329" s="1689" t="s">
        <v>2442</v>
      </c>
      <c r="AB329" s="1689"/>
      <c r="AC329" s="1689"/>
      <c r="AD329" s="1689"/>
      <c r="AE329" s="1689"/>
      <c r="AF329" s="1689"/>
      <c r="AG329" s="1689"/>
      <c r="AH329" s="1689"/>
      <c r="AI329" s="1689"/>
      <c r="AJ329" s="1689"/>
      <c r="AK329" s="1689"/>
      <c r="AL329" s="50"/>
      <c r="BA329" s="75"/>
    </row>
    <row r="330" spans="1:53" ht="12.75">
      <c r="B330" s="72" t="s">
        <v>764</v>
      </c>
      <c r="C330" s="72"/>
      <c r="D330" s="72"/>
      <c r="E330" s="72"/>
      <c r="F330" s="72"/>
      <c r="H330" s="1688" t="s">
        <v>2431</v>
      </c>
      <c r="I330" s="1688"/>
      <c r="J330" s="1688"/>
      <c r="K330" s="1688"/>
      <c r="L330" s="1688"/>
      <c r="M330" s="1688"/>
      <c r="N330" s="1688"/>
      <c r="O330" s="1688"/>
      <c r="P330" s="1688"/>
      <c r="Q330" s="1688"/>
      <c r="R330" s="1688"/>
      <c r="S330" s="723"/>
      <c r="T330" s="72" t="s">
        <v>764</v>
      </c>
      <c r="V330" s="72"/>
      <c r="W330" s="72"/>
      <c r="X330" s="72"/>
      <c r="Y330" s="72"/>
      <c r="AA330" s="1688" t="s">
        <v>2443</v>
      </c>
      <c r="AB330" s="1688"/>
      <c r="AC330" s="1688"/>
      <c r="AD330" s="1688"/>
      <c r="AE330" s="1688"/>
      <c r="AF330" s="1688"/>
      <c r="AG330" s="1688"/>
      <c r="AH330" s="1688"/>
      <c r="AI330" s="1688"/>
      <c r="AJ330" s="1688"/>
      <c r="AK330" s="1688"/>
      <c r="AL330" s="50"/>
      <c r="BA330" s="75"/>
    </row>
    <row r="331" spans="1:53" ht="12.75">
      <c r="B331" s="72" t="s">
        <v>766</v>
      </c>
      <c r="C331" s="72"/>
      <c r="D331" s="72"/>
      <c r="E331" s="72"/>
      <c r="F331" s="72"/>
      <c r="G331" s="72"/>
      <c r="H331" s="1688" t="s">
        <v>2432</v>
      </c>
      <c r="I331" s="1688"/>
      <c r="J331" s="1688"/>
      <c r="K331" s="1688"/>
      <c r="L331" s="1688"/>
      <c r="M331" s="1688"/>
      <c r="N331" s="1688"/>
      <c r="O331" s="1688"/>
      <c r="P331" s="1688"/>
      <c r="Q331" s="1688"/>
      <c r="R331" s="1688"/>
      <c r="S331" s="723"/>
      <c r="T331" s="72" t="s">
        <v>765</v>
      </c>
      <c r="V331" s="72"/>
      <c r="W331" s="72"/>
      <c r="X331" s="72"/>
      <c r="Y331" s="72"/>
      <c r="AA331" s="1688" t="s">
        <v>2444</v>
      </c>
      <c r="AB331" s="1688"/>
      <c r="AC331" s="1688"/>
      <c r="AD331" s="1688"/>
      <c r="AE331" s="1688"/>
      <c r="AF331" s="1688"/>
      <c r="AG331" s="1688"/>
      <c r="AH331" s="1688"/>
      <c r="AI331" s="1688"/>
      <c r="AJ331" s="1688"/>
      <c r="AK331" s="1688"/>
      <c r="AL331" s="50"/>
      <c r="BA331" s="75"/>
    </row>
    <row r="332" spans="1:53" ht="12.75">
      <c r="A332" s="50"/>
      <c r="B332" s="72" t="s">
        <v>417</v>
      </c>
      <c r="C332" s="72"/>
      <c r="D332" s="72"/>
      <c r="E332" s="72"/>
      <c r="F332" s="72"/>
      <c r="H332" s="1688" t="s">
        <v>2433</v>
      </c>
      <c r="I332" s="1688"/>
      <c r="J332" s="1688"/>
      <c r="K332" s="1688"/>
      <c r="L332" s="1688"/>
      <c r="M332" s="1688"/>
      <c r="N332" s="1688"/>
      <c r="O332" s="1688"/>
      <c r="P332" s="1688"/>
      <c r="Q332" s="1688"/>
      <c r="R332" s="1688"/>
      <c r="S332" s="723"/>
      <c r="T332" s="72" t="s">
        <v>417</v>
      </c>
      <c r="V332" s="72"/>
      <c r="W332" s="72"/>
      <c r="X332" s="72"/>
      <c r="Y332" s="72"/>
      <c r="AA332" s="1688" t="s">
        <v>2445</v>
      </c>
      <c r="AB332" s="1688"/>
      <c r="AC332" s="1688"/>
      <c r="AD332" s="1688"/>
      <c r="AE332" s="1688"/>
      <c r="AF332" s="1688"/>
      <c r="AG332" s="1688"/>
      <c r="AH332" s="1688"/>
      <c r="AI332" s="1688"/>
      <c r="AJ332" s="1688"/>
      <c r="AK332" s="1688"/>
      <c r="AL332" s="50"/>
      <c r="BA332" s="75"/>
    </row>
    <row r="333" spans="1:53" ht="12.75">
      <c r="A333" s="50"/>
      <c r="B333" s="72" t="s">
        <v>418</v>
      </c>
      <c r="C333" s="72"/>
      <c r="D333" s="72"/>
      <c r="E333" s="72"/>
      <c r="F333" s="72"/>
      <c r="G333" s="72"/>
      <c r="H333" s="1690" t="s">
        <v>2434</v>
      </c>
      <c r="I333" s="1691"/>
      <c r="J333" s="1691"/>
      <c r="K333" s="1691"/>
      <c r="L333" s="1691"/>
      <c r="M333" s="1691"/>
      <c r="N333" s="8" t="s">
        <v>899</v>
      </c>
      <c r="O333" s="8"/>
      <c r="P333" s="1684"/>
      <c r="Q333" s="1684"/>
      <c r="R333" s="1684"/>
      <c r="S333" s="3"/>
      <c r="T333" s="72" t="s">
        <v>418</v>
      </c>
      <c r="V333" s="72"/>
      <c r="W333" s="72"/>
      <c r="X333" s="72"/>
      <c r="Y333" s="72"/>
      <c r="AA333" s="1690" t="s">
        <v>2446</v>
      </c>
      <c r="AB333" s="1691"/>
      <c r="AC333" s="1691"/>
      <c r="AD333" s="1691"/>
      <c r="AE333" s="1691"/>
      <c r="AF333" s="1691"/>
      <c r="AG333" s="8" t="s">
        <v>899</v>
      </c>
      <c r="AH333" s="8"/>
      <c r="AI333" s="1684"/>
      <c r="AJ333" s="1684"/>
      <c r="AK333" s="1684"/>
      <c r="AL333" s="50"/>
      <c r="BA333" s="75"/>
    </row>
    <row r="334" spans="1:53" ht="12.75">
      <c r="A334" s="50"/>
      <c r="B334" s="72" t="s">
        <v>419</v>
      </c>
      <c r="C334" s="72"/>
      <c r="D334" s="72"/>
      <c r="E334" s="72"/>
      <c r="F334" s="72"/>
      <c r="G334" s="72"/>
      <c r="H334" s="1681"/>
      <c r="I334" s="1681"/>
      <c r="J334" s="1681"/>
      <c r="K334" s="1681"/>
      <c r="L334" s="1681"/>
      <c r="M334" s="1681"/>
      <c r="N334" s="74"/>
      <c r="O334" s="74"/>
      <c r="P334" s="76"/>
      <c r="Q334" s="76"/>
      <c r="R334" s="76"/>
      <c r="S334" s="3"/>
      <c r="T334" s="72" t="s">
        <v>419</v>
      </c>
      <c r="V334" s="72"/>
      <c r="W334" s="72"/>
      <c r="X334" s="72"/>
      <c r="Y334" s="72"/>
      <c r="AA334" s="1680" t="s">
        <v>2447</v>
      </c>
      <c r="AB334" s="1681"/>
      <c r="AC334" s="1681"/>
      <c r="AD334" s="1681"/>
      <c r="AE334" s="1681"/>
      <c r="AF334" s="1681"/>
      <c r="AG334" s="74"/>
      <c r="AH334" s="74"/>
      <c r="AI334" s="76"/>
      <c r="AJ334" s="76"/>
      <c r="AK334" s="76"/>
      <c r="AL334" s="50"/>
      <c r="BA334" s="75"/>
    </row>
    <row r="335" spans="1:53" ht="12.75">
      <c r="A335" s="50"/>
      <c r="B335" s="72" t="s">
        <v>767</v>
      </c>
      <c r="C335" s="72"/>
      <c r="D335" s="72"/>
      <c r="E335" s="72"/>
      <c r="F335" s="72"/>
      <c r="G335" s="72"/>
      <c r="H335" s="1688" t="s">
        <v>2435</v>
      </c>
      <c r="I335" s="1688"/>
      <c r="J335" s="1688"/>
      <c r="K335" s="1688"/>
      <c r="L335" s="1688"/>
      <c r="M335" s="1688"/>
      <c r="N335" s="1689"/>
      <c r="O335" s="1689"/>
      <c r="P335" s="1689"/>
      <c r="Q335" s="1689"/>
      <c r="R335" s="1689"/>
      <c r="S335" s="723"/>
      <c r="T335" s="72" t="s">
        <v>767</v>
      </c>
      <c r="V335" s="72"/>
      <c r="W335" s="72"/>
      <c r="X335" s="72"/>
      <c r="Y335" s="72"/>
      <c r="AA335" s="1688" t="s">
        <v>2448</v>
      </c>
      <c r="AB335" s="1688"/>
      <c r="AC335" s="1688"/>
      <c r="AD335" s="1688"/>
      <c r="AE335" s="1688"/>
      <c r="AF335" s="1688"/>
      <c r="AG335" s="1689"/>
      <c r="AH335" s="1689"/>
      <c r="AI335" s="1689"/>
      <c r="AJ335" s="1689"/>
      <c r="AK335" s="168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9"/>
      <c r="I337" s="1689"/>
      <c r="J337" s="1689"/>
      <c r="K337" s="1689"/>
      <c r="L337" s="1689"/>
      <c r="M337" s="1689"/>
      <c r="N337" s="1689"/>
      <c r="O337" s="1689"/>
      <c r="P337" s="1689"/>
      <c r="Q337" s="1689"/>
      <c r="R337" s="1689"/>
      <c r="T337" s="596" t="s">
        <v>1267</v>
      </c>
      <c r="AA337" s="1689"/>
      <c r="AB337" s="1689"/>
      <c r="AC337" s="1689"/>
      <c r="AD337" s="1689"/>
      <c r="AE337" s="1689"/>
      <c r="AF337" s="1689"/>
      <c r="AG337" s="1689"/>
      <c r="AH337" s="1689"/>
      <c r="AI337" s="1689"/>
      <c r="AJ337" s="1689"/>
      <c r="AK337" s="1689"/>
      <c r="AL337" s="50"/>
      <c r="BA337" s="75"/>
    </row>
    <row r="338" spans="1:53" ht="12.75">
      <c r="A338" s="50"/>
      <c r="B338" s="596" t="s">
        <v>764</v>
      </c>
      <c r="C338" s="596"/>
      <c r="D338" s="596"/>
      <c r="E338" s="596"/>
      <c r="F338" s="596"/>
      <c r="G338" s="597"/>
      <c r="H338" s="1688"/>
      <c r="I338" s="1688"/>
      <c r="J338" s="1688"/>
      <c r="K338" s="1688"/>
      <c r="L338" s="1688"/>
      <c r="M338" s="1688"/>
      <c r="N338" s="1688"/>
      <c r="O338" s="1688"/>
      <c r="P338" s="1688"/>
      <c r="Q338" s="1688"/>
      <c r="R338" s="1688"/>
      <c r="T338" s="72" t="s">
        <v>764</v>
      </c>
      <c r="AA338" s="1688"/>
      <c r="AB338" s="1688"/>
      <c r="AC338" s="1688"/>
      <c r="AD338" s="1688"/>
      <c r="AE338" s="1688"/>
      <c r="AF338" s="1688"/>
      <c r="AG338" s="1688"/>
      <c r="AH338" s="1688"/>
      <c r="AI338" s="1688"/>
      <c r="AJ338" s="1688"/>
      <c r="AK338" s="1688"/>
      <c r="AL338" s="50"/>
      <c r="BA338" s="75"/>
    </row>
    <row r="339" spans="1:53" ht="12.75">
      <c r="A339" s="50"/>
      <c r="B339" s="596" t="s">
        <v>766</v>
      </c>
      <c r="C339" s="596"/>
      <c r="D339" s="596"/>
      <c r="E339" s="596"/>
      <c r="F339" s="596"/>
      <c r="G339" s="596"/>
      <c r="H339" s="1688"/>
      <c r="I339" s="1688"/>
      <c r="J339" s="1688"/>
      <c r="K339" s="1688"/>
      <c r="L339" s="1688"/>
      <c r="M339" s="1688"/>
      <c r="N339" s="1688"/>
      <c r="O339" s="1688"/>
      <c r="P339" s="1688"/>
      <c r="Q339" s="1688"/>
      <c r="R339" s="1688"/>
      <c r="T339" s="72" t="s">
        <v>765</v>
      </c>
      <c r="AA339" s="1688"/>
      <c r="AB339" s="1688"/>
      <c r="AC339" s="1688"/>
      <c r="AD339" s="1688"/>
      <c r="AE339" s="1688"/>
      <c r="AF339" s="1688"/>
      <c r="AG339" s="1688"/>
      <c r="AH339" s="1688"/>
      <c r="AI339" s="1688"/>
      <c r="AJ339" s="1688"/>
      <c r="AK339" s="1688"/>
      <c r="AL339" s="50"/>
    </row>
    <row r="340" spans="1:53" ht="12.75">
      <c r="A340" s="50"/>
      <c r="B340" s="596" t="s">
        <v>417</v>
      </c>
      <c r="C340" s="596"/>
      <c r="D340" s="596"/>
      <c r="E340" s="596"/>
      <c r="F340" s="596"/>
      <c r="G340" s="597"/>
      <c r="H340" s="1688"/>
      <c r="I340" s="1688"/>
      <c r="J340" s="1688"/>
      <c r="K340" s="1688"/>
      <c r="L340" s="1688"/>
      <c r="M340" s="1688"/>
      <c r="N340" s="1688"/>
      <c r="O340" s="1688"/>
      <c r="P340" s="1688"/>
      <c r="Q340" s="1688"/>
      <c r="R340" s="1688"/>
      <c r="T340" s="72" t="s">
        <v>417</v>
      </c>
      <c r="AA340" s="1688"/>
      <c r="AB340" s="1688"/>
      <c r="AC340" s="1688"/>
      <c r="AD340" s="1688"/>
      <c r="AE340" s="1688"/>
      <c r="AF340" s="1688"/>
      <c r="AG340" s="1688"/>
      <c r="AH340" s="1688"/>
      <c r="AI340" s="1688"/>
      <c r="AJ340" s="1688"/>
      <c r="AK340" s="1688"/>
      <c r="AL340" s="50"/>
    </row>
    <row r="341" spans="1:53" ht="12.75">
      <c r="A341" s="50"/>
      <c r="B341" s="596" t="s">
        <v>418</v>
      </c>
      <c r="C341" s="596"/>
      <c r="D341" s="596"/>
      <c r="E341" s="596"/>
      <c r="F341" s="596"/>
      <c r="G341" s="596"/>
      <c r="H341" s="1691"/>
      <c r="I341" s="1691"/>
      <c r="J341" s="1691"/>
      <c r="K341" s="1691"/>
      <c r="L341" s="1691"/>
      <c r="M341" s="1691"/>
      <c r="N341" s="8" t="s">
        <v>899</v>
      </c>
      <c r="O341" s="8"/>
      <c r="P341" s="1684"/>
      <c r="Q341" s="1684"/>
      <c r="R341" s="1684"/>
      <c r="T341" s="72" t="s">
        <v>418</v>
      </c>
      <c r="AA341" s="1691"/>
      <c r="AB341" s="1691"/>
      <c r="AC341" s="1691"/>
      <c r="AD341" s="1691"/>
      <c r="AE341" s="1691"/>
      <c r="AF341" s="1691"/>
      <c r="AG341" s="8" t="s">
        <v>899</v>
      </c>
      <c r="AH341" s="8"/>
      <c r="AI341" s="1684"/>
      <c r="AJ341" s="1684"/>
      <c r="AK341" s="1684"/>
      <c r="AL341" s="50"/>
    </row>
    <row r="342" spans="1:53" ht="12.75">
      <c r="A342" s="50"/>
      <c r="B342" s="596" t="s">
        <v>419</v>
      </c>
      <c r="C342" s="596"/>
      <c r="D342" s="596"/>
      <c r="E342" s="596"/>
      <c r="F342" s="596"/>
      <c r="G342" s="596"/>
      <c r="H342" s="1681"/>
      <c r="I342" s="1681"/>
      <c r="J342" s="1681"/>
      <c r="K342" s="1681"/>
      <c r="L342" s="1681"/>
      <c r="M342" s="1681"/>
      <c r="N342" s="74"/>
      <c r="O342" s="74"/>
      <c r="P342" s="76"/>
      <c r="Q342" s="76"/>
      <c r="R342" s="76"/>
      <c r="T342" s="72" t="s">
        <v>419</v>
      </c>
      <c r="AA342" s="1681"/>
      <c r="AB342" s="1681"/>
      <c r="AC342" s="1681"/>
      <c r="AD342" s="1681"/>
      <c r="AE342" s="1681"/>
      <c r="AF342" s="1681"/>
      <c r="AG342" s="74"/>
      <c r="AH342" s="74"/>
      <c r="AI342" s="76"/>
      <c r="AJ342" s="76"/>
      <c r="AK342" s="76"/>
      <c r="AL342" s="50"/>
    </row>
    <row r="343" spans="1:53" ht="12.75" customHeight="1">
      <c r="A343" s="50"/>
      <c r="B343" s="596" t="s">
        <v>767</v>
      </c>
      <c r="C343" s="596"/>
      <c r="D343" s="596"/>
      <c r="E343" s="596"/>
      <c r="F343" s="596"/>
      <c r="G343" s="596"/>
      <c r="H343" s="1688"/>
      <c r="I343" s="1688"/>
      <c r="J343" s="1688"/>
      <c r="K343" s="1688"/>
      <c r="L343" s="1688"/>
      <c r="M343" s="1688"/>
      <c r="N343" s="1689"/>
      <c r="O343" s="1689"/>
      <c r="P343" s="1689"/>
      <c r="Q343" s="1689"/>
      <c r="R343" s="1689"/>
      <c r="T343" s="72" t="s">
        <v>767</v>
      </c>
      <c r="AA343" s="1688"/>
      <c r="AB343" s="1688"/>
      <c r="AC343" s="1688"/>
      <c r="AD343" s="1688"/>
      <c r="AE343" s="1688"/>
      <c r="AF343" s="1688"/>
      <c r="AG343" s="1689"/>
      <c r="AH343" s="1689"/>
      <c r="AI343" s="1689"/>
      <c r="AJ343" s="1689"/>
      <c r="AK343" s="168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8" t="s">
        <v>545</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86" t="s">
        <v>118</v>
      </c>
      <c r="N349" s="1686"/>
      <c r="P349" s="16" t="s">
        <v>2249</v>
      </c>
      <c r="AJ349" s="1686" t="s">
        <v>118</v>
      </c>
      <c r="AK349" s="1686"/>
    </row>
    <row r="350" spans="1:53" ht="12.75" customHeight="1">
      <c r="D350" s="72" t="s">
        <v>2155</v>
      </c>
      <c r="M350" s="1686" t="s">
        <v>135</v>
      </c>
      <c r="N350" s="1686"/>
      <c r="P350" s="72" t="s">
        <v>2250</v>
      </c>
      <c r="AJ350" s="1687">
        <v>0</v>
      </c>
      <c r="AK350" s="1687"/>
    </row>
    <row r="351" spans="1:53" ht="12.75" customHeight="1">
      <c r="D351" s="16" t="s">
        <v>348</v>
      </c>
      <c r="M351" s="1686" t="s">
        <v>135</v>
      </c>
      <c r="N351" s="1686"/>
      <c r="P351" s="16" t="s">
        <v>2251</v>
      </c>
      <c r="AJ351" s="1686" t="s">
        <v>530</v>
      </c>
      <c r="AK351" s="1686"/>
    </row>
    <row r="352" spans="1:53" ht="12.75" customHeight="1">
      <c r="D352" s="16" t="s">
        <v>349</v>
      </c>
      <c r="M352" s="1686" t="s">
        <v>135</v>
      </c>
      <c r="N352" s="1686"/>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6" t="s">
        <v>135</v>
      </c>
      <c r="O357" s="1686"/>
      <c r="P357" s="83"/>
      <c r="Q357" s="83"/>
      <c r="R357" s="83"/>
      <c r="S357" s="83"/>
      <c r="T357" s="83"/>
      <c r="U357" s="83"/>
      <c r="V357" s="83"/>
      <c r="W357" s="83"/>
      <c r="X357" s="83"/>
      <c r="Y357" s="84"/>
      <c r="Z357" s="84"/>
      <c r="AC357" s="83"/>
      <c r="AD357" s="83"/>
      <c r="AE357" s="83"/>
    </row>
    <row r="358" spans="1:57" ht="12.75">
      <c r="E358" s="16" t="s">
        <v>799</v>
      </c>
      <c r="Y358" s="1686" t="s">
        <v>135</v>
      </c>
      <c r="Z358" s="168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6" t="s">
        <v>135</v>
      </c>
      <c r="K360" s="1686"/>
      <c r="L360" s="83"/>
      <c r="M360" s="83"/>
      <c r="N360" s="83"/>
      <c r="O360" s="83"/>
      <c r="P360" s="83"/>
      <c r="Q360" s="83"/>
      <c r="R360" s="83"/>
      <c r="S360" s="83"/>
      <c r="T360" s="83"/>
      <c r="U360" s="83"/>
      <c r="V360" s="83"/>
      <c r="W360" s="83"/>
      <c r="X360" s="83"/>
      <c r="Y360" s="83"/>
      <c r="Z360" s="83"/>
      <c r="AC360" s="83"/>
      <c r="AD360" s="83"/>
      <c r="AE360" s="83"/>
    </row>
    <row r="361" spans="1:57" ht="12.75">
      <c r="E361" s="1571" t="s">
        <v>350</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135</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530</v>
      </c>
    </row>
    <row r="363" spans="1:57" ht="12.75" customHeight="1">
      <c r="E363" s="8" t="s">
        <v>655</v>
      </c>
      <c r="F363" s="8"/>
      <c r="G363" s="8"/>
      <c r="H363" s="8"/>
      <c r="I363" s="8"/>
      <c r="J363" s="8"/>
      <c r="K363" s="8"/>
      <c r="L363" s="8"/>
      <c r="N363" s="1800"/>
      <c r="O363" s="1800"/>
      <c r="P363" s="1800"/>
      <c r="Q363" s="1800"/>
      <c r="R363" s="8"/>
      <c r="U363" s="8" t="s">
        <v>656</v>
      </c>
      <c r="V363" s="8"/>
      <c r="W363" s="8"/>
      <c r="X363" s="8"/>
      <c r="Y363" s="8"/>
      <c r="Z363" s="8"/>
      <c r="AA363" s="8"/>
      <c r="AB363" s="8"/>
      <c r="AC363" s="1800"/>
      <c r="AD363" s="1800"/>
      <c r="AE363" s="1800"/>
      <c r="AF363" s="1800"/>
      <c r="BE363" s="16" t="s">
        <v>118</v>
      </c>
    </row>
    <row r="364" spans="1:57" ht="12.75">
      <c r="E364" s="8" t="s">
        <v>657</v>
      </c>
      <c r="F364" s="8"/>
      <c r="G364" s="8"/>
      <c r="H364" s="8"/>
      <c r="I364" s="8"/>
      <c r="J364" s="8"/>
      <c r="K364" s="8"/>
      <c r="L364" s="8"/>
      <c r="N364" s="1800"/>
      <c r="O364" s="1800"/>
      <c r="P364" s="1800"/>
      <c r="Q364" s="1800"/>
      <c r="R364" s="8"/>
      <c r="U364" s="8" t="s">
        <v>658</v>
      </c>
      <c r="V364" s="8"/>
      <c r="W364" s="8"/>
      <c r="X364" s="8"/>
      <c r="Y364" s="8"/>
      <c r="Z364" s="8"/>
      <c r="AA364" s="8"/>
      <c r="AB364" s="8"/>
      <c r="AC364" s="1800"/>
      <c r="AD364" s="1800"/>
      <c r="AE364" s="1800"/>
      <c r="AF364" s="1800"/>
    </row>
    <row r="365" spans="1:57" ht="12.75" customHeight="1">
      <c r="E365" s="8" t="s">
        <v>68</v>
      </c>
      <c r="F365" s="8"/>
      <c r="G365" s="8"/>
      <c r="H365" s="8"/>
      <c r="I365" s="8"/>
      <c r="J365" s="8"/>
      <c r="K365" s="8"/>
      <c r="L365" s="8"/>
      <c r="N365" s="1800"/>
      <c r="O365" s="1800"/>
      <c r="P365" s="1800"/>
      <c r="Q365" s="1800"/>
      <c r="R365" s="8"/>
      <c r="V365" s="8"/>
      <c r="W365" s="8"/>
      <c r="X365" s="8"/>
      <c r="Y365" s="8"/>
      <c r="Z365" s="8"/>
      <c r="AA365" s="8"/>
      <c r="AB365" s="8"/>
    </row>
    <row r="366" spans="1:57" ht="12.75">
      <c r="E366" s="8" t="s">
        <v>69</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2.75">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1874"/>
      <c r="T370" s="1874"/>
      <c r="U370" s="781" t="s">
        <v>258</v>
      </c>
      <c r="V370" s="1874"/>
      <c r="W370" s="1874"/>
      <c r="X370" s="597"/>
      <c r="Y370" s="782" t="s">
        <v>256</v>
      </c>
      <c r="Z370" s="597"/>
      <c r="AA370" s="782"/>
      <c r="AB370" s="782" t="s">
        <v>257</v>
      </c>
      <c r="AC370" s="597"/>
      <c r="AD370" s="1874"/>
      <c r="AE370" s="1874"/>
      <c r="AF370" s="781" t="s">
        <v>258</v>
      </c>
      <c r="AG370" s="1874"/>
      <c r="AH370" s="1874"/>
    </row>
    <row r="371" spans="1:36" ht="12.75" customHeight="1">
      <c r="D371" s="597"/>
      <c r="E371" s="596" t="s">
        <v>1366</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135</v>
      </c>
      <c r="AH372" s="1860"/>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135</v>
      </c>
      <c r="AH373" s="1860"/>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1860" t="s">
        <v>135</v>
      </c>
      <c r="W374" s="1860"/>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1860" t="s">
        <v>135</v>
      </c>
      <c r="W375" s="1860"/>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89" t="s">
        <v>2449</v>
      </c>
      <c r="K378" s="1689"/>
      <c r="L378" s="1689"/>
      <c r="M378" s="1689"/>
      <c r="N378" s="1689"/>
      <c r="O378" s="1689"/>
      <c r="P378" s="1689"/>
      <c r="Q378" s="1689"/>
      <c r="R378" s="1689"/>
      <c r="S378" s="1689"/>
      <c r="T378" s="1689"/>
      <c r="U378" s="1689"/>
      <c r="V378" s="18" t="s">
        <v>776</v>
      </c>
      <c r="W378" s="18"/>
      <c r="X378" s="18"/>
      <c r="Y378" s="18"/>
      <c r="Z378" s="18"/>
      <c r="AA378" s="18"/>
      <c r="AB378" s="18"/>
      <c r="AC378" s="1689" t="s">
        <v>2450</v>
      </c>
      <c r="AD378" s="1689"/>
      <c r="AE378" s="1689"/>
      <c r="AF378" s="1689"/>
      <c r="AG378" s="1689"/>
      <c r="AH378" s="1689"/>
      <c r="AI378" s="1689"/>
      <c r="AJ378" s="1689"/>
    </row>
    <row r="379" spans="1:36" ht="12.75" customHeight="1">
      <c r="D379" s="72" t="s">
        <v>2252</v>
      </c>
      <c r="J379" s="1688" t="s">
        <v>2451</v>
      </c>
      <c r="K379" s="1688"/>
      <c r="L379" s="1688"/>
      <c r="M379" s="1688"/>
      <c r="N379" s="1688"/>
      <c r="O379" s="1688"/>
      <c r="P379" s="1688"/>
      <c r="Q379" s="1688"/>
      <c r="R379" s="1688"/>
      <c r="S379" s="1688"/>
      <c r="T379" s="1688"/>
      <c r="U379" s="1688"/>
      <c r="V379" s="72" t="s">
        <v>2252</v>
      </c>
      <c r="W379" s="18"/>
      <c r="X379" s="18"/>
      <c r="Y379" s="18"/>
      <c r="Z379" s="18"/>
      <c r="AA379" s="18"/>
      <c r="AB379" s="18"/>
      <c r="AC379" s="1689" t="s">
        <v>2450</v>
      </c>
      <c r="AD379" s="1689"/>
      <c r="AE379" s="1689"/>
      <c r="AF379" s="1689"/>
      <c r="AG379" s="1689"/>
      <c r="AH379" s="1689"/>
      <c r="AI379" s="1689"/>
      <c r="AJ379" s="1689"/>
    </row>
    <row r="380" spans="1:36" ht="12.75" customHeight="1">
      <c r="D380" s="72" t="s">
        <v>602</v>
      </c>
      <c r="J380" s="1688" t="s">
        <v>2452</v>
      </c>
      <c r="K380" s="1688"/>
      <c r="L380" s="1688"/>
      <c r="M380" s="1688"/>
      <c r="N380" s="1688"/>
      <c r="O380" s="1688"/>
      <c r="P380" s="1688"/>
      <c r="Q380" s="1688"/>
      <c r="R380" s="1688"/>
      <c r="S380" s="1688"/>
      <c r="T380" s="1688"/>
      <c r="U380" s="1688"/>
      <c r="V380" s="72" t="s">
        <v>602</v>
      </c>
      <c r="W380" s="18"/>
      <c r="X380" s="18"/>
      <c r="Y380" s="18"/>
      <c r="Z380" s="18"/>
      <c r="AA380" s="18"/>
      <c r="AB380" s="18"/>
      <c r="AC380" s="1689" t="s">
        <v>2455</v>
      </c>
      <c r="AD380" s="1689"/>
      <c r="AE380" s="1689"/>
      <c r="AF380" s="1689"/>
      <c r="AG380" s="1689"/>
      <c r="AH380" s="1689"/>
      <c r="AI380" s="1689"/>
      <c r="AJ380" s="1689"/>
    </row>
    <row r="381" spans="1:36" ht="12.75" customHeight="1">
      <c r="D381" s="750" t="s">
        <v>2253</v>
      </c>
      <c r="I381" s="102"/>
      <c r="J381" s="1721" t="s">
        <v>2453</v>
      </c>
      <c r="K381" s="1721"/>
      <c r="L381" s="1721"/>
      <c r="M381" s="1721"/>
      <c r="N381" s="1721"/>
      <c r="O381" s="1721"/>
      <c r="P381" s="1721"/>
      <c r="Q381" s="1721"/>
      <c r="R381" s="1721"/>
      <c r="S381" s="1721"/>
      <c r="T381" s="1721"/>
      <c r="U381" s="1721"/>
      <c r="V381" s="1689" t="s">
        <v>2454</v>
      </c>
      <c r="W381" s="1689"/>
      <c r="X381" s="1689"/>
      <c r="Y381" s="1689"/>
      <c r="Z381" s="1689"/>
      <c r="AA381" s="1689"/>
      <c r="AB381" s="1689"/>
      <c r="AC381" s="1689"/>
      <c r="AD381" s="1689"/>
      <c r="AE381" s="1689"/>
      <c r="AF381" s="1689"/>
      <c r="AG381" s="1689"/>
      <c r="AH381" s="1689"/>
      <c r="AI381" s="1689"/>
      <c r="AJ381" s="1689"/>
    </row>
    <row r="382" spans="1:36" ht="12.75" customHeight="1">
      <c r="D382" s="16" t="s">
        <v>613</v>
      </c>
      <c r="Q382" s="2020">
        <v>43959</v>
      </c>
      <c r="R382" s="2020"/>
      <c r="S382" s="2020"/>
      <c r="T382" s="2020"/>
      <c r="U382" s="2020"/>
      <c r="V382" s="16" t="s">
        <v>184</v>
      </c>
      <c r="AI382" s="1686" t="s">
        <v>530</v>
      </c>
      <c r="AJ382" s="1686"/>
    </row>
    <row r="383" spans="1:36" ht="12.75" customHeight="1">
      <c r="D383" s="16" t="s">
        <v>614</v>
      </c>
      <c r="Q383" s="1757">
        <v>44469</v>
      </c>
      <c r="R383" s="1869"/>
      <c r="S383" s="1869"/>
      <c r="T383" s="1869"/>
      <c r="U383" s="1869"/>
      <c r="W383" s="43" t="s">
        <v>20</v>
      </c>
      <c r="AG383" s="1870"/>
      <c r="AH383" s="1870"/>
      <c r="AI383" s="1870"/>
      <c r="AJ383" s="1870"/>
    </row>
    <row r="384" spans="1:36" ht="12.75" customHeight="1">
      <c r="D384" s="16" t="s">
        <v>301</v>
      </c>
      <c r="Q384" s="1706">
        <v>5</v>
      </c>
      <c r="R384" s="1706"/>
      <c r="S384" s="1706"/>
      <c r="T384" s="1706"/>
      <c r="U384" s="1706"/>
      <c r="V384" s="72" t="s">
        <v>2254</v>
      </c>
      <c r="AG384" s="1807">
        <v>44531</v>
      </c>
      <c r="AH384" s="1807"/>
      <c r="AI384" s="1807"/>
      <c r="AJ384" s="1807"/>
    </row>
    <row r="385" spans="4:36" ht="12.75" customHeight="1">
      <c r="D385" s="16" t="s">
        <v>418</v>
      </c>
      <c r="I385" s="1690" t="s">
        <v>2456</v>
      </c>
      <c r="J385" s="1690"/>
      <c r="K385" s="1690"/>
      <c r="L385" s="1690"/>
      <c r="M385" s="1690"/>
      <c r="N385" s="1690"/>
      <c r="Q385" s="326" t="s">
        <v>899</v>
      </c>
      <c r="S385" s="2118"/>
      <c r="T385" s="2118"/>
      <c r="U385" s="2118"/>
      <c r="V385" s="16" t="s">
        <v>19</v>
      </c>
      <c r="AI385" s="1686" t="s">
        <v>118</v>
      </c>
      <c r="AJ385" s="1686"/>
    </row>
    <row r="386" spans="4:36" s="50" customFormat="1" ht="12.75" customHeight="1">
      <c r="D386" s="16" t="s">
        <v>185</v>
      </c>
      <c r="E386" s="16"/>
      <c r="F386" s="16"/>
      <c r="G386" s="16"/>
      <c r="H386" s="16"/>
      <c r="I386" s="16"/>
      <c r="J386" s="16"/>
      <c r="K386" s="16"/>
      <c r="L386" s="16"/>
      <c r="M386" s="16"/>
      <c r="N386" s="16"/>
      <c r="O386" s="16"/>
      <c r="P386" s="16"/>
      <c r="Q386" s="1730" t="s">
        <v>135</v>
      </c>
      <c r="R386" s="1730"/>
      <c r="S386" s="1730"/>
      <c r="T386" s="1730"/>
      <c r="U386" s="1730"/>
      <c r="V386" s="16" t="s">
        <v>186</v>
      </c>
      <c r="W386" s="16"/>
      <c r="X386" s="16"/>
      <c r="Y386" s="16"/>
      <c r="Z386" s="16"/>
      <c r="AA386" s="16"/>
      <c r="AB386" s="16"/>
      <c r="AC386" s="16"/>
      <c r="AD386" s="16"/>
      <c r="AE386" s="16"/>
      <c r="AF386" s="16"/>
      <c r="AG386" s="1870" t="s">
        <v>135</v>
      </c>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19" t="s">
        <v>135</v>
      </c>
      <c r="R387" s="2119"/>
      <c r="S387" s="2119"/>
      <c r="T387" s="2119"/>
      <c r="U387" s="2119"/>
      <c r="V387" s="16" t="s">
        <v>1894</v>
      </c>
      <c r="W387" s="16"/>
      <c r="X387" s="16"/>
      <c r="Y387" s="16"/>
      <c r="Z387" s="16"/>
      <c r="AA387" s="16"/>
      <c r="AB387" s="16"/>
      <c r="AC387" s="16"/>
      <c r="AD387" s="16"/>
      <c r="AE387" s="16"/>
      <c r="AF387" s="16"/>
      <c r="AG387" s="1870"/>
      <c r="AH387" s="1870"/>
      <c r="AI387" s="1870"/>
      <c r="AJ387" s="1870"/>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v>0</v>
      </c>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530</v>
      </c>
      <c r="AJ390" s="1686"/>
    </row>
    <row r="391" spans="4:36" s="50" customFormat="1" ht="12.75" customHeight="1">
      <c r="D391" s="72" t="s">
        <v>2257</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2258</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2259</v>
      </c>
      <c r="E394" s="16"/>
      <c r="F394" s="16"/>
      <c r="G394" s="16"/>
      <c r="H394" s="16"/>
      <c r="I394" s="16"/>
      <c r="J394" s="16"/>
      <c r="K394" s="16"/>
      <c r="L394" s="16"/>
      <c r="M394" s="16"/>
      <c r="N394" s="16"/>
      <c r="O394" s="16"/>
      <c r="P394" s="16"/>
      <c r="Q394" s="16"/>
      <c r="R394" s="16"/>
      <c r="S394" s="2116" t="s">
        <v>530</v>
      </c>
      <c r="T394" s="2116"/>
      <c r="U394" s="2116"/>
      <c r="V394" s="750" t="s">
        <v>2260</v>
      </c>
      <c r="W394" s="16"/>
      <c r="X394" s="16"/>
      <c r="Y394" s="16"/>
      <c r="Z394" s="16"/>
      <c r="AA394" s="16"/>
      <c r="AG394" s="2120"/>
      <c r="AH394" s="2120"/>
      <c r="AI394" s="2120"/>
      <c r="AJ394" s="2120"/>
    </row>
    <row r="395" spans="4:36" s="50" customFormat="1" ht="12.75" customHeight="1">
      <c r="D395" s="72" t="s">
        <v>2261</v>
      </c>
      <c r="E395" s="16"/>
      <c r="F395" s="16"/>
      <c r="G395" s="16"/>
      <c r="H395" s="16"/>
      <c r="I395" s="16"/>
      <c r="J395" s="16"/>
      <c r="K395" s="16"/>
      <c r="L395" s="16"/>
      <c r="M395" s="16"/>
      <c r="N395" s="16"/>
      <c r="O395" s="16"/>
      <c r="P395" s="16"/>
      <c r="Q395" s="16"/>
      <c r="R395" s="16"/>
      <c r="S395" s="2116" t="s">
        <v>135</v>
      </c>
      <c r="T395" s="2116"/>
      <c r="U395" s="2116"/>
      <c r="V395" s="750" t="s">
        <v>2262</v>
      </c>
      <c r="W395" s="16"/>
      <c r="X395" s="16"/>
      <c r="Y395" s="16"/>
      <c r="Z395" s="16"/>
      <c r="AA395" s="16"/>
      <c r="AE395" s="2121"/>
      <c r="AF395" s="2121"/>
      <c r="AG395" s="2121"/>
      <c r="AH395" s="2121"/>
      <c r="AI395" s="2121"/>
      <c r="AJ395" s="2121"/>
    </row>
    <row r="396" spans="4:36" s="50" customFormat="1" ht="12.75" customHeight="1">
      <c r="D396" s="72" t="s">
        <v>2263</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2264</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2265</v>
      </c>
      <c r="E398" s="1395"/>
      <c r="F398" s="1395"/>
      <c r="G398" s="1395"/>
      <c r="H398" s="1395"/>
      <c r="I398" s="1395"/>
      <c r="J398" s="1395"/>
      <c r="K398" s="1395"/>
      <c r="L398" s="1395"/>
      <c r="M398" s="1395"/>
      <c r="N398" s="1395"/>
      <c r="O398" s="1395"/>
      <c r="P398" s="1395"/>
      <c r="Q398" s="1395"/>
      <c r="R398" s="1395"/>
      <c r="S398" s="2021" t="s">
        <v>2266</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2267</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1957</v>
      </c>
      <c r="I403" s="1692" t="s">
        <v>2457</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937</v>
      </c>
      <c r="R404" s="1686" t="s">
        <v>118</v>
      </c>
      <c r="S404" s="1686"/>
      <c r="T404" s="16" t="s">
        <v>318</v>
      </c>
      <c r="AD404" s="1800">
        <v>5</v>
      </c>
      <c r="AE404" s="1800"/>
    </row>
    <row r="405" spans="1:36" ht="12.75" customHeight="1">
      <c r="C405" s="35"/>
      <c r="E405" s="16" t="s">
        <v>938</v>
      </c>
      <c r="R405" s="1686" t="s">
        <v>135</v>
      </c>
      <c r="S405" s="1686"/>
      <c r="T405" s="16" t="s">
        <v>318</v>
      </c>
      <c r="AD405" s="1800">
        <v>0</v>
      </c>
      <c r="AE405" s="1800"/>
    </row>
    <row r="406" spans="1:36" ht="12.75" customHeight="1">
      <c r="E406" s="16" t="s">
        <v>939</v>
      </c>
      <c r="S406" s="1686" t="s">
        <v>135</v>
      </c>
      <c r="T406" s="1686"/>
    </row>
    <row r="407" spans="1:36" ht="12.75" customHeight="1">
      <c r="E407" s="16" t="s">
        <v>310</v>
      </c>
      <c r="H407" s="1993" t="s">
        <v>621</v>
      </c>
      <c r="I407" s="1993"/>
      <c r="J407" s="1993"/>
      <c r="K407" s="1993"/>
      <c r="L407" s="1993"/>
      <c r="M407" s="1993"/>
      <c r="N407" s="1993"/>
      <c r="O407" s="1993"/>
      <c r="P407" s="1993"/>
      <c r="Q407" s="1993"/>
      <c r="R407" s="1993"/>
      <c r="S407" s="1993"/>
      <c r="T407" s="1993"/>
      <c r="U407" s="1993"/>
      <c r="V407" s="1993"/>
      <c r="W407" s="1993"/>
      <c r="X407" s="1993"/>
      <c r="Y407" s="1993"/>
      <c r="Z407" s="1993"/>
      <c r="AA407" s="1993"/>
      <c r="AB407" s="1993"/>
      <c r="AC407" s="1993"/>
      <c r="AD407" s="1993"/>
      <c r="AE407" s="1993"/>
      <c r="AF407" s="1993"/>
      <c r="AG407" s="1993"/>
      <c r="AH407" s="1993"/>
      <c r="AI407" s="1993"/>
      <c r="AJ407" s="1993"/>
    </row>
    <row r="408" spans="1:36" ht="12.75" customHeight="1">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F408" s="1994"/>
      <c r="AG408" s="1994"/>
      <c r="AH408" s="1994"/>
      <c r="AI408" s="1994"/>
      <c r="AJ408" s="1994"/>
    </row>
    <row r="409" spans="1:36" ht="12.75" customHeight="1"/>
    <row r="410" spans="1:36" ht="12.75" customHeight="1">
      <c r="A410" s="63" t="s">
        <v>134</v>
      </c>
      <c r="B410" s="63"/>
      <c r="C410" s="63"/>
      <c r="D410" s="63" t="s">
        <v>1005</v>
      </c>
      <c r="AE410" s="8"/>
      <c r="AF410" s="63" t="s">
        <v>1344</v>
      </c>
    </row>
    <row r="411" spans="1:36" ht="12.75" customHeight="1">
      <c r="E411" s="1988">
        <v>123</v>
      </c>
      <c r="F411" s="1988"/>
      <c r="G411" s="1988"/>
      <c r="H411" s="33" t="s">
        <v>1006</v>
      </c>
      <c r="I411" s="1988">
        <v>302</v>
      </c>
      <c r="J411" s="1988"/>
      <c r="K411" s="1988"/>
      <c r="L411" s="16" t="s">
        <v>1007</v>
      </c>
      <c r="N411" s="240" t="s">
        <v>932</v>
      </c>
      <c r="P411" s="1977">
        <v>0.85</v>
      </c>
      <c r="Q411" s="1977"/>
      <c r="R411" s="1977"/>
      <c r="S411" s="16" t="s">
        <v>1008</v>
      </c>
      <c r="W411" s="1991">
        <f>IF(E411&gt;0,(E411*I411),(P411*43560))</f>
        <v>37146</v>
      </c>
      <c r="X411" s="1991"/>
      <c r="Y411" s="1991"/>
      <c r="Z411" s="16" t="s">
        <v>1009</v>
      </c>
      <c r="AF411" s="2133">
        <f>IF(P411&gt;0,(AG430/P411),(AG430/(W411/43560)))</f>
        <v>88.235294117647058</v>
      </c>
      <c r="AG411" s="2133"/>
      <c r="AH411" s="2133"/>
    </row>
    <row r="412" spans="1:36" ht="12.75" customHeight="1">
      <c r="E412" s="16" t="s">
        <v>223</v>
      </c>
    </row>
    <row r="413" spans="1:36" ht="12.75" customHeight="1">
      <c r="E413" s="1986"/>
      <c r="F413" s="1986"/>
      <c r="G413" s="1986"/>
      <c r="H413" s="1986"/>
      <c r="I413" s="1986"/>
      <c r="J413" s="1986"/>
      <c r="K413" s="1986"/>
      <c r="L413" s="1986"/>
      <c r="M413" s="1986"/>
      <c r="N413" s="1986"/>
      <c r="O413" s="1986"/>
      <c r="P413" s="1986"/>
      <c r="Q413" s="1986"/>
      <c r="R413" s="1986"/>
      <c r="S413" s="1986"/>
      <c r="T413" s="1986"/>
      <c r="U413" s="1986"/>
      <c r="V413" s="1986"/>
      <c r="W413" s="1986"/>
      <c r="X413" s="1986"/>
      <c r="Y413" s="1986"/>
      <c r="Z413" s="1986"/>
      <c r="AA413" s="1986"/>
      <c r="AB413" s="1986"/>
      <c r="AC413" s="1986"/>
      <c r="AD413" s="1986"/>
      <c r="AE413" s="1986"/>
      <c r="AF413" s="1986"/>
      <c r="AG413" s="1986"/>
      <c r="AH413" s="1986"/>
      <c r="AI413" s="1986"/>
      <c r="AJ413" s="1986"/>
    </row>
    <row r="414" spans="1:36" s="50" customFormat="1" ht="12.75" customHeight="1">
      <c r="E414" s="412" t="s">
        <v>2268</v>
      </c>
      <c r="F414" s="59"/>
      <c r="G414" s="59"/>
      <c r="H414" s="59"/>
      <c r="I414" s="2131">
        <v>0.85</v>
      </c>
      <c r="J414" s="2131"/>
      <c r="K414" s="2131"/>
      <c r="L414" s="59"/>
      <c r="M414" s="412"/>
      <c r="N414" s="59"/>
      <c r="O414" s="59"/>
      <c r="P414" s="2132">
        <f>(CQ629+CS634+CQ648)/I414</f>
        <v>198.82352941176472</v>
      </c>
      <c r="Q414" s="2132"/>
      <c r="R414" s="2132"/>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686">
        <v>1</v>
      </c>
      <c r="Q417" s="1686"/>
      <c r="S417" s="16" t="s">
        <v>148</v>
      </c>
      <c r="AE417" s="1686">
        <v>1</v>
      </c>
      <c r="AF417" s="1686"/>
    </row>
    <row r="418" spans="1:36" ht="12.75" customHeight="1">
      <c r="E418" s="16" t="s">
        <v>149</v>
      </c>
      <c r="P418" s="1686">
        <v>0</v>
      </c>
      <c r="Q418" s="1686"/>
      <c r="S418" s="16" t="s">
        <v>792</v>
      </c>
      <c r="AE418" s="1686" t="s">
        <v>118</v>
      </c>
      <c r="AF418" s="1686"/>
    </row>
    <row r="419" spans="1:36" ht="12.75">
      <c r="F419" s="81" t="s">
        <v>246</v>
      </c>
    </row>
    <row r="420" spans="1:36" ht="12.75">
      <c r="F420" s="2006" t="s">
        <v>2458</v>
      </c>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2.75">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2.75">
      <c r="E422" s="16" t="s">
        <v>941</v>
      </c>
      <c r="N422" s="50"/>
      <c r="O422" s="50"/>
      <c r="P422" s="390"/>
      <c r="Q422" s="1686" t="s">
        <v>530</v>
      </c>
      <c r="R422" s="168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6" t="s">
        <v>135</v>
      </c>
      <c r="AF423" s="1987"/>
    </row>
    <row r="424" spans="1:36" ht="12.75">
      <c r="S424" s="35"/>
      <c r="T424" s="35"/>
    </row>
    <row r="425" spans="1:36" ht="12.75" customHeight="1">
      <c r="A425" s="63"/>
      <c r="B425" s="63"/>
      <c r="C425" s="63"/>
      <c r="E425" s="8" t="s">
        <v>86</v>
      </c>
      <c r="Z425" s="1686" t="s">
        <v>530</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6" t="s">
        <v>135</v>
      </c>
      <c r="AA427" s="1686"/>
    </row>
    <row r="428" spans="1:36" ht="12.75" customHeight="1">
      <c r="AG428" s="16">
        <v>0</v>
      </c>
    </row>
    <row r="429" spans="1:36" ht="12.75" customHeight="1">
      <c r="A429" s="63" t="s">
        <v>410</v>
      </c>
      <c r="B429" s="63"/>
      <c r="C429" s="63"/>
      <c r="D429" s="63" t="s">
        <v>188</v>
      </c>
      <c r="AF429" s="94"/>
    </row>
    <row r="430" spans="1:36" ht="12.75" customHeight="1">
      <c r="D430" s="1817" t="s">
        <v>399</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5"/>
      <c r="AG430" s="2031">
        <v>75</v>
      </c>
      <c r="AH430" s="2031"/>
      <c r="AI430" s="2031"/>
      <c r="AJ430" s="2031"/>
    </row>
    <row r="431" spans="1:36" ht="12.75" customHeight="1">
      <c r="D431" s="1861" t="s">
        <v>1521</v>
      </c>
      <c r="E431" s="1989"/>
      <c r="F431" s="1989"/>
      <c r="G431" s="1989"/>
      <c r="H431" s="1989"/>
      <c r="I431" s="1989"/>
      <c r="J431" s="1989"/>
      <c r="K431" s="1989"/>
      <c r="L431" s="1989"/>
      <c r="M431" s="1989"/>
      <c r="N431" s="1989"/>
      <c r="O431" s="1989"/>
      <c r="P431" s="1989"/>
      <c r="Q431" s="1989"/>
      <c r="R431" s="1989"/>
      <c r="S431" s="1989"/>
      <c r="T431" s="1989"/>
      <c r="U431" s="1989"/>
      <c r="V431" s="1989"/>
      <c r="W431" s="1989"/>
      <c r="X431" s="1989"/>
      <c r="Y431" s="1989"/>
      <c r="Z431" s="1989"/>
      <c r="AA431" s="1989"/>
      <c r="AB431" s="1989"/>
      <c r="AC431" s="1989"/>
      <c r="AD431" s="1989"/>
      <c r="AE431" s="1989"/>
      <c r="AF431" s="1990"/>
      <c r="AG431" s="2128"/>
      <c r="AH431" s="2129"/>
      <c r="AI431" s="2129"/>
      <c r="AJ431" s="2129"/>
    </row>
    <row r="432" spans="1:36" ht="12.75" customHeight="1">
      <c r="D432" s="1861" t="s">
        <v>1522</v>
      </c>
      <c r="E432" s="1989"/>
      <c r="F432" s="1989"/>
      <c r="G432" s="1989"/>
      <c r="H432" s="1989"/>
      <c r="I432" s="1989"/>
      <c r="J432" s="1989"/>
      <c r="K432" s="1989"/>
      <c r="L432" s="1989"/>
      <c r="M432" s="1989"/>
      <c r="N432" s="1989"/>
      <c r="O432" s="1989"/>
      <c r="P432" s="1989"/>
      <c r="Q432" s="1989"/>
      <c r="R432" s="1989"/>
      <c r="S432" s="1989"/>
      <c r="T432" s="1989"/>
      <c r="U432" s="1989"/>
      <c r="V432" s="1989"/>
      <c r="W432" s="1989"/>
      <c r="X432" s="1989"/>
      <c r="Y432" s="1989"/>
      <c r="Z432" s="1989"/>
      <c r="AA432" s="1989"/>
      <c r="AB432" s="1989"/>
      <c r="AC432" s="1989"/>
      <c r="AD432" s="1989"/>
      <c r="AE432" s="1989"/>
      <c r="AF432" s="1990"/>
      <c r="AG432" s="2031">
        <v>74</v>
      </c>
      <c r="AH432" s="2031"/>
      <c r="AI432" s="2031"/>
      <c r="AJ432" s="2031"/>
    </row>
    <row r="433" spans="4:36" ht="12.75" customHeight="1">
      <c r="D433" s="1861" t="s">
        <v>1518</v>
      </c>
      <c r="E433" s="1989"/>
      <c r="F433" s="1989"/>
      <c r="G433" s="1989"/>
      <c r="H433" s="1989"/>
      <c r="I433" s="1989"/>
      <c r="J433" s="1989"/>
      <c r="K433" s="1989"/>
      <c r="L433" s="1989"/>
      <c r="M433" s="1989"/>
      <c r="N433" s="1989"/>
      <c r="O433" s="1989"/>
      <c r="P433" s="1989"/>
      <c r="Q433" s="1989"/>
      <c r="R433" s="1989"/>
      <c r="S433" s="1989"/>
      <c r="T433" s="1989"/>
      <c r="U433" s="1989"/>
      <c r="V433" s="1989"/>
      <c r="W433" s="1989"/>
      <c r="X433" s="1989"/>
      <c r="Y433" s="1989"/>
      <c r="Z433" s="1989"/>
      <c r="AA433" s="1989"/>
      <c r="AB433" s="1989"/>
      <c r="AC433" s="1989"/>
      <c r="AD433" s="1989"/>
      <c r="AE433" s="1989"/>
      <c r="AF433" s="1990"/>
      <c r="AG433" s="2031">
        <v>74</v>
      </c>
      <c r="AH433" s="2031"/>
      <c r="AI433" s="2031"/>
      <c r="AJ433" s="2031"/>
    </row>
    <row r="434" spans="4:36" ht="12.75" customHeight="1">
      <c r="D434" s="1861" t="s">
        <v>1523</v>
      </c>
      <c r="E434" s="1989"/>
      <c r="F434" s="1989"/>
      <c r="G434" s="1989"/>
      <c r="H434" s="1989"/>
      <c r="I434" s="1989"/>
      <c r="J434" s="1989"/>
      <c r="K434" s="1989"/>
      <c r="L434" s="1989"/>
      <c r="M434" s="1989"/>
      <c r="N434" s="1989"/>
      <c r="O434" s="1989"/>
      <c r="P434" s="1989"/>
      <c r="Q434" s="1989"/>
      <c r="R434" s="1989"/>
      <c r="S434" s="1989"/>
      <c r="T434" s="1989"/>
      <c r="U434" s="1989"/>
      <c r="V434" s="1989"/>
      <c r="W434" s="1989"/>
      <c r="X434" s="1989"/>
      <c r="Y434" s="1989"/>
      <c r="Z434" s="1989"/>
      <c r="AA434" s="1989"/>
      <c r="AB434" s="1989"/>
      <c r="AC434" s="1989"/>
      <c r="AD434" s="1989"/>
      <c r="AE434" s="1989"/>
      <c r="AF434" s="1990"/>
      <c r="AG434" s="2033">
        <f>IF(ISERROR(AG433/AG432),"",AG433/AG432)</f>
        <v>1</v>
      </c>
      <c r="AH434" s="2033"/>
      <c r="AI434" s="2033"/>
      <c r="AJ434" s="2033"/>
    </row>
    <row r="435" spans="4:36" ht="12.75" customHeight="1">
      <c r="D435" s="1861" t="s">
        <v>1520</v>
      </c>
      <c r="E435" s="1989"/>
      <c r="F435" s="1989"/>
      <c r="G435" s="1989"/>
      <c r="H435" s="1989"/>
      <c r="I435" s="1989"/>
      <c r="J435" s="1989"/>
      <c r="K435" s="1989"/>
      <c r="L435" s="1989"/>
      <c r="M435" s="1989"/>
      <c r="N435" s="1989"/>
      <c r="O435" s="1989"/>
      <c r="P435" s="1989"/>
      <c r="Q435" s="1989"/>
      <c r="R435" s="1989"/>
      <c r="S435" s="1989"/>
      <c r="T435" s="1989"/>
      <c r="U435" s="1989"/>
      <c r="V435" s="1989"/>
      <c r="W435" s="1989"/>
      <c r="X435" s="1989"/>
      <c r="Y435" s="1989"/>
      <c r="Z435" s="1989"/>
      <c r="AA435" s="1989"/>
      <c r="AB435" s="1989"/>
      <c r="AC435" s="1989"/>
      <c r="AD435" s="1989"/>
      <c r="AE435" s="1989"/>
      <c r="AF435" s="1990"/>
      <c r="AG435" s="1992">
        <v>76442</v>
      </c>
      <c r="AH435" s="1992"/>
      <c r="AI435" s="1992"/>
      <c r="AJ435" s="1992"/>
    </row>
    <row r="436" spans="4:36" ht="12.75" customHeight="1">
      <c r="D436" s="1861" t="s">
        <v>1519</v>
      </c>
      <c r="E436" s="1989"/>
      <c r="F436" s="1989"/>
      <c r="G436" s="1989"/>
      <c r="H436" s="1989"/>
      <c r="I436" s="1989"/>
      <c r="J436" s="1989"/>
      <c r="K436" s="1989"/>
      <c r="L436" s="1989"/>
      <c r="M436" s="1989"/>
      <c r="N436" s="1989"/>
      <c r="O436" s="1989"/>
      <c r="P436" s="1989"/>
      <c r="Q436" s="1989"/>
      <c r="R436" s="1989"/>
      <c r="S436" s="1989"/>
      <c r="T436" s="1989"/>
      <c r="U436" s="1989"/>
      <c r="V436" s="1989"/>
      <c r="W436" s="1989"/>
      <c r="X436" s="1989"/>
      <c r="Y436" s="1989"/>
      <c r="Z436" s="1989"/>
      <c r="AA436" s="1989"/>
      <c r="AB436" s="1989"/>
      <c r="AC436" s="1989"/>
      <c r="AD436" s="1989"/>
      <c r="AE436" s="1989"/>
      <c r="AF436" s="1990"/>
      <c r="AG436" s="1992">
        <v>76442</v>
      </c>
      <c r="AH436" s="1992"/>
      <c r="AI436" s="1992"/>
      <c r="AJ436" s="1992"/>
    </row>
    <row r="437" spans="4:36" ht="12.75" customHeight="1">
      <c r="D437" s="1861" t="s">
        <v>1526</v>
      </c>
      <c r="E437" s="1989"/>
      <c r="F437" s="1989"/>
      <c r="G437" s="1989"/>
      <c r="H437" s="1989"/>
      <c r="I437" s="1989"/>
      <c r="J437" s="1989"/>
      <c r="K437" s="1989"/>
      <c r="L437" s="1989"/>
      <c r="M437" s="1989"/>
      <c r="N437" s="1989"/>
      <c r="O437" s="1989"/>
      <c r="P437" s="1989"/>
      <c r="Q437" s="1989"/>
      <c r="R437" s="1989"/>
      <c r="S437" s="1989"/>
      <c r="T437" s="1989"/>
      <c r="U437" s="1989"/>
      <c r="V437" s="1989"/>
      <c r="W437" s="1989"/>
      <c r="X437" s="1989"/>
      <c r="Y437" s="1989"/>
      <c r="Z437" s="1989"/>
      <c r="AA437" s="1989"/>
      <c r="AB437" s="1989"/>
      <c r="AC437" s="1989"/>
      <c r="AD437" s="1989"/>
      <c r="AE437" s="1989"/>
      <c r="AF437" s="1990"/>
      <c r="AG437" s="2033">
        <f>IF(ISERROR(AG436/AG435),"",AG436/AG435)</f>
        <v>1</v>
      </c>
      <c r="AH437" s="2033"/>
      <c r="AI437" s="2033"/>
      <c r="AJ437" s="2033"/>
    </row>
    <row r="438" spans="4:36" ht="12.75" customHeight="1">
      <c r="D438" s="1861" t="s">
        <v>1524</v>
      </c>
      <c r="E438" s="1989"/>
      <c r="F438" s="1989"/>
      <c r="G438" s="1989"/>
      <c r="H438" s="1989"/>
      <c r="I438" s="1989"/>
      <c r="J438" s="1989"/>
      <c r="K438" s="1989"/>
      <c r="L438" s="1989"/>
      <c r="M438" s="1989"/>
      <c r="N438" s="1989"/>
      <c r="O438" s="1989"/>
      <c r="P438" s="1989"/>
      <c r="Q438" s="1989"/>
      <c r="R438" s="1989"/>
      <c r="S438" s="1989"/>
      <c r="T438" s="1989"/>
      <c r="U438" s="1989"/>
      <c r="V438" s="1989"/>
      <c r="W438" s="1989"/>
      <c r="X438" s="1989"/>
      <c r="Y438" s="1989"/>
      <c r="Z438" s="1989"/>
      <c r="AA438" s="1989"/>
      <c r="AB438" s="1989"/>
      <c r="AC438" s="1989"/>
      <c r="AD438" s="1989"/>
      <c r="AE438" s="1989"/>
      <c r="AF438" s="1990"/>
      <c r="AG438" s="2033">
        <f>MIN(IF(AG434&gt;AG437,AG437,AG434),1)</f>
        <v>1</v>
      </c>
      <c r="AH438" s="2033"/>
      <c r="AI438" s="2033"/>
      <c r="AJ438" s="2033"/>
    </row>
    <row r="439" spans="4:36" ht="12.75">
      <c r="D439" s="2125" t="s">
        <v>1958</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5"/>
      <c r="AG439" s="1992">
        <v>6917</v>
      </c>
      <c r="AH439" s="1992"/>
      <c r="AI439" s="1992"/>
      <c r="AJ439" s="1992"/>
    </row>
    <row r="440" spans="4:36" ht="12.75">
      <c r="D440" s="1861" t="s">
        <v>230</v>
      </c>
      <c r="E440" s="1989"/>
      <c r="F440" s="1989"/>
      <c r="G440" s="1989"/>
      <c r="H440" s="1989"/>
      <c r="I440" s="1989"/>
      <c r="J440" s="1989"/>
      <c r="K440" s="1989"/>
      <c r="L440" s="1989"/>
      <c r="M440" s="1989"/>
      <c r="N440" s="1989"/>
      <c r="O440" s="1989"/>
      <c r="P440" s="1989"/>
      <c r="Q440" s="1989"/>
      <c r="R440" s="1989"/>
      <c r="S440" s="1989"/>
      <c r="T440" s="1989"/>
      <c r="U440" s="1989"/>
      <c r="V440" s="1989"/>
      <c r="W440" s="1989"/>
      <c r="X440" s="1989"/>
      <c r="Y440" s="1989"/>
      <c r="Z440" s="1989"/>
      <c r="AA440" s="1989"/>
      <c r="AB440" s="1989"/>
      <c r="AC440" s="1989"/>
      <c r="AD440" s="1989"/>
      <c r="AE440" s="1989"/>
      <c r="AF440" s="1990"/>
      <c r="AG440" s="1992">
        <v>1818</v>
      </c>
      <c r="AH440" s="1992"/>
      <c r="AI440" s="1992"/>
      <c r="AJ440" s="1992"/>
    </row>
    <row r="441" spans="4:36" ht="12.75" customHeight="1">
      <c r="D441" s="2125" t="s">
        <v>1959</v>
      </c>
      <c r="E441" s="1989"/>
      <c r="F441" s="1989"/>
      <c r="G441" s="1989"/>
      <c r="H441" s="1989"/>
      <c r="I441" s="1989"/>
      <c r="J441" s="1989"/>
      <c r="K441" s="1989"/>
      <c r="L441" s="1989"/>
      <c r="M441" s="1989"/>
      <c r="N441" s="1989"/>
      <c r="O441" s="1989"/>
      <c r="P441" s="1989"/>
      <c r="Q441" s="1989"/>
      <c r="R441" s="1989"/>
      <c r="S441" s="1989"/>
      <c r="T441" s="1989"/>
      <c r="U441" s="1989"/>
      <c r="V441" s="1989"/>
      <c r="W441" s="1989"/>
      <c r="X441" s="1989"/>
      <c r="Y441" s="1989"/>
      <c r="Z441" s="1989"/>
      <c r="AA441" s="1989"/>
      <c r="AB441" s="1989"/>
      <c r="AC441" s="1989"/>
      <c r="AD441" s="1989"/>
      <c r="AE441" s="1989"/>
      <c r="AF441" s="1990"/>
      <c r="AG441" s="1992">
        <v>18756</v>
      </c>
      <c r="AH441" s="1992"/>
      <c r="AI441" s="1992"/>
      <c r="AJ441" s="1992"/>
    </row>
    <row r="442" spans="4:36" ht="12.75">
      <c r="D442" s="1861" t="s">
        <v>1525</v>
      </c>
      <c r="E442" s="1989"/>
      <c r="F442" s="1989"/>
      <c r="G442" s="1989"/>
      <c r="H442" s="1989"/>
      <c r="I442" s="1989"/>
      <c r="J442" s="1989"/>
      <c r="K442" s="1989"/>
      <c r="L442" s="1989"/>
      <c r="M442" s="1989"/>
      <c r="N442" s="1989"/>
      <c r="O442" s="1989"/>
      <c r="P442" s="1989"/>
      <c r="Q442" s="1989"/>
      <c r="R442" s="1989"/>
      <c r="S442" s="1989"/>
      <c r="T442" s="1989"/>
      <c r="U442" s="1989"/>
      <c r="V442" s="1989"/>
      <c r="W442" s="1989"/>
      <c r="X442" s="1989"/>
      <c r="Y442" s="1989"/>
      <c r="Z442" s="1989"/>
      <c r="AA442" s="1989"/>
      <c r="AB442" s="1989"/>
      <c r="AC442" s="1989"/>
      <c r="AD442" s="1989"/>
      <c r="AE442" s="1989"/>
      <c r="AF442" s="1990"/>
      <c r="AG442" s="1992">
        <v>24548</v>
      </c>
      <c r="AH442" s="1992"/>
      <c r="AI442" s="1992"/>
      <c r="AJ442" s="1992"/>
    </row>
    <row r="443" spans="4:36" ht="12.75">
      <c r="D443" s="1861" t="s">
        <v>1527</v>
      </c>
      <c r="E443" s="1989"/>
      <c r="F443" s="1989"/>
      <c r="G443" s="1989"/>
      <c r="H443" s="1989"/>
      <c r="I443" s="1989"/>
      <c r="J443" s="1989"/>
      <c r="K443" s="1989"/>
      <c r="L443" s="1989"/>
      <c r="M443" s="1989"/>
      <c r="N443" s="1989"/>
      <c r="O443" s="1989"/>
      <c r="P443" s="1989"/>
      <c r="Q443" s="1989"/>
      <c r="R443" s="1989"/>
      <c r="S443" s="1989"/>
      <c r="T443" s="1989"/>
      <c r="U443" s="1989"/>
      <c r="V443" s="1989"/>
      <c r="W443" s="1989"/>
      <c r="X443" s="1989"/>
      <c r="Y443" s="1989"/>
      <c r="Z443" s="1989"/>
      <c r="AA443" s="1989"/>
      <c r="AB443" s="1989"/>
      <c r="AC443" s="1989"/>
      <c r="AD443" s="1989"/>
      <c r="AE443" s="1989"/>
      <c r="AF443" s="1990"/>
      <c r="AG443" s="2105">
        <f>AG435+AG439+AG441+AG442</f>
        <v>126663</v>
      </c>
      <c r="AH443" s="2105"/>
      <c r="AI443" s="2105"/>
      <c r="AJ443" s="2105"/>
    </row>
    <row r="444" spans="4:36" ht="12.75">
      <c r="D444" s="1983" t="s">
        <v>1960</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c r="AI444" s="1983"/>
      <c r="AJ444" s="1983"/>
    </row>
    <row r="445" spans="4:36" ht="13.7" customHeight="1">
      <c r="D445" s="1984"/>
      <c r="E445" s="1984"/>
      <c r="F445" s="1984"/>
      <c r="G445" s="1984"/>
      <c r="H445" s="1984"/>
      <c r="I445" s="1984"/>
      <c r="J445" s="1984"/>
      <c r="K445" s="1984"/>
      <c r="L445" s="1984"/>
      <c r="M445" s="1984"/>
      <c r="N445" s="1984"/>
      <c r="O445" s="1984"/>
      <c r="P445" s="1984"/>
      <c r="Q445" s="1984"/>
      <c r="R445" s="1984"/>
      <c r="S445" s="1984"/>
      <c r="T445" s="1984"/>
      <c r="U445" s="1984"/>
      <c r="V445" s="1984"/>
      <c r="W445" s="1984"/>
      <c r="X445" s="1984"/>
      <c r="Y445" s="1984"/>
      <c r="Z445" s="1984"/>
      <c r="AA445" s="1984"/>
      <c r="AB445" s="1984"/>
      <c r="AC445" s="1984"/>
      <c r="AD445" s="1984"/>
      <c r="AE445" s="1984"/>
      <c r="AF445" s="1984"/>
      <c r="AG445" s="1984"/>
      <c r="AH445" s="1984"/>
      <c r="AI445" s="1984"/>
      <c r="AJ445" s="1984"/>
    </row>
    <row r="446" spans="4:36" ht="12.75">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5">
        <f>'Sources and Uses Budget'!B104/Application!AG430</f>
        <v>543395.14666666661</v>
      </c>
      <c r="AD447" s="1995"/>
      <c r="AE447" s="1995"/>
      <c r="AF447" s="1995"/>
      <c r="AG447" s="2029"/>
      <c r="AH447" s="2029"/>
      <c r="AI447" s="2029"/>
      <c r="AJ447" s="202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5">
        <f>'Sources and Uses Budget'!C104/Application!AG430</f>
        <v>540728.48</v>
      </c>
      <c r="AD448" s="1995"/>
      <c r="AE448" s="1995"/>
      <c r="AF448" s="1995"/>
      <c r="AG448" s="2029"/>
      <c r="AH448" s="2029"/>
      <c r="AI448" s="2029"/>
      <c r="AJ448" s="202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5">
        <f>('Sources and Uses Budget'!S106+'Sources and Uses Budget'!T106)/Application!AG430</f>
        <v>471748.52</v>
      </c>
      <c r="AD449" s="1995"/>
      <c r="AE449" s="1995"/>
      <c r="AF449" s="1995"/>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1" t="s">
        <v>235</v>
      </c>
      <c r="E458" s="1872"/>
      <c r="F458" s="1872"/>
      <c r="G458" s="1872"/>
      <c r="H458" s="1872"/>
      <c r="I458" s="1872"/>
      <c r="J458" s="1872"/>
      <c r="K458" s="1872"/>
      <c r="L458" s="1872"/>
      <c r="M458" s="1872"/>
      <c r="N458" s="1872"/>
      <c r="O458" s="1872"/>
      <c r="P458" s="1872"/>
      <c r="Q458" s="1872"/>
      <c r="R458" s="1872"/>
      <c r="S458" s="1872"/>
      <c r="T458" s="1872"/>
      <c r="U458" s="1872"/>
      <c r="V458" s="1873"/>
      <c r="W458" s="1978" t="s">
        <v>135</v>
      </c>
      <c r="X458" s="1979"/>
      <c r="Y458" s="1980"/>
      <c r="Z458" s="495"/>
      <c r="AA458" s="495"/>
      <c r="AB458" s="495"/>
      <c r="AC458" s="495"/>
      <c r="AD458" s="495"/>
      <c r="AE458" s="495"/>
      <c r="AF458" s="495"/>
      <c r="AG458" s="495"/>
      <c r="AH458" s="495"/>
      <c r="AI458" s="495"/>
      <c r="AJ458" s="327"/>
      <c r="AK458" s="327"/>
      <c r="AL458" s="327"/>
    </row>
    <row r="459" spans="1:38" ht="12.75" customHeight="1">
      <c r="A459" s="327"/>
      <c r="B459" s="327"/>
      <c r="C459" s="327"/>
      <c r="D459" s="1871" t="s">
        <v>236</v>
      </c>
      <c r="E459" s="1872"/>
      <c r="F459" s="1872"/>
      <c r="G459" s="1872"/>
      <c r="H459" s="1872"/>
      <c r="I459" s="1872"/>
      <c r="J459" s="1872"/>
      <c r="K459" s="1872"/>
      <c r="L459" s="1872"/>
      <c r="M459" s="1872"/>
      <c r="N459" s="1872"/>
      <c r="O459" s="1872"/>
      <c r="P459" s="1872"/>
      <c r="Q459" s="1872"/>
      <c r="R459" s="1872"/>
      <c r="S459" s="1872"/>
      <c r="T459" s="1872"/>
      <c r="U459" s="1872"/>
      <c r="V459" s="1873"/>
      <c r="W459" s="1978" t="s">
        <v>135</v>
      </c>
      <c r="X459" s="1979"/>
      <c r="Y459" s="1980"/>
      <c r="Z459" s="495"/>
      <c r="AA459" s="495"/>
      <c r="AB459" s="495"/>
      <c r="AC459" s="495"/>
      <c r="AD459" s="495"/>
      <c r="AE459" s="495"/>
      <c r="AF459" s="495"/>
      <c r="AG459" s="495"/>
      <c r="AH459" s="495"/>
      <c r="AI459" s="495"/>
      <c r="AJ459" s="327"/>
      <c r="AK459" s="327"/>
      <c r="AL459" s="327"/>
    </row>
    <row r="460" spans="1:38" ht="12.75" customHeight="1">
      <c r="A460" s="327"/>
      <c r="B460" s="327"/>
      <c r="C460" s="327"/>
      <c r="D460" s="1871" t="s">
        <v>237</v>
      </c>
      <c r="E460" s="1872"/>
      <c r="F460" s="1872"/>
      <c r="G460" s="1872"/>
      <c r="H460" s="1872"/>
      <c r="I460" s="1872"/>
      <c r="J460" s="1872"/>
      <c r="K460" s="1872"/>
      <c r="L460" s="1872"/>
      <c r="M460" s="1872"/>
      <c r="N460" s="1872"/>
      <c r="O460" s="1872"/>
      <c r="P460" s="1872"/>
      <c r="Q460" s="1872"/>
      <c r="R460" s="1872"/>
      <c r="S460" s="1872"/>
      <c r="T460" s="1872"/>
      <c r="U460" s="1872"/>
      <c r="V460" s="1873"/>
      <c r="W460" s="1978" t="s">
        <v>135</v>
      </c>
      <c r="X460" s="1979"/>
      <c r="Y460" s="1980"/>
      <c r="Z460" s="495"/>
      <c r="AA460" s="495"/>
      <c r="AB460" s="495"/>
      <c r="AC460" s="495"/>
      <c r="AD460" s="495"/>
      <c r="AE460" s="495"/>
      <c r="AF460" s="495"/>
      <c r="AG460" s="495"/>
      <c r="AH460" s="495"/>
      <c r="AI460" s="495"/>
      <c r="AJ460" s="327"/>
      <c r="AK460" s="327"/>
      <c r="AL460" s="327"/>
    </row>
    <row r="461" spans="1:38" ht="12.75" customHeight="1">
      <c r="A461" s="327"/>
      <c r="B461" s="327"/>
      <c r="C461" s="327"/>
      <c r="D461" s="1871" t="s">
        <v>241</v>
      </c>
      <c r="E461" s="1872"/>
      <c r="F461" s="1872"/>
      <c r="G461" s="1872"/>
      <c r="H461" s="1872"/>
      <c r="I461" s="1872"/>
      <c r="J461" s="1872"/>
      <c r="K461" s="1872"/>
      <c r="L461" s="1872"/>
      <c r="M461" s="1872"/>
      <c r="N461" s="1872"/>
      <c r="O461" s="1872"/>
      <c r="P461" s="1872"/>
      <c r="Q461" s="1872"/>
      <c r="R461" s="1872"/>
      <c r="S461" s="1872"/>
      <c r="T461" s="1872"/>
      <c r="U461" s="1872"/>
      <c r="V461" s="1873"/>
      <c r="W461" s="1978" t="s">
        <v>135</v>
      </c>
      <c r="X461" s="1979"/>
      <c r="Y461" s="1980"/>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1227</v>
      </c>
      <c r="E462" s="1872"/>
      <c r="F462" s="1872"/>
      <c r="G462" s="1872"/>
      <c r="H462" s="1872"/>
      <c r="I462" s="1872"/>
      <c r="J462" s="1872"/>
      <c r="K462" s="1872"/>
      <c r="L462" s="1872"/>
      <c r="M462" s="1872"/>
      <c r="N462" s="1872"/>
      <c r="O462" s="1872"/>
      <c r="P462" s="1872"/>
      <c r="Q462" s="1872"/>
      <c r="R462" s="1872"/>
      <c r="S462" s="1872"/>
      <c r="T462" s="1872"/>
      <c r="U462" s="1872"/>
      <c r="V462" s="1873"/>
      <c r="W462" s="1978" t="s">
        <v>135</v>
      </c>
      <c r="X462" s="1979"/>
      <c r="Y462" s="1980"/>
      <c r="Z462" s="495"/>
      <c r="AA462" s="495"/>
      <c r="AB462" s="495"/>
      <c r="AC462" s="495"/>
      <c r="AD462" s="495"/>
      <c r="AE462" s="495"/>
      <c r="AF462" s="495"/>
      <c r="AG462" s="495"/>
      <c r="AH462" s="495"/>
      <c r="AI462" s="495"/>
      <c r="AJ462" s="327"/>
      <c r="AK462" s="327"/>
      <c r="AL462" s="327"/>
    </row>
    <row r="463" spans="1:38" ht="12.75" customHeight="1">
      <c r="A463" s="327"/>
      <c r="B463" s="327"/>
      <c r="C463" s="327"/>
      <c r="D463" s="1871" t="s">
        <v>245</v>
      </c>
      <c r="E463" s="1872"/>
      <c r="F463" s="1872"/>
      <c r="G463" s="1872"/>
      <c r="H463" s="1872"/>
      <c r="I463" s="1872"/>
      <c r="J463" s="1872"/>
      <c r="K463" s="1872"/>
      <c r="L463" s="1872"/>
      <c r="M463" s="1872"/>
      <c r="N463" s="1872"/>
      <c r="O463" s="1872"/>
      <c r="P463" s="1872"/>
      <c r="Q463" s="1872"/>
      <c r="R463" s="1872"/>
      <c r="S463" s="1872"/>
      <c r="T463" s="1872"/>
      <c r="U463" s="1872"/>
      <c r="V463" s="1873"/>
      <c r="W463" s="1978" t="s">
        <v>135</v>
      </c>
      <c r="X463" s="1979"/>
      <c r="Y463" s="1980"/>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1445</v>
      </c>
      <c r="E464" s="2126"/>
      <c r="F464" s="2126"/>
      <c r="G464" s="2126"/>
      <c r="H464" s="2126"/>
      <c r="I464" s="2126"/>
      <c r="J464" s="2126"/>
      <c r="K464" s="2126"/>
      <c r="L464" s="2126"/>
      <c r="M464" s="2126"/>
      <c r="N464" s="2126"/>
      <c r="O464" s="2126"/>
      <c r="P464" s="2126"/>
      <c r="Q464" s="2126"/>
      <c r="R464" s="2126"/>
      <c r="S464" s="2126"/>
      <c r="T464" s="2126"/>
      <c r="U464" s="2126"/>
      <c r="V464" s="2127"/>
      <c r="W464" s="2107" t="s">
        <v>135</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2" t="s">
        <v>2459</v>
      </c>
      <c r="H465" s="2123"/>
      <c r="I465" s="2123"/>
      <c r="J465" s="2123"/>
      <c r="K465" s="2123"/>
      <c r="L465" s="2123"/>
      <c r="M465" s="2123"/>
      <c r="N465" s="2123"/>
      <c r="O465" s="2123"/>
      <c r="P465" s="2123"/>
      <c r="Q465" s="2123"/>
      <c r="R465" s="2123"/>
      <c r="S465" s="2123"/>
      <c r="T465" s="2123"/>
      <c r="U465" s="2123"/>
      <c r="V465" s="2124"/>
      <c r="W465" s="1978">
        <v>12</v>
      </c>
      <c r="X465" s="1979"/>
      <c r="Y465" s="198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1" t="s">
        <v>238</v>
      </c>
      <c r="E469" s="1982"/>
      <c r="F469" s="1982"/>
      <c r="G469" s="1982"/>
      <c r="H469" s="1982"/>
      <c r="I469" s="1982"/>
      <c r="J469" s="1982"/>
      <c r="K469" s="1982"/>
      <c r="L469" s="1982"/>
      <c r="M469" s="1982"/>
      <c r="N469" s="1982"/>
      <c r="O469" s="1982"/>
      <c r="P469" s="1982"/>
      <c r="Q469" s="1982"/>
      <c r="R469" s="1982"/>
      <c r="S469" s="1982"/>
      <c r="T469" s="1982"/>
      <c r="U469" s="1982"/>
      <c r="V469" s="1982"/>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1" t="s">
        <v>239</v>
      </c>
      <c r="E470" s="1872"/>
      <c r="F470" s="1872"/>
      <c r="G470" s="1872"/>
      <c r="H470" s="1872"/>
      <c r="I470" s="1872"/>
      <c r="J470" s="1872"/>
      <c r="K470" s="1872"/>
      <c r="L470" s="1872"/>
      <c r="M470" s="1872"/>
      <c r="N470" s="1872"/>
      <c r="O470" s="1872"/>
      <c r="P470" s="1872"/>
      <c r="Q470" s="1872"/>
      <c r="R470" s="1872"/>
      <c r="S470" s="1872"/>
      <c r="T470" s="1872"/>
      <c r="U470" s="1872"/>
      <c r="V470" s="1873"/>
      <c r="W470" s="1978" t="s">
        <v>135</v>
      </c>
      <c r="X470" s="1979"/>
      <c r="Y470" s="198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8" t="s">
        <v>1140</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1" t="s">
        <v>1141</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8" t="s">
        <v>872</v>
      </c>
      <c r="U479" s="2028"/>
      <c r="V479" s="2028"/>
      <c r="W479" s="2028"/>
      <c r="X479" s="2028"/>
      <c r="Y479" s="2028" t="s">
        <v>873</v>
      </c>
      <c r="Z479" s="2028"/>
      <c r="AA479" s="2028"/>
      <c r="AB479" s="2028"/>
      <c r="AC479" s="2028"/>
      <c r="AD479" s="2028" t="s">
        <v>933</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99">
        <v>43971</v>
      </c>
      <c r="U481" s="1999"/>
      <c r="V481" s="1999"/>
      <c r="W481" s="1999"/>
      <c r="X481" s="1999"/>
      <c r="Y481" s="1999">
        <v>0</v>
      </c>
      <c r="Z481" s="1999"/>
      <c r="AA481" s="1999"/>
      <c r="AB481" s="1999"/>
      <c r="AC481" s="1999"/>
      <c r="AD481" s="1999">
        <v>44182</v>
      </c>
      <c r="AE481" s="1999"/>
      <c r="AF481" s="1999"/>
      <c r="AG481" s="1999"/>
      <c r="AH481" s="199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99" t="s">
        <v>135</v>
      </c>
      <c r="U482" s="1999"/>
      <c r="V482" s="1999"/>
      <c r="W482" s="1999"/>
      <c r="X482" s="1999"/>
      <c r="Y482" s="1999">
        <v>0</v>
      </c>
      <c r="Z482" s="1999"/>
      <c r="AA482" s="1999"/>
      <c r="AB482" s="1999"/>
      <c r="AC482" s="1999"/>
      <c r="AD482" s="1999">
        <v>0</v>
      </c>
      <c r="AE482" s="1999"/>
      <c r="AF482" s="1999"/>
      <c r="AG482" s="1999"/>
      <c r="AH482" s="199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99">
        <v>43971</v>
      </c>
      <c r="U483" s="1999"/>
      <c r="V483" s="1999"/>
      <c r="W483" s="1999"/>
      <c r="X483" s="1999"/>
      <c r="Y483" s="1999">
        <v>0</v>
      </c>
      <c r="Z483" s="1999"/>
      <c r="AA483" s="1999"/>
      <c r="AB483" s="1999"/>
      <c r="AC483" s="1999"/>
      <c r="AD483" s="1999">
        <v>44182</v>
      </c>
      <c r="AE483" s="1999"/>
      <c r="AF483" s="1999"/>
      <c r="AG483" s="1999"/>
      <c r="AH483" s="199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99">
        <v>43971</v>
      </c>
      <c r="U484" s="1999"/>
      <c r="V484" s="1999"/>
      <c r="W484" s="1999"/>
      <c r="X484" s="1999"/>
      <c r="Y484" s="1999">
        <v>0</v>
      </c>
      <c r="Z484" s="1999"/>
      <c r="AA484" s="1999"/>
      <c r="AB484" s="1999"/>
      <c r="AC484" s="1999"/>
      <c r="AD484" s="1999">
        <v>44182</v>
      </c>
      <c r="AE484" s="1999"/>
      <c r="AF484" s="1999"/>
      <c r="AG484" s="1999"/>
      <c r="AH484" s="199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99" t="s">
        <v>135</v>
      </c>
      <c r="U485" s="1999"/>
      <c r="V485" s="1999"/>
      <c r="W485" s="1999"/>
      <c r="X485" s="1999"/>
      <c r="Y485" s="1999">
        <v>0</v>
      </c>
      <c r="Z485" s="1999"/>
      <c r="AA485" s="1999"/>
      <c r="AB485" s="1999"/>
      <c r="AC485" s="1999"/>
      <c r="AD485" s="1999">
        <v>0</v>
      </c>
      <c r="AE485" s="1999"/>
      <c r="AF485" s="1999"/>
      <c r="AG485" s="1999"/>
      <c r="AH485" s="199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99">
        <v>43971</v>
      </c>
      <c r="U486" s="1999"/>
      <c r="V486" s="1999"/>
      <c r="W486" s="1999"/>
      <c r="X486" s="1999"/>
      <c r="Y486" s="1999">
        <v>0</v>
      </c>
      <c r="Z486" s="1999"/>
      <c r="AA486" s="1999"/>
      <c r="AB486" s="1999"/>
      <c r="AC486" s="1999"/>
      <c r="AD486" s="1999">
        <v>44182</v>
      </c>
      <c r="AE486" s="1999"/>
      <c r="AF486" s="1999"/>
      <c r="AG486" s="1999"/>
      <c r="AH486" s="199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99">
        <v>43971</v>
      </c>
      <c r="U487" s="1999"/>
      <c r="V487" s="1999"/>
      <c r="W487" s="1999"/>
      <c r="X487" s="1999"/>
      <c r="Y487" s="1999">
        <v>0</v>
      </c>
      <c r="Z487" s="1999"/>
      <c r="AA487" s="1999"/>
      <c r="AB487" s="1999"/>
      <c r="AC487" s="1999"/>
      <c r="AD487" s="1999">
        <v>44182</v>
      </c>
      <c r="AE487" s="1999"/>
      <c r="AF487" s="1999"/>
      <c r="AG487" s="1999"/>
      <c r="AH487" s="199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99" t="s">
        <v>135</v>
      </c>
      <c r="U488" s="1999"/>
      <c r="V488" s="1999"/>
      <c r="W488" s="1999"/>
      <c r="X488" s="1999"/>
      <c r="Y488" s="1999">
        <v>0</v>
      </c>
      <c r="Z488" s="1999"/>
      <c r="AA488" s="1999"/>
      <c r="AB488" s="1999"/>
      <c r="AC488" s="1999"/>
      <c r="AD488" s="1999">
        <v>0</v>
      </c>
      <c r="AE488" s="1999"/>
      <c r="AF488" s="1999"/>
      <c r="AG488" s="1999"/>
      <c r="AH488" s="199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99" t="s">
        <v>135</v>
      </c>
      <c r="U489" s="1999"/>
      <c r="V489" s="1999"/>
      <c r="W489" s="1999"/>
      <c r="X489" s="1999"/>
      <c r="Y489" s="1999">
        <v>0</v>
      </c>
      <c r="Z489" s="1999"/>
      <c r="AA489" s="1999"/>
      <c r="AB489" s="1999"/>
      <c r="AC489" s="1999"/>
      <c r="AD489" s="1999">
        <v>0</v>
      </c>
      <c r="AE489" s="1999"/>
      <c r="AF489" s="1999"/>
      <c r="AG489" s="1999"/>
      <c r="AH489" s="199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1999" t="s">
        <v>135</v>
      </c>
      <c r="U490" s="1999"/>
      <c r="V490" s="1999"/>
      <c r="W490" s="1999"/>
      <c r="X490" s="1999"/>
      <c r="Y490" s="1999">
        <v>0</v>
      </c>
      <c r="Z490" s="1999"/>
      <c r="AA490" s="1999"/>
      <c r="AB490" s="1999"/>
      <c r="AC490" s="1999"/>
      <c r="AD490" s="1999">
        <v>0</v>
      </c>
      <c r="AE490" s="1999"/>
      <c r="AF490" s="1999"/>
      <c r="AG490" s="1999"/>
      <c r="AH490" s="199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1" t="s">
        <v>265</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8" t="s">
        <v>2460</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8" t="s">
        <v>2461</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8" t="s">
        <v>2462</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269</v>
      </c>
      <c r="C496" s="2023"/>
      <c r="D496" s="2023"/>
      <c r="E496" s="2023"/>
      <c r="F496" s="2023"/>
      <c r="G496" s="2023"/>
      <c r="H496" s="2023"/>
      <c r="I496" s="2023"/>
      <c r="J496" s="2023"/>
      <c r="K496" s="2023"/>
      <c r="L496" s="2023"/>
      <c r="M496" s="2023"/>
      <c r="N496" s="2023"/>
      <c r="O496" s="2023"/>
      <c r="P496" s="2024"/>
      <c r="Q496" s="2134" t="s">
        <v>118</v>
      </c>
      <c r="R496" s="2135"/>
      <c r="S496" s="2138" t="s">
        <v>2463</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2271</v>
      </c>
      <c r="C498" s="1399"/>
      <c r="D498" s="1399"/>
      <c r="E498" s="1399"/>
      <c r="F498" s="1399"/>
      <c r="G498" s="1399"/>
      <c r="H498" s="1399"/>
      <c r="I498" s="1399"/>
      <c r="J498" s="1399"/>
      <c r="K498" s="1399"/>
      <c r="L498" s="1399"/>
      <c r="M498" s="1399"/>
      <c r="N498" s="1399"/>
      <c r="O498" s="1399"/>
      <c r="P498" s="1399"/>
      <c r="Q498" s="2144" t="s">
        <v>530</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8" t="s">
        <v>2464</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000" t="s">
        <v>2552</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718">
        <v>66</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1967">
        <v>66</v>
      </c>
      <c r="N502" s="1687"/>
      <c r="O502" s="1687"/>
      <c r="P502" s="1968"/>
      <c r="Q502" s="1435" t="s">
        <v>2274</v>
      </c>
      <c r="R502" s="1436"/>
      <c r="S502" s="1436"/>
      <c r="T502" s="1436"/>
      <c r="U502" s="1436"/>
      <c r="V502" s="1436"/>
      <c r="W502" s="1436"/>
      <c r="X502" s="1436"/>
      <c r="Y502" s="1436"/>
      <c r="Z502" s="1436"/>
      <c r="AA502" s="1436"/>
      <c r="AB502" s="1436"/>
      <c r="AC502" s="1436"/>
      <c r="AD502" s="1436"/>
      <c r="AE502" s="1436"/>
      <c r="AF502" s="1436"/>
      <c r="AG502" s="1436"/>
      <c r="AH502" s="1967"/>
      <c r="AI502" s="1687"/>
      <c r="AJ502" s="1687"/>
      <c r="AK502" s="19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273</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274</v>
      </c>
      <c r="AD507" s="2016"/>
      <c r="AE507" s="2016"/>
      <c r="AF507" s="2016"/>
      <c r="AG507" s="96" t="s">
        <v>275</v>
      </c>
      <c r="AH507" s="2016" t="s">
        <v>276</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8" t="s">
        <v>277</v>
      </c>
      <c r="C508" s="1809"/>
      <c r="D508" s="1809"/>
      <c r="E508" s="1809"/>
      <c r="F508" s="1809"/>
      <c r="G508" s="1809"/>
      <c r="H508" s="1810"/>
      <c r="I508" s="86" t="s">
        <v>736</v>
      </c>
      <c r="J508" s="86"/>
      <c r="K508" s="86"/>
      <c r="L508" s="86"/>
      <c r="M508" s="86"/>
      <c r="N508" s="86"/>
      <c r="O508" s="86"/>
      <c r="P508" s="86"/>
      <c r="Q508" s="86"/>
      <c r="R508" s="86"/>
      <c r="S508" s="86"/>
      <c r="T508" s="86"/>
      <c r="U508" s="86"/>
      <c r="V508" s="86"/>
      <c r="W508" s="86"/>
      <c r="X508" s="35"/>
      <c r="Y508" s="35"/>
      <c r="AC508" s="1976">
        <v>12</v>
      </c>
      <c r="AD508" s="1800"/>
      <c r="AE508" s="1800"/>
      <c r="AF508" s="1800"/>
      <c r="AG508" s="89" t="s">
        <v>275</v>
      </c>
      <c r="AH508" s="1721">
        <v>2020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1"/>
      <c r="C509" s="1812"/>
      <c r="D509" s="1812"/>
      <c r="E509" s="1812"/>
      <c r="F509" s="1812"/>
      <c r="G509" s="1812"/>
      <c r="H509" s="1813"/>
      <c r="I509" s="94" t="s">
        <v>737</v>
      </c>
      <c r="J509" s="94"/>
      <c r="K509" s="94"/>
      <c r="L509" s="94"/>
      <c r="M509" s="94"/>
      <c r="N509" s="94"/>
      <c r="O509" s="94"/>
      <c r="P509" s="94"/>
      <c r="Q509" s="94"/>
      <c r="R509" s="94"/>
      <c r="S509" s="94"/>
      <c r="T509" s="94"/>
      <c r="U509" s="94"/>
      <c r="V509" s="94"/>
      <c r="W509" s="94"/>
      <c r="X509" s="94"/>
      <c r="Y509" s="94"/>
      <c r="Z509" s="94"/>
      <c r="AA509" s="94"/>
      <c r="AB509" s="94"/>
      <c r="AC509" s="1976">
        <v>12</v>
      </c>
      <c r="AD509" s="1800"/>
      <c r="AE509" s="1800"/>
      <c r="AF509" s="1800"/>
      <c r="AG509" s="79" t="s">
        <v>275</v>
      </c>
      <c r="AH509" s="1721">
        <v>2021</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8" t="s">
        <v>738</v>
      </c>
      <c r="C510" s="1809"/>
      <c r="D510" s="1809"/>
      <c r="E510" s="1809"/>
      <c r="F510" s="1809"/>
      <c r="G510" s="1809"/>
      <c r="H510" s="1810"/>
      <c r="I510" s="86" t="s">
        <v>739</v>
      </c>
      <c r="J510" s="86"/>
      <c r="K510" s="86"/>
      <c r="L510" s="86"/>
      <c r="M510" s="86"/>
      <c r="N510" s="86"/>
      <c r="O510" s="86"/>
      <c r="P510" s="86"/>
      <c r="Q510" s="86"/>
      <c r="R510" s="86"/>
      <c r="S510" s="86"/>
      <c r="T510" s="86"/>
      <c r="U510" s="86"/>
      <c r="V510" s="86"/>
      <c r="W510" s="86"/>
      <c r="X510" s="35"/>
      <c r="Y510" s="35"/>
      <c r="AC510" s="1976" t="s">
        <v>135</v>
      </c>
      <c r="AD510" s="1800"/>
      <c r="AE510" s="1800"/>
      <c r="AF510" s="1800"/>
      <c r="AG510" s="89" t="s">
        <v>275</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1"/>
      <c r="C511" s="1812"/>
      <c r="D511" s="1812"/>
      <c r="E511" s="1812"/>
      <c r="F511" s="1812"/>
      <c r="G511" s="1812"/>
      <c r="H511" s="1813"/>
      <c r="I511" s="35" t="s">
        <v>740</v>
      </c>
      <c r="J511" s="35"/>
      <c r="K511" s="35"/>
      <c r="L511" s="35"/>
      <c r="M511" s="35"/>
      <c r="N511" s="35"/>
      <c r="O511" s="35"/>
      <c r="P511" s="35"/>
      <c r="Q511" s="35"/>
      <c r="R511" s="35"/>
      <c r="S511" s="35"/>
      <c r="T511" s="35"/>
      <c r="U511" s="35"/>
      <c r="V511" s="35"/>
      <c r="W511" s="35"/>
      <c r="X511" s="35"/>
      <c r="Y511" s="35"/>
      <c r="AC511" s="1976" t="s">
        <v>135</v>
      </c>
      <c r="AD511" s="1800"/>
      <c r="AE511" s="1800"/>
      <c r="AF511" s="1800"/>
      <c r="AG511" s="89" t="s">
        <v>275</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1"/>
      <c r="C512" s="1812"/>
      <c r="D512" s="1812"/>
      <c r="E512" s="1812"/>
      <c r="F512" s="1812"/>
      <c r="G512" s="1812"/>
      <c r="H512" s="1813"/>
      <c r="I512" s="35" t="s">
        <v>741</v>
      </c>
      <c r="J512" s="35"/>
      <c r="K512" s="35"/>
      <c r="L512" s="35"/>
      <c r="M512" s="35"/>
      <c r="N512" s="35"/>
      <c r="O512" s="35"/>
      <c r="P512" s="35"/>
      <c r="Q512" s="35"/>
      <c r="R512" s="35"/>
      <c r="S512" s="35"/>
      <c r="T512" s="35"/>
      <c r="U512" s="35"/>
      <c r="V512" s="35"/>
      <c r="W512" s="35"/>
      <c r="X512" s="35"/>
      <c r="Y512" s="35"/>
      <c r="AC512" s="1976">
        <v>12</v>
      </c>
      <c r="AD512" s="1800"/>
      <c r="AE512" s="1800"/>
      <c r="AF512" s="1800"/>
      <c r="AG512" s="89" t="s">
        <v>275</v>
      </c>
      <c r="AH512" s="1721">
        <v>2020</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1"/>
      <c r="C513" s="1812"/>
      <c r="D513" s="1812"/>
      <c r="E513" s="1812"/>
      <c r="F513" s="1812"/>
      <c r="G513" s="1812"/>
      <c r="H513" s="1813"/>
      <c r="I513" s="35" t="s">
        <v>742</v>
      </c>
      <c r="J513" s="35"/>
      <c r="K513" s="35"/>
      <c r="L513" s="35"/>
      <c r="M513" s="35"/>
      <c r="N513" s="35"/>
      <c r="O513" s="35"/>
      <c r="P513" s="35"/>
      <c r="Q513" s="35"/>
      <c r="R513" s="35"/>
      <c r="S513" s="35"/>
      <c r="T513" s="35"/>
      <c r="U513" s="35"/>
      <c r="V513" s="35"/>
      <c r="W513" s="35"/>
      <c r="X513" s="35"/>
      <c r="Y513" s="35"/>
      <c r="AC513" s="1976" t="s">
        <v>135</v>
      </c>
      <c r="AD513" s="1800"/>
      <c r="AE513" s="1800"/>
      <c r="AF513" s="1800"/>
      <c r="AG513" s="89" t="s">
        <v>275</v>
      </c>
      <c r="AH513" s="1721"/>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1"/>
      <c r="C514" s="1812"/>
      <c r="D514" s="1812"/>
      <c r="E514" s="1812"/>
      <c r="F514" s="1812"/>
      <c r="G514" s="1812"/>
      <c r="H514" s="1813"/>
      <c r="I514" s="326" t="s">
        <v>743</v>
      </c>
      <c r="J514" s="35"/>
      <c r="K514" s="35"/>
      <c r="L514" s="35"/>
      <c r="M514" s="35"/>
      <c r="N514" s="35"/>
      <c r="O514" s="35"/>
      <c r="P514" s="35"/>
      <c r="Q514" s="35"/>
      <c r="R514" s="35"/>
      <c r="S514" s="35"/>
      <c r="T514" s="35"/>
      <c r="U514" s="35"/>
      <c r="V514" s="35"/>
      <c r="W514" s="35"/>
      <c r="X514" s="35"/>
      <c r="Y514" s="35"/>
      <c r="AC514" s="1768">
        <v>7</v>
      </c>
      <c r="AD514" s="1769"/>
      <c r="AE514" s="1769"/>
      <c r="AF514" s="1769"/>
      <c r="AG514" s="1401" t="s">
        <v>275</v>
      </c>
      <c r="AH514" s="1721">
        <v>2021</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1"/>
      <c r="C515" s="1812"/>
      <c r="D515" s="1812"/>
      <c r="E515" s="1812"/>
      <c r="F515" s="1812"/>
      <c r="G515" s="1812"/>
      <c r="H515" s="1813"/>
      <c r="I515" s="646" t="s">
        <v>310</v>
      </c>
      <c r="J515" s="94"/>
      <c r="K515" s="94"/>
      <c r="L515" s="2115" t="s">
        <v>621</v>
      </c>
      <c r="M515" s="2116"/>
      <c r="N515" s="2116"/>
      <c r="O515" s="2116"/>
      <c r="P515" s="2116"/>
      <c r="Q515" s="2116"/>
      <c r="R515" s="2116"/>
      <c r="S515" s="2116"/>
      <c r="T515" s="2116"/>
      <c r="U515" s="2116"/>
      <c r="V515" s="2116"/>
      <c r="W515" s="2116"/>
      <c r="X515" s="2116"/>
      <c r="Y515" s="2116"/>
      <c r="Z515" s="2116"/>
      <c r="AA515" s="2116"/>
      <c r="AB515" s="2117"/>
      <c r="AC515" s="2100" t="s">
        <v>135</v>
      </c>
      <c r="AD515" s="1840"/>
      <c r="AE515" s="1840"/>
      <c r="AF515" s="1840"/>
      <c r="AG515" s="1397" t="s">
        <v>275</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1"/>
      <c r="C516" s="1812"/>
      <c r="D516" s="1812"/>
      <c r="E516" s="1812"/>
      <c r="F516" s="1812"/>
      <c r="G516" s="1812"/>
      <c r="H516" s="1813"/>
      <c r="I516" s="1105" t="s">
        <v>2275</v>
      </c>
      <c r="J516" s="35"/>
      <c r="K516" s="35"/>
      <c r="L516" s="35"/>
      <c r="M516" s="35"/>
      <c r="N516" s="35"/>
      <c r="O516" s="35"/>
      <c r="P516" s="35"/>
      <c r="Q516" s="35"/>
      <c r="R516" s="35"/>
      <c r="S516" s="35"/>
      <c r="T516" s="35"/>
      <c r="U516" s="35"/>
      <c r="V516" s="35"/>
      <c r="W516" s="35"/>
      <c r="X516" s="35"/>
      <c r="Y516" s="35"/>
      <c r="AC516" s="2101" t="s">
        <v>118</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1"/>
      <c r="C517" s="1812"/>
      <c r="D517" s="1812"/>
      <c r="E517" s="1812"/>
      <c r="F517" s="1812"/>
      <c r="G517" s="1812"/>
      <c r="H517" s="1813"/>
      <c r="I517" s="645" t="s">
        <v>2276</v>
      </c>
      <c r="J517" s="35"/>
      <c r="K517" s="35"/>
      <c r="L517" s="35"/>
      <c r="M517" s="35"/>
      <c r="N517" s="35"/>
      <c r="O517" s="35"/>
      <c r="P517" s="35"/>
      <c r="Q517" s="35"/>
      <c r="R517" s="35"/>
      <c r="S517" s="35"/>
      <c r="T517" s="35"/>
      <c r="U517" s="35"/>
      <c r="V517" s="35"/>
      <c r="W517" s="35"/>
      <c r="X517" s="35"/>
      <c r="Y517" s="35"/>
      <c r="AC517" s="1768">
        <v>5</v>
      </c>
      <c r="AD517" s="1769"/>
      <c r="AE517" s="1769"/>
      <c r="AF517" s="1770"/>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1"/>
      <c r="C518" s="1812"/>
      <c r="D518" s="1812"/>
      <c r="E518" s="1812"/>
      <c r="F518" s="1812"/>
      <c r="G518" s="1812"/>
      <c r="H518" s="1813"/>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1"/>
      <c r="C519" s="1812"/>
      <c r="D519" s="1812"/>
      <c r="E519" s="1812"/>
      <c r="F519" s="1812"/>
      <c r="G519" s="1812"/>
      <c r="H519" s="1813"/>
      <c r="I519" s="1441" t="s">
        <v>2278</v>
      </c>
      <c r="J519" s="94"/>
      <c r="K519" s="94"/>
      <c r="L519" s="94"/>
      <c r="M519" s="94"/>
      <c r="N519" s="94"/>
      <c r="O519" s="94"/>
      <c r="P519" s="94"/>
      <c r="Q519" s="94"/>
      <c r="R519" s="94"/>
      <c r="S519" s="94"/>
      <c r="T519" s="94"/>
      <c r="U519" s="94"/>
      <c r="V519" s="94"/>
      <c r="W519" s="94"/>
      <c r="X519" s="94"/>
      <c r="Y519" s="94"/>
      <c r="Z519" s="94"/>
      <c r="AA519" s="94"/>
      <c r="AB519" s="94"/>
      <c r="AC519" s="2110">
        <v>0.95</v>
      </c>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8" t="s">
        <v>744</v>
      </c>
      <c r="C520" s="1809"/>
      <c r="D520" s="1809"/>
      <c r="E520" s="1809"/>
      <c r="F520" s="1809"/>
      <c r="G520" s="1809"/>
      <c r="H520" s="1810"/>
      <c r="I520" s="86" t="s">
        <v>745</v>
      </c>
      <c r="J520" s="86"/>
      <c r="K520" s="86"/>
      <c r="L520" s="86"/>
      <c r="M520" s="86"/>
      <c r="N520" s="86"/>
      <c r="O520" s="86"/>
      <c r="P520" s="86"/>
      <c r="Q520" s="86"/>
      <c r="R520" s="86"/>
      <c r="S520" s="86"/>
      <c r="T520" s="86"/>
      <c r="U520" s="86"/>
      <c r="V520" s="86"/>
      <c r="W520" s="86"/>
      <c r="X520" s="35"/>
      <c r="Y520" s="35"/>
      <c r="AC520" s="1976">
        <v>5</v>
      </c>
      <c r="AD520" s="1800"/>
      <c r="AE520" s="1800"/>
      <c r="AF520" s="1800"/>
      <c r="AG520" s="89" t="s">
        <v>275</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1"/>
      <c r="C521" s="1812"/>
      <c r="D521" s="1812"/>
      <c r="E521" s="1812"/>
      <c r="F521" s="1812"/>
      <c r="G521" s="1812"/>
      <c r="H521" s="1813"/>
      <c r="I521" s="35" t="s">
        <v>746</v>
      </c>
      <c r="J521" s="35"/>
      <c r="K521" s="35"/>
      <c r="L521" s="35"/>
      <c r="M521" s="35"/>
      <c r="N521" s="35"/>
      <c r="O521" s="35"/>
      <c r="P521" s="35"/>
      <c r="Q521" s="35"/>
      <c r="R521" s="35"/>
      <c r="S521" s="35"/>
      <c r="T521" s="35"/>
      <c r="U521" s="35"/>
      <c r="V521" s="35"/>
      <c r="W521" s="35"/>
      <c r="X521" s="35"/>
      <c r="Y521" s="35"/>
      <c r="AC521" s="1976">
        <v>6</v>
      </c>
      <c r="AD521" s="1800"/>
      <c r="AE521" s="1800"/>
      <c r="AF521" s="1800"/>
      <c r="AG521" s="89" t="s">
        <v>275</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1"/>
      <c r="C522" s="1812"/>
      <c r="D522" s="1812"/>
      <c r="E522" s="1812"/>
      <c r="F522" s="1812"/>
      <c r="G522" s="1812"/>
      <c r="H522" s="1813"/>
      <c r="I522" s="94" t="s">
        <v>747</v>
      </c>
      <c r="J522" s="94"/>
      <c r="K522" s="94"/>
      <c r="L522" s="94"/>
      <c r="M522" s="94"/>
      <c r="N522" s="94"/>
      <c r="O522" s="94"/>
      <c r="P522" s="94"/>
      <c r="Q522" s="94"/>
      <c r="R522" s="94"/>
      <c r="S522" s="94"/>
      <c r="T522" s="94"/>
      <c r="U522" s="94"/>
      <c r="V522" s="94"/>
      <c r="W522" s="94"/>
      <c r="X522" s="94"/>
      <c r="Y522" s="94"/>
      <c r="Z522" s="94"/>
      <c r="AA522" s="94"/>
      <c r="AB522" s="94"/>
      <c r="AC522" s="1976">
        <v>12</v>
      </c>
      <c r="AD522" s="1800"/>
      <c r="AE522" s="1800"/>
      <c r="AF522" s="1800"/>
      <c r="AG522" s="79" t="s">
        <v>275</v>
      </c>
      <c r="AH522" s="1721">
        <v>2021</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8" t="s">
        <v>748</v>
      </c>
      <c r="C523" s="1809"/>
      <c r="D523" s="1809"/>
      <c r="E523" s="1809"/>
      <c r="F523" s="1809"/>
      <c r="G523" s="1809"/>
      <c r="H523" s="1810"/>
      <c r="I523" s="86" t="s">
        <v>745</v>
      </c>
      <c r="J523" s="86"/>
      <c r="K523" s="86"/>
      <c r="L523" s="86"/>
      <c r="M523" s="86"/>
      <c r="N523" s="86"/>
      <c r="O523" s="86"/>
      <c r="P523" s="86"/>
      <c r="Q523" s="86"/>
      <c r="R523" s="86"/>
      <c r="S523" s="86"/>
      <c r="T523" s="86"/>
      <c r="U523" s="86"/>
      <c r="V523" s="86"/>
      <c r="W523" s="86"/>
      <c r="X523" s="86"/>
      <c r="Y523" s="86"/>
      <c r="Z523" s="86"/>
      <c r="AA523" s="86"/>
      <c r="AB523" s="86"/>
      <c r="AC523" s="1834">
        <v>5</v>
      </c>
      <c r="AD523" s="1835"/>
      <c r="AE523" s="1835"/>
      <c r="AF523" s="1835"/>
      <c r="AG523" s="360" t="s">
        <v>275</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1"/>
      <c r="C524" s="1812"/>
      <c r="D524" s="1812"/>
      <c r="E524" s="1812"/>
      <c r="F524" s="1812"/>
      <c r="G524" s="1812"/>
      <c r="H524" s="1813"/>
      <c r="I524" s="35" t="s">
        <v>746</v>
      </c>
      <c r="J524" s="35"/>
      <c r="K524" s="35"/>
      <c r="L524" s="35"/>
      <c r="M524" s="35"/>
      <c r="N524" s="35"/>
      <c r="O524" s="35"/>
      <c r="P524" s="35"/>
      <c r="Q524" s="35"/>
      <c r="R524" s="35"/>
      <c r="S524" s="35"/>
      <c r="T524" s="35"/>
      <c r="U524" s="35"/>
      <c r="V524" s="35"/>
      <c r="W524" s="35"/>
      <c r="X524" s="35"/>
      <c r="Y524" s="35"/>
      <c r="Z524" s="35"/>
      <c r="AA524" s="35"/>
      <c r="AB524" s="35"/>
      <c r="AC524" s="1976">
        <v>6</v>
      </c>
      <c r="AD524" s="1800"/>
      <c r="AE524" s="1800"/>
      <c r="AF524" s="1800"/>
      <c r="AG524" s="89" t="s">
        <v>275</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4"/>
      <c r="C525" s="1815"/>
      <c r="D525" s="1815"/>
      <c r="E525" s="1815"/>
      <c r="F525" s="1815"/>
      <c r="G525" s="1815"/>
      <c r="H525" s="1816"/>
      <c r="I525" s="94" t="s">
        <v>747</v>
      </c>
      <c r="J525" s="94"/>
      <c r="K525" s="94"/>
      <c r="L525" s="94"/>
      <c r="M525" s="94"/>
      <c r="N525" s="94"/>
      <c r="O525" s="94"/>
      <c r="P525" s="94"/>
      <c r="Q525" s="94"/>
      <c r="R525" s="94"/>
      <c r="S525" s="94"/>
      <c r="T525" s="94"/>
      <c r="U525" s="94"/>
      <c r="V525" s="94"/>
      <c r="W525" s="94"/>
      <c r="X525" s="94"/>
      <c r="Y525" s="94"/>
      <c r="Z525" s="94"/>
      <c r="AA525" s="94"/>
      <c r="AB525" s="94"/>
      <c r="AC525" s="1976">
        <v>12</v>
      </c>
      <c r="AD525" s="1800"/>
      <c r="AE525" s="1800"/>
      <c r="AF525" s="1800"/>
      <c r="AG525" s="79" t="s">
        <v>275</v>
      </c>
      <c r="AH525" s="1721">
        <v>2021</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8" t="s">
        <v>749</v>
      </c>
      <c r="C526" s="1809"/>
      <c r="D526" s="1809"/>
      <c r="E526" s="1809"/>
      <c r="F526" s="1809"/>
      <c r="G526" s="1809"/>
      <c r="H526" s="1810"/>
      <c r="I526" s="85" t="s">
        <v>750</v>
      </c>
      <c r="J526" s="86"/>
      <c r="K526" s="86"/>
      <c r="L526" s="86"/>
      <c r="M526" s="86"/>
      <c r="N526" s="86"/>
      <c r="O526" s="1688" t="s">
        <v>2395</v>
      </c>
      <c r="P526" s="1688"/>
      <c r="Q526" s="1688"/>
      <c r="R526" s="1688"/>
      <c r="S526" s="1688"/>
      <c r="T526" s="1688"/>
      <c r="U526" s="1688"/>
      <c r="V526" s="1688"/>
      <c r="W526" s="1688"/>
      <c r="X526" s="1688"/>
      <c r="Y526" s="1688"/>
      <c r="Z526" s="1688"/>
      <c r="AA526" s="1688"/>
      <c r="AB526" s="108"/>
      <c r="AC526" s="1834" t="s">
        <v>135</v>
      </c>
      <c r="AD526" s="1835"/>
      <c r="AE526" s="1835"/>
      <c r="AF526" s="1835"/>
      <c r="AG526" s="360" t="s">
        <v>275</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1"/>
      <c r="C527" s="1812"/>
      <c r="D527" s="1812"/>
      <c r="E527" s="1812"/>
      <c r="F527" s="1812"/>
      <c r="G527" s="1812"/>
      <c r="H527" s="1813"/>
      <c r="I527" s="317" t="s">
        <v>751</v>
      </c>
      <c r="J527" s="35"/>
      <c r="K527" s="35"/>
      <c r="L527" s="35"/>
      <c r="M527" s="35"/>
      <c r="N527" s="35"/>
      <c r="O527" s="35"/>
      <c r="P527" s="35"/>
      <c r="Q527" s="35"/>
      <c r="R527" s="35"/>
      <c r="S527" s="35"/>
      <c r="T527" s="35"/>
      <c r="U527" s="35"/>
      <c r="V527" s="35"/>
      <c r="W527" s="35"/>
      <c r="X527" s="35"/>
      <c r="Y527" s="35"/>
      <c r="Z527" s="35"/>
      <c r="AA527" s="35"/>
      <c r="AB527" s="115"/>
      <c r="AC527" s="1976">
        <v>5</v>
      </c>
      <c r="AD527" s="1800"/>
      <c r="AE527" s="1800"/>
      <c r="AF527" s="1800"/>
      <c r="AG527" s="89" t="s">
        <v>275</v>
      </c>
      <c r="AH527" s="1721">
        <v>2020</v>
      </c>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1"/>
      <c r="C528" s="1812"/>
      <c r="D528" s="1812"/>
      <c r="E528" s="1812"/>
      <c r="F528" s="1812"/>
      <c r="G528" s="1812"/>
      <c r="H528" s="1813"/>
      <c r="I528" s="93" t="s">
        <v>752</v>
      </c>
      <c r="J528" s="94"/>
      <c r="K528" s="94"/>
      <c r="L528" s="94"/>
      <c r="M528" s="94"/>
      <c r="N528" s="94"/>
      <c r="O528" s="94"/>
      <c r="P528" s="94"/>
      <c r="Q528" s="94"/>
      <c r="R528" s="94"/>
      <c r="S528" s="94"/>
      <c r="T528" s="94"/>
      <c r="U528" s="94"/>
      <c r="V528" s="94"/>
      <c r="W528" s="94"/>
      <c r="X528" s="94"/>
      <c r="Y528" s="94"/>
      <c r="Z528" s="94"/>
      <c r="AA528" s="94"/>
      <c r="AB528" s="95"/>
      <c r="AC528" s="1976">
        <v>12</v>
      </c>
      <c r="AD528" s="1800"/>
      <c r="AE528" s="1800"/>
      <c r="AF528" s="1800"/>
      <c r="AG528" s="79" t="s">
        <v>275</v>
      </c>
      <c r="AH528" s="1721">
        <v>2021</v>
      </c>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1"/>
      <c r="C529" s="1812"/>
      <c r="D529" s="1812"/>
      <c r="E529" s="1812"/>
      <c r="F529" s="1812"/>
      <c r="G529" s="1812"/>
      <c r="H529" s="1813"/>
      <c r="I529" s="86" t="s">
        <v>753</v>
      </c>
      <c r="J529" s="86"/>
      <c r="K529" s="86"/>
      <c r="L529" s="86"/>
      <c r="M529" s="86"/>
      <c r="N529" s="86"/>
      <c r="O529" s="1689" t="s">
        <v>2396</v>
      </c>
      <c r="P529" s="1689"/>
      <c r="Q529" s="1689"/>
      <c r="R529" s="1689"/>
      <c r="S529" s="1689"/>
      <c r="T529" s="1689"/>
      <c r="U529" s="1689"/>
      <c r="V529" s="1689"/>
      <c r="W529" s="1689"/>
      <c r="X529" s="1689"/>
      <c r="Y529" s="1689"/>
      <c r="Z529" s="1689"/>
      <c r="AA529" s="1689"/>
      <c r="AC529" s="1976" t="s">
        <v>135</v>
      </c>
      <c r="AD529" s="1800"/>
      <c r="AE529" s="1800"/>
      <c r="AF529" s="1800"/>
      <c r="AG529" s="89" t="s">
        <v>275</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1"/>
      <c r="C530" s="1812"/>
      <c r="D530" s="1812"/>
      <c r="E530" s="1812"/>
      <c r="F530" s="1812"/>
      <c r="G530" s="1812"/>
      <c r="H530" s="1813"/>
      <c r="I530" s="35" t="s">
        <v>751</v>
      </c>
      <c r="J530" s="35"/>
      <c r="K530" s="35"/>
      <c r="L530" s="35"/>
      <c r="M530" s="35"/>
      <c r="N530" s="35"/>
      <c r="O530" s="35"/>
      <c r="P530" s="35"/>
      <c r="Q530" s="35"/>
      <c r="R530" s="35"/>
      <c r="S530" s="35"/>
      <c r="T530" s="35"/>
      <c r="U530" s="35"/>
      <c r="V530" s="35"/>
      <c r="W530" s="35"/>
      <c r="X530" s="35"/>
      <c r="Y530" s="35"/>
      <c r="AC530" s="1976">
        <v>5</v>
      </c>
      <c r="AD530" s="1800"/>
      <c r="AE530" s="1800"/>
      <c r="AF530" s="1800"/>
      <c r="AG530" s="89" t="s">
        <v>275</v>
      </c>
      <c r="AH530" s="1721">
        <v>2020</v>
      </c>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1"/>
      <c r="C531" s="1812"/>
      <c r="D531" s="1812"/>
      <c r="E531" s="1812"/>
      <c r="F531" s="1812"/>
      <c r="G531" s="1812"/>
      <c r="H531" s="1813"/>
      <c r="I531" s="94" t="s">
        <v>752</v>
      </c>
      <c r="J531" s="94"/>
      <c r="K531" s="94"/>
      <c r="L531" s="94"/>
      <c r="M531" s="94"/>
      <c r="N531" s="94"/>
      <c r="O531" s="94"/>
      <c r="P531" s="94"/>
      <c r="Q531" s="94"/>
      <c r="R531" s="94"/>
      <c r="S531" s="94"/>
      <c r="T531" s="94"/>
      <c r="U531" s="94"/>
      <c r="V531" s="94"/>
      <c r="W531" s="94"/>
      <c r="X531" s="94"/>
      <c r="Y531" s="94"/>
      <c r="Z531" s="94"/>
      <c r="AA531" s="94"/>
      <c r="AB531" s="94"/>
      <c r="AC531" s="1976">
        <v>12</v>
      </c>
      <c r="AD531" s="1800"/>
      <c r="AE531" s="1800"/>
      <c r="AF531" s="1800"/>
      <c r="AG531" s="79" t="s">
        <v>275</v>
      </c>
      <c r="AH531" s="1721">
        <v>2021</v>
      </c>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1"/>
      <c r="C532" s="1812"/>
      <c r="D532" s="1812"/>
      <c r="E532" s="1812"/>
      <c r="F532" s="1812"/>
      <c r="G532" s="1812"/>
      <c r="H532" s="1813"/>
      <c r="I532" s="86" t="s">
        <v>753</v>
      </c>
      <c r="J532" s="86"/>
      <c r="K532" s="86"/>
      <c r="L532" s="86"/>
      <c r="M532" s="86"/>
      <c r="N532" s="86"/>
      <c r="O532" s="1689" t="s">
        <v>621</v>
      </c>
      <c r="P532" s="1689"/>
      <c r="Q532" s="1689"/>
      <c r="R532" s="1689"/>
      <c r="S532" s="1689"/>
      <c r="T532" s="1689"/>
      <c r="U532" s="1689"/>
      <c r="V532" s="1689"/>
      <c r="W532" s="1689"/>
      <c r="X532" s="1689"/>
      <c r="Y532" s="1689"/>
      <c r="Z532" s="1689"/>
      <c r="AA532" s="1689"/>
      <c r="AC532" s="1976" t="s">
        <v>135</v>
      </c>
      <c r="AD532" s="1800"/>
      <c r="AE532" s="1800"/>
      <c r="AF532" s="1800"/>
      <c r="AG532" s="89" t="s">
        <v>275</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1"/>
      <c r="C533" s="1812"/>
      <c r="D533" s="1812"/>
      <c r="E533" s="1812"/>
      <c r="F533" s="1812"/>
      <c r="G533" s="1812"/>
      <c r="H533" s="1813"/>
      <c r="I533" s="35" t="s">
        <v>751</v>
      </c>
      <c r="J533" s="35"/>
      <c r="K533" s="35"/>
      <c r="L533" s="35"/>
      <c r="M533" s="35"/>
      <c r="N533" s="35"/>
      <c r="O533" s="35"/>
      <c r="P533" s="35"/>
      <c r="Q533" s="35"/>
      <c r="R533" s="35"/>
      <c r="S533" s="35"/>
      <c r="T533" s="35"/>
      <c r="U533" s="35"/>
      <c r="V533" s="35"/>
      <c r="W533" s="35"/>
      <c r="X533" s="35"/>
      <c r="Y533" s="35"/>
      <c r="AC533" s="1976" t="s">
        <v>135</v>
      </c>
      <c r="AD533" s="1800"/>
      <c r="AE533" s="1800"/>
      <c r="AF533" s="1800"/>
      <c r="AG533" s="89" t="s">
        <v>275</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1"/>
      <c r="C534" s="1812"/>
      <c r="D534" s="1812"/>
      <c r="E534" s="1812"/>
      <c r="F534" s="1812"/>
      <c r="G534" s="1812"/>
      <c r="H534" s="1813"/>
      <c r="I534" s="94" t="s">
        <v>752</v>
      </c>
      <c r="J534" s="94"/>
      <c r="K534" s="94"/>
      <c r="L534" s="94"/>
      <c r="M534" s="94"/>
      <c r="N534" s="94"/>
      <c r="O534" s="94"/>
      <c r="P534" s="94"/>
      <c r="Q534" s="94"/>
      <c r="R534" s="94"/>
      <c r="S534" s="94"/>
      <c r="T534" s="94"/>
      <c r="U534" s="94"/>
      <c r="V534" s="94"/>
      <c r="W534" s="94"/>
      <c r="X534" s="94"/>
      <c r="Y534" s="94"/>
      <c r="Z534" s="94"/>
      <c r="AA534" s="94"/>
      <c r="AB534" s="94"/>
      <c r="AC534" s="1976" t="s">
        <v>135</v>
      </c>
      <c r="AD534" s="1800"/>
      <c r="AE534" s="1800"/>
      <c r="AF534" s="1800"/>
      <c r="AG534" s="79" t="s">
        <v>275</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1"/>
      <c r="C535" s="1812"/>
      <c r="D535" s="1812"/>
      <c r="E535" s="1812"/>
      <c r="F535" s="1812"/>
      <c r="G535" s="1812"/>
      <c r="H535" s="1813"/>
      <c r="I535" s="86" t="s">
        <v>753</v>
      </c>
      <c r="J535" s="86"/>
      <c r="K535" s="86"/>
      <c r="L535" s="86"/>
      <c r="M535" s="86"/>
      <c r="N535" s="86"/>
      <c r="O535" s="1689" t="s">
        <v>621</v>
      </c>
      <c r="P535" s="1689"/>
      <c r="Q535" s="1689"/>
      <c r="R535" s="1689"/>
      <c r="S535" s="1689"/>
      <c r="T535" s="1689"/>
      <c r="U535" s="1689"/>
      <c r="V535" s="1689"/>
      <c r="W535" s="1689"/>
      <c r="X535" s="1689"/>
      <c r="Y535" s="1689"/>
      <c r="Z535" s="1689"/>
      <c r="AA535" s="1689"/>
      <c r="AC535" s="1976" t="s">
        <v>135</v>
      </c>
      <c r="AD535" s="1800"/>
      <c r="AE535" s="1800"/>
      <c r="AF535" s="1800"/>
      <c r="AG535" s="89" t="s">
        <v>275</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1"/>
      <c r="C536" s="1812"/>
      <c r="D536" s="1812"/>
      <c r="E536" s="1812"/>
      <c r="F536" s="1812"/>
      <c r="G536" s="1812"/>
      <c r="H536" s="1813"/>
      <c r="I536" s="35" t="s">
        <v>751</v>
      </c>
      <c r="J536" s="35"/>
      <c r="K536" s="35"/>
      <c r="L536" s="35"/>
      <c r="M536" s="35"/>
      <c r="N536" s="35"/>
      <c r="O536" s="35"/>
      <c r="P536" s="35"/>
      <c r="Q536" s="35"/>
      <c r="R536" s="35"/>
      <c r="S536" s="35"/>
      <c r="T536" s="35"/>
      <c r="U536" s="35"/>
      <c r="V536" s="35"/>
      <c r="W536" s="35"/>
      <c r="X536" s="35"/>
      <c r="Y536" s="35"/>
      <c r="AC536" s="1976" t="s">
        <v>135</v>
      </c>
      <c r="AD536" s="1800"/>
      <c r="AE536" s="1800"/>
      <c r="AF536" s="1800"/>
      <c r="AG536" s="89" t="s">
        <v>275</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1"/>
      <c r="C537" s="1812"/>
      <c r="D537" s="1812"/>
      <c r="E537" s="1812"/>
      <c r="F537" s="1812"/>
      <c r="G537" s="1812"/>
      <c r="H537" s="1813"/>
      <c r="I537" s="94" t="s">
        <v>752</v>
      </c>
      <c r="J537" s="94"/>
      <c r="K537" s="94"/>
      <c r="L537" s="94"/>
      <c r="M537" s="94"/>
      <c r="N537" s="94"/>
      <c r="O537" s="94"/>
      <c r="P537" s="94"/>
      <c r="Q537" s="94"/>
      <c r="R537" s="94"/>
      <c r="S537" s="94"/>
      <c r="T537" s="94"/>
      <c r="U537" s="94"/>
      <c r="V537" s="94"/>
      <c r="W537" s="94"/>
      <c r="X537" s="94"/>
      <c r="Y537" s="94"/>
      <c r="Z537" s="94"/>
      <c r="AA537" s="94"/>
      <c r="AB537" s="94"/>
      <c r="AC537" s="1976" t="s">
        <v>135</v>
      </c>
      <c r="AD537" s="1800"/>
      <c r="AE537" s="1800"/>
      <c r="AF537" s="1800"/>
      <c r="AG537" s="79" t="s">
        <v>275</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1"/>
      <c r="C538" s="1812"/>
      <c r="D538" s="1812"/>
      <c r="E538" s="1812"/>
      <c r="F538" s="1812"/>
      <c r="G538" s="1812"/>
      <c r="H538" s="1813"/>
      <c r="I538" s="86" t="s">
        <v>753</v>
      </c>
      <c r="J538" s="86"/>
      <c r="K538" s="86"/>
      <c r="L538" s="86"/>
      <c r="M538" s="86"/>
      <c r="N538" s="86"/>
      <c r="O538" s="1689" t="s">
        <v>621</v>
      </c>
      <c r="P538" s="1689"/>
      <c r="Q538" s="1689"/>
      <c r="R538" s="1689"/>
      <c r="S538" s="1689"/>
      <c r="T538" s="1689"/>
      <c r="U538" s="1689"/>
      <c r="V538" s="1689"/>
      <c r="W538" s="1689"/>
      <c r="X538" s="1689"/>
      <c r="Y538" s="1689"/>
      <c r="Z538" s="1689"/>
      <c r="AA538" s="1689"/>
      <c r="AC538" s="1976" t="s">
        <v>135</v>
      </c>
      <c r="AD538" s="1800"/>
      <c r="AE538" s="1800"/>
      <c r="AF538" s="1800"/>
      <c r="AG538" s="89" t="s">
        <v>275</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1"/>
      <c r="C539" s="1812"/>
      <c r="D539" s="1812"/>
      <c r="E539" s="1812"/>
      <c r="F539" s="1812"/>
      <c r="G539" s="1812"/>
      <c r="H539" s="1813"/>
      <c r="I539" s="35" t="s">
        <v>751</v>
      </c>
      <c r="J539" s="35"/>
      <c r="K539" s="35"/>
      <c r="L539" s="35"/>
      <c r="M539" s="35"/>
      <c r="N539" s="35"/>
      <c r="O539" s="35"/>
      <c r="P539" s="35"/>
      <c r="Q539" s="35"/>
      <c r="R539" s="35"/>
      <c r="S539" s="35"/>
      <c r="T539" s="35"/>
      <c r="U539" s="35"/>
      <c r="V539" s="35"/>
      <c r="W539" s="35"/>
      <c r="X539" s="35"/>
      <c r="Y539" s="35"/>
      <c r="AC539" s="1976" t="s">
        <v>135</v>
      </c>
      <c r="AD539" s="1800"/>
      <c r="AE539" s="1800"/>
      <c r="AF539" s="1800"/>
      <c r="AG539" s="79" t="s">
        <v>275</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1"/>
      <c r="C540" s="1812"/>
      <c r="D540" s="1812"/>
      <c r="E540" s="1812"/>
      <c r="F540" s="1812"/>
      <c r="G540" s="1812"/>
      <c r="H540" s="1813"/>
      <c r="I540" s="94" t="s">
        <v>752</v>
      </c>
      <c r="J540" s="94"/>
      <c r="K540" s="94"/>
      <c r="L540" s="94"/>
      <c r="M540" s="94"/>
      <c r="N540" s="94"/>
      <c r="O540" s="94"/>
      <c r="P540" s="94"/>
      <c r="Q540" s="94"/>
      <c r="R540" s="94"/>
      <c r="S540" s="94"/>
      <c r="T540" s="94"/>
      <c r="U540" s="94"/>
      <c r="V540" s="94"/>
      <c r="W540" s="94"/>
      <c r="X540" s="94"/>
      <c r="Y540" s="94"/>
      <c r="Z540" s="94"/>
      <c r="AA540" s="94"/>
      <c r="AB540" s="94"/>
      <c r="AC540" s="1976" t="s">
        <v>135</v>
      </c>
      <c r="AD540" s="1800"/>
      <c r="AE540" s="1800"/>
      <c r="AF540" s="1800"/>
      <c r="AG540" s="89" t="s">
        <v>275</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1"/>
      <c r="C541" s="1812"/>
      <c r="D541" s="1812"/>
      <c r="E541" s="1812"/>
      <c r="F541" s="1812"/>
      <c r="G541" s="1812"/>
      <c r="H541" s="1813"/>
      <c r="I541" s="86" t="s">
        <v>753</v>
      </c>
      <c r="J541" s="86"/>
      <c r="K541" s="86"/>
      <c r="L541" s="86"/>
      <c r="M541" s="86"/>
      <c r="N541" s="86"/>
      <c r="O541" s="1689" t="s">
        <v>621</v>
      </c>
      <c r="P541" s="1689"/>
      <c r="Q541" s="1689"/>
      <c r="R541" s="1689"/>
      <c r="S541" s="1689"/>
      <c r="T541" s="1689"/>
      <c r="U541" s="1689"/>
      <c r="V541" s="1689"/>
      <c r="W541" s="1689"/>
      <c r="X541" s="1689"/>
      <c r="Y541" s="1689"/>
      <c r="Z541" s="1689"/>
      <c r="AA541" s="1689"/>
      <c r="AC541" s="1976" t="s">
        <v>135</v>
      </c>
      <c r="AD541" s="1800"/>
      <c r="AE541" s="1800"/>
      <c r="AF541" s="1800"/>
      <c r="AG541" s="79" t="s">
        <v>275</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1"/>
      <c r="C542" s="1812"/>
      <c r="D542" s="1812"/>
      <c r="E542" s="1812"/>
      <c r="F542" s="1812"/>
      <c r="G542" s="1812"/>
      <c r="H542" s="1813"/>
      <c r="I542" s="35" t="s">
        <v>751</v>
      </c>
      <c r="J542" s="35"/>
      <c r="K542" s="35"/>
      <c r="L542" s="35"/>
      <c r="M542" s="35"/>
      <c r="N542" s="35"/>
      <c r="O542" s="35"/>
      <c r="P542" s="35"/>
      <c r="Q542" s="35"/>
      <c r="R542" s="35"/>
      <c r="S542" s="35"/>
      <c r="T542" s="35"/>
      <c r="U542" s="35"/>
      <c r="V542" s="35"/>
      <c r="W542" s="35"/>
      <c r="X542" s="35"/>
      <c r="Y542" s="35"/>
      <c r="AC542" s="1976" t="s">
        <v>135</v>
      </c>
      <c r="AD542" s="1800"/>
      <c r="AE542" s="1800"/>
      <c r="AF542" s="1800"/>
      <c r="AG542" s="89" t="s">
        <v>275</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1"/>
      <c r="C543" s="1812"/>
      <c r="D543" s="1812"/>
      <c r="E543" s="1812"/>
      <c r="F543" s="1812"/>
      <c r="G543" s="1812"/>
      <c r="H543" s="1813"/>
      <c r="I543" s="94" t="s">
        <v>752</v>
      </c>
      <c r="J543" s="94"/>
      <c r="K543" s="94"/>
      <c r="L543" s="94"/>
      <c r="M543" s="94"/>
      <c r="N543" s="94"/>
      <c r="O543" s="94"/>
      <c r="P543" s="94"/>
      <c r="Q543" s="94"/>
      <c r="R543" s="94"/>
      <c r="S543" s="94"/>
      <c r="T543" s="94"/>
      <c r="U543" s="94"/>
      <c r="V543" s="94"/>
      <c r="W543" s="94"/>
      <c r="X543" s="94"/>
      <c r="Y543" s="94"/>
      <c r="Z543" s="94"/>
      <c r="AA543" s="94"/>
      <c r="AB543" s="94"/>
      <c r="AC543" s="1976" t="s">
        <v>135</v>
      </c>
      <c r="AD543" s="1800"/>
      <c r="AE543" s="1800"/>
      <c r="AF543" s="1800"/>
      <c r="AG543" s="79" t="s">
        <v>275</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1"/>
      <c r="C544" s="1812"/>
      <c r="D544" s="1812"/>
      <c r="E544" s="1812"/>
      <c r="F544" s="1812"/>
      <c r="G544" s="1812"/>
      <c r="H544" s="1813"/>
      <c r="I544" s="86" t="s">
        <v>801</v>
      </c>
      <c r="J544" s="86"/>
      <c r="K544" s="86"/>
      <c r="L544" s="86"/>
      <c r="M544" s="86"/>
      <c r="N544" s="86"/>
      <c r="O544" s="86"/>
      <c r="P544" s="86"/>
      <c r="Q544" s="86"/>
      <c r="R544" s="86"/>
      <c r="S544" s="86"/>
      <c r="T544" s="86"/>
      <c r="U544" s="86"/>
      <c r="V544" s="86"/>
      <c r="W544" s="86"/>
      <c r="X544" s="35"/>
      <c r="Y544" s="35"/>
      <c r="AC544" s="1976">
        <v>3</v>
      </c>
      <c r="AD544" s="1800"/>
      <c r="AE544" s="1800"/>
      <c r="AF544" s="1800"/>
      <c r="AG544" s="79" t="s">
        <v>275</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1"/>
      <c r="C545" s="1812"/>
      <c r="D545" s="1812"/>
      <c r="E545" s="1812"/>
      <c r="F545" s="1812"/>
      <c r="G545" s="1812"/>
      <c r="H545" s="1813"/>
      <c r="I545" s="35" t="s">
        <v>802</v>
      </c>
      <c r="J545" s="35"/>
      <c r="K545" s="35"/>
      <c r="L545" s="35"/>
      <c r="M545" s="35"/>
      <c r="N545" s="35"/>
      <c r="O545" s="35"/>
      <c r="P545" s="35"/>
      <c r="Q545" s="35"/>
      <c r="R545" s="35"/>
      <c r="S545" s="35"/>
      <c r="T545" s="35"/>
      <c r="U545" s="35"/>
      <c r="V545" s="35"/>
      <c r="W545" s="35"/>
      <c r="X545" s="35"/>
      <c r="Y545" s="35"/>
      <c r="AC545" s="1976">
        <v>12</v>
      </c>
      <c r="AD545" s="1800"/>
      <c r="AE545" s="1800"/>
      <c r="AF545" s="1800"/>
      <c r="AG545" s="89" t="s">
        <v>275</v>
      </c>
      <c r="AH545" s="1721">
        <v>2021</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1"/>
      <c r="C546" s="1812"/>
      <c r="D546" s="1812"/>
      <c r="E546" s="1812"/>
      <c r="F546" s="1812"/>
      <c r="G546" s="1812"/>
      <c r="H546" s="1813"/>
      <c r="I546" s="35" t="s">
        <v>803</v>
      </c>
      <c r="J546" s="35"/>
      <c r="K546" s="35"/>
      <c r="L546" s="35"/>
      <c r="M546" s="35"/>
      <c r="N546" s="35"/>
      <c r="O546" s="35"/>
      <c r="P546" s="35"/>
      <c r="Q546" s="35"/>
      <c r="R546" s="35"/>
      <c r="S546" s="35"/>
      <c r="T546" s="35"/>
      <c r="U546" s="35"/>
      <c r="V546" s="35"/>
      <c r="W546" s="35"/>
      <c r="X546" s="35"/>
      <c r="Y546" s="35"/>
      <c r="AC546" s="1976">
        <v>5</v>
      </c>
      <c r="AD546" s="1800"/>
      <c r="AE546" s="1800"/>
      <c r="AF546" s="1800"/>
      <c r="AG546" s="79" t="s">
        <v>275</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1"/>
      <c r="C547" s="1812"/>
      <c r="D547" s="1812"/>
      <c r="E547" s="1812"/>
      <c r="F547" s="1812"/>
      <c r="G547" s="1812"/>
      <c r="H547" s="1813"/>
      <c r="I547" s="35" t="s">
        <v>804</v>
      </c>
      <c r="J547" s="35"/>
      <c r="K547" s="35"/>
      <c r="L547" s="35"/>
      <c r="M547" s="35"/>
      <c r="N547" s="35"/>
      <c r="O547" s="35"/>
      <c r="P547" s="35"/>
      <c r="Q547" s="35"/>
      <c r="R547" s="35"/>
      <c r="S547" s="35"/>
      <c r="T547" s="35"/>
      <c r="U547" s="35"/>
      <c r="V547" s="35"/>
      <c r="W547" s="35"/>
      <c r="X547" s="35"/>
      <c r="Y547" s="35"/>
      <c r="AC547" s="1976">
        <v>5</v>
      </c>
      <c r="AD547" s="1800"/>
      <c r="AE547" s="1800"/>
      <c r="AF547" s="1800"/>
      <c r="AG547" s="79" t="s">
        <v>275</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4"/>
      <c r="C548" s="1815"/>
      <c r="D548" s="1815"/>
      <c r="E548" s="1815"/>
      <c r="F548" s="1815"/>
      <c r="G548" s="1815"/>
      <c r="H548" s="1816"/>
      <c r="I548" s="94" t="s">
        <v>1517</v>
      </c>
      <c r="J548" s="94"/>
      <c r="K548" s="94"/>
      <c r="L548" s="94"/>
      <c r="M548" s="94"/>
      <c r="N548" s="94"/>
      <c r="O548" s="94"/>
      <c r="P548" s="94"/>
      <c r="Q548" s="94"/>
      <c r="R548" s="94"/>
      <c r="S548" s="94"/>
      <c r="T548" s="94"/>
      <c r="U548" s="94"/>
      <c r="V548" s="94"/>
      <c r="W548" s="94"/>
      <c r="X548" s="94"/>
      <c r="Y548" s="94"/>
      <c r="Z548" s="94"/>
      <c r="AA548" s="94"/>
      <c r="AB548" s="94"/>
      <c r="AC548" s="1976">
        <v>9</v>
      </c>
      <c r="AD548" s="1800"/>
      <c r="AE548" s="1800"/>
      <c r="AF548" s="1800"/>
      <c r="AG548" s="79" t="s">
        <v>275</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546</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8" t="s">
        <v>806</v>
      </c>
      <c r="C557" s="1809"/>
      <c r="D557" s="1809"/>
      <c r="E557" s="1809"/>
      <c r="F557" s="1809"/>
      <c r="G557" s="1809"/>
      <c r="H557" s="1809"/>
      <c r="I557" s="1809"/>
      <c r="J557" s="1809"/>
      <c r="K557" s="1809"/>
      <c r="L557" s="1809"/>
      <c r="M557" s="1809"/>
      <c r="N557" s="1809"/>
      <c r="O557" s="1809"/>
      <c r="P557" s="1810"/>
      <c r="Q557" s="1808" t="s">
        <v>488</v>
      </c>
      <c r="R557" s="1809"/>
      <c r="S557" s="1810"/>
      <c r="T557" s="1808" t="s">
        <v>2280</v>
      </c>
      <c r="U557" s="1809"/>
      <c r="V557" s="1810"/>
      <c r="W557" s="1808" t="s">
        <v>807</v>
      </c>
      <c r="X557" s="1809"/>
      <c r="Y557" s="1810"/>
      <c r="Z557" s="1808" t="s">
        <v>2285</v>
      </c>
      <c r="AA557" s="1809"/>
      <c r="AB557" s="1809"/>
      <c r="AC557" s="1809"/>
      <c r="AD557" s="1810"/>
      <c r="AE557" s="1808" t="s">
        <v>2282</v>
      </c>
      <c r="AF557" s="1809"/>
      <c r="AG557" s="1809"/>
      <c r="AH557" s="1810"/>
      <c r="AI557" s="1808" t="s">
        <v>2286</v>
      </c>
      <c r="AJ557" s="1809"/>
      <c r="AK557" s="1809"/>
      <c r="AL557" s="1810"/>
      <c r="AM557" s="1808" t="s">
        <v>808</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3" t="s">
        <v>2394</v>
      </c>
      <c r="D560" s="1693"/>
      <c r="E560" s="1693"/>
      <c r="F560" s="1693"/>
      <c r="G560" s="1693"/>
      <c r="H560" s="1693"/>
      <c r="I560" s="1693"/>
      <c r="J560" s="1693"/>
      <c r="K560" s="1693"/>
      <c r="L560" s="1693"/>
      <c r="M560" s="1693"/>
      <c r="N560" s="1693"/>
      <c r="O560" s="1693"/>
      <c r="P560" s="2032"/>
      <c r="Q560" s="1847">
        <v>24</v>
      </c>
      <c r="R560" s="1847"/>
      <c r="S560" s="1970"/>
      <c r="T560" s="1969"/>
      <c r="U560" s="1847"/>
      <c r="V560" s="1970"/>
      <c r="W560" s="2034">
        <v>4.1000000000000002E-2</v>
      </c>
      <c r="X560" s="2035"/>
      <c r="Y560" s="2036"/>
      <c r="Z560" s="2037" t="s">
        <v>2467</v>
      </c>
      <c r="AA560" s="2037"/>
      <c r="AB560" s="2037"/>
      <c r="AC560" s="2037"/>
      <c r="AD560" s="2037"/>
      <c r="AE560" s="2038">
        <v>1</v>
      </c>
      <c r="AF560" s="2039"/>
      <c r="AG560" s="2039"/>
      <c r="AH560" s="2040"/>
      <c r="AI560" s="2041" t="s">
        <v>2469</v>
      </c>
      <c r="AJ560" s="2042"/>
      <c r="AK560" s="2042"/>
      <c r="AL560" s="2043"/>
      <c r="AM560" s="1701">
        <v>22130510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3" t="s">
        <v>2395</v>
      </c>
      <c r="D561" s="1693"/>
      <c r="E561" s="1693"/>
      <c r="F561" s="1693"/>
      <c r="G561" s="1693"/>
      <c r="H561" s="1693"/>
      <c r="I561" s="1693"/>
      <c r="J561" s="1693"/>
      <c r="K561" s="1693"/>
      <c r="L561" s="1693"/>
      <c r="M561" s="1693"/>
      <c r="N561" s="1693"/>
      <c r="O561" s="1693"/>
      <c r="P561" s="2032"/>
      <c r="Q561" s="1969">
        <v>24</v>
      </c>
      <c r="R561" s="1847"/>
      <c r="S561" s="1970"/>
      <c r="T561" s="1969"/>
      <c r="U561" s="1847"/>
      <c r="V561" s="1970"/>
      <c r="W561" s="2034">
        <v>0.03</v>
      </c>
      <c r="X561" s="2035"/>
      <c r="Y561" s="2036"/>
      <c r="Z561" s="2037" t="s">
        <v>2468</v>
      </c>
      <c r="AA561" s="2037"/>
      <c r="AB561" s="2037"/>
      <c r="AC561" s="2037"/>
      <c r="AD561" s="2037"/>
      <c r="AE561" s="2038">
        <v>2</v>
      </c>
      <c r="AF561" s="2039"/>
      <c r="AG561" s="2039"/>
      <c r="AH561" s="2040"/>
      <c r="AI561" s="2041" t="s">
        <v>2470</v>
      </c>
      <c r="AJ561" s="2042"/>
      <c r="AK561" s="2042"/>
      <c r="AL561" s="2043"/>
      <c r="AM561" s="1701">
        <v>12825000</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3" t="s">
        <v>2396</v>
      </c>
      <c r="D562" s="1693"/>
      <c r="E562" s="1693"/>
      <c r="F562" s="1693"/>
      <c r="G562" s="1693"/>
      <c r="H562" s="1693"/>
      <c r="I562" s="1693"/>
      <c r="J562" s="1693"/>
      <c r="K562" s="1693"/>
      <c r="L562" s="1693"/>
      <c r="M562" s="1693"/>
      <c r="N562" s="1693"/>
      <c r="O562" s="1693"/>
      <c r="P562" s="2032"/>
      <c r="Q562" s="1969"/>
      <c r="R562" s="1847"/>
      <c r="S562" s="1970"/>
      <c r="T562" s="1969"/>
      <c r="U562" s="1847"/>
      <c r="V562" s="1970"/>
      <c r="W562" s="2034">
        <v>0</v>
      </c>
      <c r="X562" s="2035"/>
      <c r="Y562" s="2036"/>
      <c r="Z562" s="2037" t="s">
        <v>135</v>
      </c>
      <c r="AA562" s="2037"/>
      <c r="AB562" s="2037"/>
      <c r="AC562" s="2037"/>
      <c r="AD562" s="2037"/>
      <c r="AE562" s="2038"/>
      <c r="AF562" s="2039"/>
      <c r="AG562" s="2039"/>
      <c r="AH562" s="2040"/>
      <c r="AI562" s="2041" t="s">
        <v>2470</v>
      </c>
      <c r="AJ562" s="2042"/>
      <c r="AK562" s="2042"/>
      <c r="AL562" s="2043"/>
      <c r="AM562" s="1701">
        <v>3750000</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3" t="s">
        <v>2465</v>
      </c>
      <c r="D563" s="1693"/>
      <c r="E563" s="1693"/>
      <c r="F563" s="1693"/>
      <c r="G563" s="1693"/>
      <c r="H563" s="1693"/>
      <c r="I563" s="1693"/>
      <c r="J563" s="1693"/>
      <c r="K563" s="1693"/>
      <c r="L563" s="1693"/>
      <c r="M563" s="1693"/>
      <c r="N563" s="1693"/>
      <c r="O563" s="1693"/>
      <c r="P563" s="2032"/>
      <c r="Q563" s="1969"/>
      <c r="R563" s="1847"/>
      <c r="S563" s="1970"/>
      <c r="T563" s="1969"/>
      <c r="U563" s="1847"/>
      <c r="V563" s="1970"/>
      <c r="W563" s="2034"/>
      <c r="X563" s="2035"/>
      <c r="Y563" s="2036"/>
      <c r="Z563" s="2037" t="s">
        <v>135</v>
      </c>
      <c r="AA563" s="2037"/>
      <c r="AB563" s="2037"/>
      <c r="AC563" s="2037"/>
      <c r="AD563" s="2037"/>
      <c r="AE563" s="2038"/>
      <c r="AF563" s="2039"/>
      <c r="AG563" s="2039"/>
      <c r="AH563" s="2040"/>
      <c r="AI563" s="2041" t="s">
        <v>2470</v>
      </c>
      <c r="AJ563" s="2042"/>
      <c r="AK563" s="2042"/>
      <c r="AL563" s="2043"/>
      <c r="AM563" s="1701">
        <v>178192</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3" t="s">
        <v>2466</v>
      </c>
      <c r="D564" s="1693"/>
      <c r="E564" s="1693"/>
      <c r="F564" s="1693"/>
      <c r="G564" s="1693"/>
      <c r="H564" s="1693"/>
      <c r="I564" s="1693"/>
      <c r="J564" s="1693"/>
      <c r="K564" s="1693"/>
      <c r="L564" s="1693"/>
      <c r="M564" s="1693"/>
      <c r="N564" s="1693"/>
      <c r="O564" s="1693"/>
      <c r="P564" s="2032"/>
      <c r="Q564" s="1969"/>
      <c r="R564" s="1847"/>
      <c r="S564" s="1970"/>
      <c r="T564" s="1969"/>
      <c r="U564" s="1847"/>
      <c r="V564" s="1970"/>
      <c r="W564" s="2034"/>
      <c r="X564" s="2035"/>
      <c r="Y564" s="2036"/>
      <c r="Z564" s="2037" t="s">
        <v>135</v>
      </c>
      <c r="AA564" s="2037"/>
      <c r="AB564" s="2037"/>
      <c r="AC564" s="2037"/>
      <c r="AD564" s="2037"/>
      <c r="AE564" s="2038"/>
      <c r="AF564" s="2039"/>
      <c r="AG564" s="2039"/>
      <c r="AH564" s="2040"/>
      <c r="AI564" s="2041" t="s">
        <v>2470</v>
      </c>
      <c r="AJ564" s="2042"/>
      <c r="AK564" s="2042"/>
      <c r="AL564" s="2043"/>
      <c r="AM564" s="1701">
        <v>742890</v>
      </c>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3" t="s">
        <v>2550</v>
      </c>
      <c r="D565" s="1693"/>
      <c r="E565" s="1693"/>
      <c r="F565" s="1693"/>
      <c r="G565" s="1693"/>
      <c r="H565" s="1693"/>
      <c r="I565" s="1693"/>
      <c r="J565" s="1693"/>
      <c r="K565" s="1693"/>
      <c r="L565" s="1693"/>
      <c r="M565" s="1693"/>
      <c r="N565" s="1693"/>
      <c r="O565" s="1693"/>
      <c r="P565" s="2032"/>
      <c r="Q565" s="1969"/>
      <c r="R565" s="1847"/>
      <c r="S565" s="1970"/>
      <c r="T565" s="1969"/>
      <c r="U565" s="1847"/>
      <c r="V565" s="1970"/>
      <c r="W565" s="2034"/>
      <c r="X565" s="2035"/>
      <c r="Y565" s="2036"/>
      <c r="Z565" s="2037" t="s">
        <v>135</v>
      </c>
      <c r="AA565" s="2037"/>
      <c r="AB565" s="2037"/>
      <c r="AC565" s="2037"/>
      <c r="AD565" s="2037"/>
      <c r="AE565" s="2038"/>
      <c r="AF565" s="2039"/>
      <c r="AG565" s="2039"/>
      <c r="AH565" s="2040"/>
      <c r="AI565" s="2041" t="s">
        <v>2470</v>
      </c>
      <c r="AJ565" s="2042"/>
      <c r="AK565" s="2042"/>
      <c r="AL565" s="2043"/>
      <c r="AM565" s="1701">
        <v>1128044</v>
      </c>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3"/>
      <c r="D566" s="1693"/>
      <c r="E566" s="1693"/>
      <c r="F566" s="1693"/>
      <c r="G566" s="1693"/>
      <c r="H566" s="1693"/>
      <c r="I566" s="1693"/>
      <c r="J566" s="1693"/>
      <c r="K566" s="1693"/>
      <c r="L566" s="1693"/>
      <c r="M566" s="1693"/>
      <c r="N566" s="1693"/>
      <c r="O566" s="1693"/>
      <c r="P566" s="2032"/>
      <c r="Q566" s="1969"/>
      <c r="R566" s="1847"/>
      <c r="S566" s="1970"/>
      <c r="T566" s="1969"/>
      <c r="U566" s="1847"/>
      <c r="V566" s="1970"/>
      <c r="W566" s="2034"/>
      <c r="X566" s="2035"/>
      <c r="Y566" s="2036"/>
      <c r="Z566" s="2037"/>
      <c r="AA566" s="2037"/>
      <c r="AB566" s="2037"/>
      <c r="AC566" s="2037"/>
      <c r="AD566" s="2037"/>
      <c r="AE566" s="2038"/>
      <c r="AF566" s="2039"/>
      <c r="AG566" s="2039"/>
      <c r="AH566" s="2040"/>
      <c r="AI566" s="2041"/>
      <c r="AJ566" s="2042"/>
      <c r="AK566" s="2042"/>
      <c r="AL566" s="2043"/>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3"/>
      <c r="D567" s="1693"/>
      <c r="E567" s="1693"/>
      <c r="F567" s="1693"/>
      <c r="G567" s="1693"/>
      <c r="H567" s="1693"/>
      <c r="I567" s="1693"/>
      <c r="J567" s="1693"/>
      <c r="K567" s="1693"/>
      <c r="L567" s="1693"/>
      <c r="M567" s="1693"/>
      <c r="N567" s="1693"/>
      <c r="O567" s="1693"/>
      <c r="P567" s="2032"/>
      <c r="Q567" s="1969"/>
      <c r="R567" s="1847"/>
      <c r="S567" s="1970"/>
      <c r="T567" s="1969"/>
      <c r="U567" s="1847"/>
      <c r="V567" s="1970"/>
      <c r="W567" s="2034"/>
      <c r="X567" s="2035"/>
      <c r="Y567" s="2036"/>
      <c r="Z567" s="2037"/>
      <c r="AA567" s="2037"/>
      <c r="AB567" s="2037"/>
      <c r="AC567" s="2037"/>
      <c r="AD567" s="2037"/>
      <c r="AE567" s="2038"/>
      <c r="AF567" s="2039"/>
      <c r="AG567" s="2039"/>
      <c r="AH567" s="2040"/>
      <c r="AI567" s="2041"/>
      <c r="AJ567" s="2042"/>
      <c r="AK567" s="2042"/>
      <c r="AL567" s="2043"/>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3"/>
      <c r="D568" s="1693"/>
      <c r="E568" s="1693"/>
      <c r="F568" s="1693"/>
      <c r="G568" s="1693"/>
      <c r="H568" s="1693"/>
      <c r="I568" s="1693"/>
      <c r="J568" s="1693"/>
      <c r="K568" s="1693"/>
      <c r="L568" s="1693"/>
      <c r="M568" s="1693"/>
      <c r="N568" s="1693"/>
      <c r="O568" s="1693"/>
      <c r="P568" s="2032"/>
      <c r="Q568" s="1969"/>
      <c r="R568" s="1847"/>
      <c r="S568" s="1970"/>
      <c r="T568" s="1969"/>
      <c r="U568" s="1847"/>
      <c r="V568" s="1970"/>
      <c r="W568" s="2034"/>
      <c r="X568" s="2035"/>
      <c r="Y568" s="2036"/>
      <c r="Z568" s="2037"/>
      <c r="AA568" s="2037"/>
      <c r="AB568" s="2037"/>
      <c r="AC568" s="2037"/>
      <c r="AD568" s="2037"/>
      <c r="AE568" s="2038"/>
      <c r="AF568" s="2039"/>
      <c r="AG568" s="2039"/>
      <c r="AH568" s="2040"/>
      <c r="AI568" s="2041"/>
      <c r="AJ568" s="2042"/>
      <c r="AK568" s="2042"/>
      <c r="AL568" s="2043"/>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3"/>
      <c r="D569" s="1693"/>
      <c r="E569" s="1693"/>
      <c r="F569" s="1693"/>
      <c r="G569" s="1693"/>
      <c r="H569" s="1693"/>
      <c r="I569" s="1693"/>
      <c r="J569" s="1693"/>
      <c r="K569" s="1693"/>
      <c r="L569" s="1693"/>
      <c r="M569" s="1693"/>
      <c r="N569" s="1693"/>
      <c r="O569" s="1693"/>
      <c r="P569" s="2032"/>
      <c r="Q569" s="1969"/>
      <c r="R569" s="1847"/>
      <c r="S569" s="1970"/>
      <c r="T569" s="1969"/>
      <c r="U569" s="1847"/>
      <c r="V569" s="1970"/>
      <c r="W569" s="2034"/>
      <c r="X569" s="2035"/>
      <c r="Y569" s="2036"/>
      <c r="Z569" s="2037"/>
      <c r="AA569" s="2037"/>
      <c r="AB569" s="2037"/>
      <c r="AC569" s="2037"/>
      <c r="AD569" s="2037"/>
      <c r="AE569" s="2038"/>
      <c r="AF569" s="2039"/>
      <c r="AG569" s="2039"/>
      <c r="AH569" s="2040"/>
      <c r="AI569" s="2041"/>
      <c r="AJ569" s="2042"/>
      <c r="AK569" s="2042"/>
      <c r="AL569" s="2043"/>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2"/>
      <c r="Q570" s="1969"/>
      <c r="R570" s="1847"/>
      <c r="S570" s="1970"/>
      <c r="T570" s="1969"/>
      <c r="U570" s="1847"/>
      <c r="V570" s="1970"/>
      <c r="W570" s="2034"/>
      <c r="X570" s="2035"/>
      <c r="Y570" s="2036"/>
      <c r="Z570" s="2037"/>
      <c r="AA570" s="2037"/>
      <c r="AB570" s="2037"/>
      <c r="AC570" s="2037"/>
      <c r="AD570" s="2037"/>
      <c r="AE570" s="2038"/>
      <c r="AF570" s="2039"/>
      <c r="AG570" s="2039"/>
      <c r="AH570" s="2040"/>
      <c r="AI570" s="2041"/>
      <c r="AJ570" s="2042"/>
      <c r="AK570" s="2042"/>
      <c r="AL570" s="2043"/>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2"/>
      <c r="Q571" s="1969"/>
      <c r="R571" s="1847"/>
      <c r="S571" s="1970"/>
      <c r="T571" s="1969"/>
      <c r="U571" s="1847"/>
      <c r="V571" s="1970"/>
      <c r="W571" s="2034"/>
      <c r="X571" s="2035"/>
      <c r="Y571" s="2036"/>
      <c r="Z571" s="2037"/>
      <c r="AA571" s="2037"/>
      <c r="AB571" s="2037"/>
      <c r="AC571" s="2037"/>
      <c r="AD571" s="2037"/>
      <c r="AE571" s="2038"/>
      <c r="AF571" s="2039"/>
      <c r="AG571" s="2039"/>
      <c r="AH571" s="2040"/>
      <c r="AI571" s="2041"/>
      <c r="AJ571" s="2042"/>
      <c r="AK571" s="2042"/>
      <c r="AL571" s="2043"/>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6" t="s">
        <v>400</v>
      </c>
      <c r="C572" s="1787"/>
      <c r="D572" s="1787"/>
      <c r="E572" s="1787"/>
      <c r="F572" s="1787"/>
      <c r="G572" s="1787"/>
      <c r="H572" s="1787"/>
      <c r="I572" s="1787"/>
      <c r="J572" s="1787"/>
      <c r="K572" s="1787"/>
      <c r="L572" s="1787"/>
      <c r="M572" s="1787"/>
      <c r="N572" s="1787"/>
      <c r="O572" s="1787"/>
      <c r="P572" s="1787"/>
      <c r="Q572" s="1787"/>
      <c r="R572" s="1787"/>
      <c r="S572" s="1787"/>
      <c r="T572" s="1787"/>
      <c r="U572" s="2079"/>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40754636</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2" t="str">
        <f>C560</f>
        <v>US Bank Construction Loan</v>
      </c>
      <c r="H574" s="1842"/>
      <c r="I574" s="1842"/>
      <c r="J574" s="1842"/>
      <c r="K574" s="1842"/>
      <c r="L574" s="1842"/>
      <c r="M574" s="1842"/>
      <c r="N574" s="1842"/>
      <c r="O574" s="1842"/>
      <c r="P574" s="1842"/>
      <c r="Q574" s="1842"/>
      <c r="R574" s="1842"/>
      <c r="S574" s="18"/>
      <c r="T574" s="101" t="s">
        <v>1004</v>
      </c>
      <c r="U574" s="16" t="s">
        <v>92</v>
      </c>
      <c r="Z574" s="1842" t="str">
        <f>C561</f>
        <v>Price Philanthropies Soft Loan</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89" t="s">
        <v>2471</v>
      </c>
      <c r="H575" s="1689"/>
      <c r="I575" s="1689"/>
      <c r="J575" s="1689"/>
      <c r="K575" s="1689"/>
      <c r="L575" s="1689"/>
      <c r="M575" s="1689"/>
      <c r="N575" s="1689"/>
      <c r="O575" s="1689"/>
      <c r="P575" s="1689"/>
      <c r="Q575" s="1689"/>
      <c r="R575" s="1689"/>
      <c r="S575" s="18"/>
      <c r="T575" s="46"/>
      <c r="U575" s="16" t="s">
        <v>415</v>
      </c>
      <c r="Z575" s="1689" t="s">
        <v>2453</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89" t="s">
        <v>2472</v>
      </c>
      <c r="H576" s="1689"/>
      <c r="I576" s="1689"/>
      <c r="J576" s="1689"/>
      <c r="K576" s="1689"/>
      <c r="L576" s="1689"/>
      <c r="M576" s="1689"/>
      <c r="N576" s="1689"/>
      <c r="O576" s="1689"/>
      <c r="P576" s="1689"/>
      <c r="Q576" s="1689"/>
      <c r="R576" s="1689"/>
      <c r="S576" s="102"/>
      <c r="T576" s="46"/>
      <c r="U576" s="16" t="s">
        <v>478</v>
      </c>
      <c r="Z576" s="1688" t="s">
        <v>2454</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89" t="s">
        <v>2473</v>
      </c>
      <c r="H577" s="1689"/>
      <c r="I577" s="1689"/>
      <c r="J577" s="1689"/>
      <c r="K577" s="1689"/>
      <c r="L577" s="1689"/>
      <c r="M577" s="1689"/>
      <c r="N577" s="1689"/>
      <c r="O577" s="1689"/>
      <c r="P577" s="1689"/>
      <c r="Q577" s="1689"/>
      <c r="R577" s="1689"/>
      <c r="S577" s="18"/>
      <c r="T577" s="46"/>
      <c r="U577" s="16" t="s">
        <v>914</v>
      </c>
      <c r="Z577" s="1688" t="s">
        <v>2476</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0" t="s">
        <v>2474</v>
      </c>
      <c r="H578" s="1681"/>
      <c r="I578" s="1681"/>
      <c r="J578" s="1681"/>
      <c r="K578" s="1681"/>
      <c r="L578" s="1681"/>
      <c r="O578" s="149" t="s">
        <v>899</v>
      </c>
      <c r="P578" s="1694"/>
      <c r="Q578" s="1694"/>
      <c r="R578" s="1694"/>
      <c r="S578" s="20"/>
      <c r="T578" s="46"/>
      <c r="U578" s="16" t="s">
        <v>715</v>
      </c>
      <c r="Z578" s="1680" t="s">
        <v>2477</v>
      </c>
      <c r="AA578" s="1681"/>
      <c r="AB578" s="1681"/>
      <c r="AC578" s="1681"/>
      <c r="AD578" s="1681"/>
      <c r="AE578" s="1681"/>
      <c r="AH578" s="149" t="s">
        <v>899</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9" t="s">
        <v>2475</v>
      </c>
      <c r="I579" s="1689"/>
      <c r="J579" s="1689"/>
      <c r="K579" s="1689"/>
      <c r="L579" s="1689"/>
      <c r="M579" s="1689"/>
      <c r="N579" s="1689"/>
      <c r="O579" s="1689"/>
      <c r="P579" s="1689"/>
      <c r="Q579" s="1689"/>
      <c r="R579" s="1689"/>
      <c r="S579" s="18"/>
      <c r="T579" s="46"/>
      <c r="U579" s="16" t="s">
        <v>915</v>
      </c>
      <c r="AA579" s="1689" t="s">
        <v>2478</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6" t="s">
        <v>118</v>
      </c>
      <c r="O580" s="1686"/>
      <c r="T580" s="46"/>
      <c r="U580" s="16" t="s">
        <v>917</v>
      </c>
      <c r="AG580" s="1686" t="s">
        <v>118</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2" t="str">
        <f>C562</f>
        <v>Price Philanthropies Land Donation</v>
      </c>
      <c r="H582" s="1842"/>
      <c r="I582" s="1842"/>
      <c r="J582" s="1842"/>
      <c r="K582" s="1842"/>
      <c r="L582" s="1842"/>
      <c r="M582" s="1842"/>
      <c r="N582" s="1842"/>
      <c r="O582" s="1842"/>
      <c r="P582" s="1842"/>
      <c r="Q582" s="1842"/>
      <c r="R582" s="1842"/>
      <c r="T582" s="101" t="s">
        <v>479</v>
      </c>
      <c r="U582" s="16" t="s">
        <v>92</v>
      </c>
      <c r="Z582" s="1842" t="str">
        <f>C563</f>
        <v>RTCIP Fee Waiver</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89" t="s">
        <v>2453</v>
      </c>
      <c r="H583" s="1689"/>
      <c r="I583" s="1689"/>
      <c r="J583" s="1689"/>
      <c r="K583" s="1689"/>
      <c r="L583" s="1689"/>
      <c r="M583" s="1689"/>
      <c r="N583" s="1689"/>
      <c r="O583" s="1689"/>
      <c r="P583" s="1689"/>
      <c r="Q583" s="1689"/>
      <c r="R583" s="1689"/>
      <c r="T583" s="46"/>
      <c r="U583" s="16" t="s">
        <v>415</v>
      </c>
      <c r="Z583" s="1689" t="s">
        <v>2480</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88" t="s">
        <v>2454</v>
      </c>
      <c r="H584" s="1688"/>
      <c r="I584" s="1688"/>
      <c r="J584" s="1688"/>
      <c r="K584" s="1688"/>
      <c r="L584" s="1688"/>
      <c r="M584" s="1688"/>
      <c r="N584" s="1688"/>
      <c r="O584" s="1688"/>
      <c r="P584" s="1688"/>
      <c r="Q584" s="1688"/>
      <c r="R584" s="1688"/>
      <c r="T584" s="46"/>
      <c r="U584" s="16" t="s">
        <v>478</v>
      </c>
      <c r="Z584" s="1688" t="s">
        <v>123</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8" t="s">
        <v>2476</v>
      </c>
      <c r="H585" s="1688"/>
      <c r="I585" s="1688"/>
      <c r="J585" s="1688"/>
      <c r="K585" s="1688"/>
      <c r="L585" s="1688"/>
      <c r="M585" s="1688"/>
      <c r="N585" s="1688"/>
      <c r="O585" s="1688"/>
      <c r="P585" s="1688"/>
      <c r="Q585" s="1688"/>
      <c r="R585" s="1688"/>
      <c r="T585" s="46"/>
      <c r="U585" s="16" t="s">
        <v>914</v>
      </c>
      <c r="Z585" s="1688" t="s">
        <v>2481</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0" t="s">
        <v>2477</v>
      </c>
      <c r="H586" s="1681"/>
      <c r="I586" s="1681"/>
      <c r="J586" s="1681"/>
      <c r="K586" s="1681"/>
      <c r="L586" s="1681"/>
      <c r="O586" s="149" t="s">
        <v>899</v>
      </c>
      <c r="P586" s="1694"/>
      <c r="Q586" s="1694"/>
      <c r="R586" s="1694"/>
      <c r="T586" s="46"/>
      <c r="U586" s="16" t="s">
        <v>715</v>
      </c>
      <c r="Z586" s="1680" t="s">
        <v>2482</v>
      </c>
      <c r="AA586" s="1681"/>
      <c r="AB586" s="1681"/>
      <c r="AC586" s="1681"/>
      <c r="AD586" s="1681"/>
      <c r="AE586" s="1681"/>
      <c r="AH586" s="149" t="s">
        <v>899</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9" t="s">
        <v>2479</v>
      </c>
      <c r="I587" s="1689"/>
      <c r="J587" s="1689"/>
      <c r="K587" s="1689"/>
      <c r="L587" s="1689"/>
      <c r="M587" s="1689"/>
      <c r="N587" s="1689"/>
      <c r="O587" s="1689"/>
      <c r="P587" s="1689"/>
      <c r="Q587" s="1689"/>
      <c r="R587" s="1689"/>
      <c r="T587" s="46"/>
      <c r="U587" s="16" t="s">
        <v>915</v>
      </c>
      <c r="AA587" s="1689" t="s">
        <v>2483</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1" t="s">
        <v>118</v>
      </c>
      <c r="O588" s="1721"/>
      <c r="T588" s="46"/>
      <c r="U588" s="16" t="s">
        <v>917</v>
      </c>
      <c r="AG588" s="1721" t="s">
        <v>118</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2" t="str">
        <f>C564</f>
        <v>Costs Deferred Until Conversion</v>
      </c>
      <c r="H590" s="1842"/>
      <c r="I590" s="1842"/>
      <c r="J590" s="1842"/>
      <c r="K590" s="1842"/>
      <c r="L590" s="1842"/>
      <c r="M590" s="1842"/>
      <c r="N590" s="1842"/>
      <c r="O590" s="1842"/>
      <c r="P590" s="1842"/>
      <c r="Q590" s="1842"/>
      <c r="R590" s="1842"/>
      <c r="T590" s="101" t="s">
        <v>482</v>
      </c>
      <c r="U590" s="16" t="s">
        <v>92</v>
      </c>
      <c r="Z590" s="1842" t="str">
        <f>C565</f>
        <v>Limited Partner Equity (Net)</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89" t="s">
        <v>2384</v>
      </c>
      <c r="H591" s="1689"/>
      <c r="I591" s="1689"/>
      <c r="J591" s="1689"/>
      <c r="K591" s="1689"/>
      <c r="L591" s="1689"/>
      <c r="M591" s="1689"/>
      <c r="N591" s="1689"/>
      <c r="O591" s="1689"/>
      <c r="P591" s="1689"/>
      <c r="Q591" s="1689"/>
      <c r="R591" s="1689"/>
      <c r="T591" s="46"/>
      <c r="U591" s="16" t="s">
        <v>415</v>
      </c>
      <c r="Z591" s="1689" t="s">
        <v>2548</v>
      </c>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89" t="s">
        <v>123</v>
      </c>
      <c r="H592" s="1689"/>
      <c r="I592" s="1689"/>
      <c r="J592" s="1689"/>
      <c r="K592" s="1689"/>
      <c r="L592" s="1689"/>
      <c r="M592" s="1689"/>
      <c r="N592" s="1689"/>
      <c r="O592" s="1689"/>
      <c r="P592" s="1689"/>
      <c r="Q592" s="1689"/>
      <c r="R592" s="1689"/>
      <c r="T592" s="46"/>
      <c r="U592" s="16" t="s">
        <v>478</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9" t="s">
        <v>2373</v>
      </c>
      <c r="H593" s="1689"/>
      <c r="I593" s="1689"/>
      <c r="J593" s="1689"/>
      <c r="K593" s="1689"/>
      <c r="L593" s="1689"/>
      <c r="M593" s="1689"/>
      <c r="N593" s="1689"/>
      <c r="O593" s="1689"/>
      <c r="P593" s="1689"/>
      <c r="Q593" s="1689"/>
      <c r="R593" s="1689"/>
      <c r="T593" s="46"/>
      <c r="U593" s="16" t="s">
        <v>914</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0" t="s">
        <v>2484</v>
      </c>
      <c r="H594" s="1681"/>
      <c r="I594" s="1681"/>
      <c r="J594" s="1681"/>
      <c r="K594" s="1681"/>
      <c r="L594" s="1681"/>
      <c r="O594" s="149" t="s">
        <v>899</v>
      </c>
      <c r="P594" s="1694"/>
      <c r="Q594" s="1694"/>
      <c r="R594" s="1694"/>
      <c r="T594" s="46"/>
      <c r="U594" s="16" t="s">
        <v>715</v>
      </c>
      <c r="Z594" s="1680"/>
      <c r="AA594" s="1681"/>
      <c r="AB594" s="1681"/>
      <c r="AC594" s="1681"/>
      <c r="AD594" s="1681"/>
      <c r="AE594" s="1681"/>
      <c r="AH594" s="149" t="s">
        <v>899</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89" t="s">
        <v>2485</v>
      </c>
      <c r="I595" s="1689"/>
      <c r="J595" s="1689"/>
      <c r="K595" s="1689"/>
      <c r="L595" s="1689"/>
      <c r="M595" s="1689"/>
      <c r="N595" s="1689"/>
      <c r="O595" s="1689"/>
      <c r="P595" s="1689"/>
      <c r="Q595" s="1689"/>
      <c r="R595" s="1689"/>
      <c r="T595" s="46"/>
      <c r="U595" s="16" t="s">
        <v>915</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1" t="s">
        <v>118</v>
      </c>
      <c r="O596" s="1721"/>
      <c r="T596" s="46"/>
      <c r="U596" s="16" t="s">
        <v>917</v>
      </c>
      <c r="AG596" s="1721" t="s">
        <v>530</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2">
        <f>C566</f>
        <v>0</v>
      </c>
      <c r="H598" s="1842"/>
      <c r="I598" s="1842"/>
      <c r="J598" s="1842"/>
      <c r="K598" s="1842"/>
      <c r="L598" s="1842"/>
      <c r="M598" s="1842"/>
      <c r="N598" s="1842"/>
      <c r="O598" s="1842"/>
      <c r="P598" s="1842"/>
      <c r="Q598" s="1842"/>
      <c r="R598" s="1842"/>
      <c r="T598" s="101" t="s">
        <v>810</v>
      </c>
      <c r="U598" s="16" t="s">
        <v>92</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89"/>
      <c r="H599" s="1689"/>
      <c r="I599" s="1689"/>
      <c r="J599" s="1689"/>
      <c r="K599" s="1689"/>
      <c r="L599" s="1689"/>
      <c r="M599" s="1689"/>
      <c r="N599" s="1689"/>
      <c r="O599" s="1689"/>
      <c r="P599" s="1689"/>
      <c r="Q599" s="1689"/>
      <c r="R599" s="1689"/>
      <c r="T599" s="46"/>
      <c r="U599" s="16" t="s">
        <v>415</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89"/>
      <c r="H601" s="1689"/>
      <c r="I601" s="1689"/>
      <c r="J601" s="1689"/>
      <c r="K601" s="1689"/>
      <c r="L601" s="1689"/>
      <c r="M601" s="1689"/>
      <c r="N601" s="1689"/>
      <c r="O601" s="1689"/>
      <c r="P601" s="1689"/>
      <c r="Q601" s="1689"/>
      <c r="R601" s="1689"/>
      <c r="S601" s="16"/>
      <c r="T601" s="46"/>
      <c r="U601" s="16" t="s">
        <v>914</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1"/>
      <c r="H602" s="1681"/>
      <c r="I602" s="1681"/>
      <c r="J602" s="1681"/>
      <c r="K602" s="1681"/>
      <c r="L602" s="1681"/>
      <c r="M602" s="16"/>
      <c r="N602" s="16"/>
      <c r="O602" s="149" t="s">
        <v>899</v>
      </c>
      <c r="P602" s="1694"/>
      <c r="Q602" s="1694"/>
      <c r="R602" s="1694"/>
      <c r="S602" s="16"/>
      <c r="T602" s="46"/>
      <c r="U602" s="16" t="s">
        <v>715</v>
      </c>
      <c r="V602" s="16"/>
      <c r="W602" s="16"/>
      <c r="X602" s="16"/>
      <c r="Y602" s="16"/>
      <c r="Z602" s="1681"/>
      <c r="AA602" s="1681"/>
      <c r="AB602" s="1681"/>
      <c r="AC602" s="1681"/>
      <c r="AD602" s="1681"/>
      <c r="AE602" s="1681"/>
      <c r="AF602" s="16"/>
      <c r="AG602" s="16"/>
      <c r="AH602" s="149" t="s">
        <v>899</v>
      </c>
      <c r="AI602" s="1694"/>
      <c r="AJ602" s="1694"/>
      <c r="AK602" s="1694"/>
      <c r="AL602" s="16"/>
      <c r="AZ602" s="8" t="s">
        <v>489</v>
      </c>
      <c r="BA602" s="72"/>
      <c r="BB602" s="72"/>
      <c r="BC602" s="72"/>
      <c r="BD602" s="72"/>
      <c r="BE602" s="334" t="s">
        <v>391</v>
      </c>
      <c r="BF602" s="335"/>
      <c r="BG602" s="1801"/>
      <c r="BH602" s="1804"/>
      <c r="BI602" s="334" t="s">
        <v>392</v>
      </c>
      <c r="BJ602" s="335"/>
      <c r="BK602" s="1801"/>
      <c r="BL602" s="1804"/>
      <c r="BN602" s="1801">
        <f t="shared" ref="BN602:BN626" si="0">IF(B706="SRO/Studio",G706,0)</f>
        <v>0</v>
      </c>
      <c r="BO602" s="1802"/>
      <c r="BP602" s="1802"/>
      <c r="BQ602" s="1802"/>
      <c r="BR602" s="1803"/>
      <c r="BS602" s="1801">
        <f t="shared" ref="BS602:BS626" si="1">IF(B706="1 Bedroom",G706,0)</f>
        <v>0</v>
      </c>
      <c r="BT602" s="1802"/>
      <c r="BU602" s="1802"/>
      <c r="BV602" s="1802"/>
      <c r="BW602" s="1804"/>
      <c r="BX602" s="1801">
        <f t="shared" ref="BX602:BX626" si="2">IF(B706="2 Bedrooms",G706,0)</f>
        <v>6</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0">
        <f t="shared" ref="CM602:CM626" si="5">IF(B706="5 Bedrooms",G706,0)</f>
        <v>0</v>
      </c>
      <c r="CN602" s="2151"/>
      <c r="CO602" s="2151"/>
      <c r="CP602" s="2151"/>
      <c r="CQ602" s="1803"/>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689"/>
      <c r="I603" s="1689"/>
      <c r="J603" s="1689"/>
      <c r="K603" s="1689"/>
      <c r="L603" s="1689"/>
      <c r="M603" s="1689"/>
      <c r="N603" s="1689"/>
      <c r="O603" s="1689"/>
      <c r="P603" s="1689"/>
      <c r="Q603" s="1689"/>
      <c r="R603" s="1689"/>
      <c r="S603" s="16"/>
      <c r="T603" s="46"/>
      <c r="U603" s="16" t="s">
        <v>915</v>
      </c>
      <c r="V603" s="16"/>
      <c r="W603" s="16"/>
      <c r="X603" s="16"/>
      <c r="Y603" s="16"/>
      <c r="Z603" s="16"/>
      <c r="AA603" s="1689"/>
      <c r="AB603" s="1689"/>
      <c r="AC603" s="1689"/>
      <c r="AD603" s="1689"/>
      <c r="AE603" s="1689"/>
      <c r="AF603" s="1689"/>
      <c r="AG603" s="1689"/>
      <c r="AH603" s="1689"/>
      <c r="AI603" s="1689"/>
      <c r="AJ603" s="1689"/>
      <c r="AK603" s="1689"/>
      <c r="AL603" s="16"/>
      <c r="AZ603" s="8" t="s">
        <v>490</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6</v>
      </c>
      <c r="BL603" s="1804"/>
      <c r="BN603" s="1801">
        <f t="shared" si="0"/>
        <v>0</v>
      </c>
      <c r="BO603" s="1802"/>
      <c r="BP603" s="1802"/>
      <c r="BQ603" s="1802"/>
      <c r="BR603" s="1803"/>
      <c r="BS603" s="1801">
        <f t="shared" si="1"/>
        <v>0</v>
      </c>
      <c r="BT603" s="1802"/>
      <c r="BU603" s="1802"/>
      <c r="BV603" s="1802"/>
      <c r="BW603" s="1804"/>
      <c r="BX603" s="1801">
        <f t="shared" si="2"/>
        <v>0</v>
      </c>
      <c r="BY603" s="1802"/>
      <c r="BZ603" s="1802"/>
      <c r="CA603" s="1802"/>
      <c r="CB603" s="1804"/>
      <c r="CC603" s="1801">
        <f t="shared" si="3"/>
        <v>2</v>
      </c>
      <c r="CD603" s="1802"/>
      <c r="CE603" s="1802"/>
      <c r="CF603" s="1802"/>
      <c r="CG603" s="1804"/>
      <c r="CH603" s="1801">
        <f t="shared" si="4"/>
        <v>0</v>
      </c>
      <c r="CI603" s="1802"/>
      <c r="CJ603" s="1802"/>
      <c r="CK603" s="1802"/>
      <c r="CL603" s="1804"/>
      <c r="CM603" s="1801">
        <f t="shared" si="5"/>
        <v>0</v>
      </c>
      <c r="CN603" s="1802"/>
      <c r="CO603" s="1802"/>
      <c r="CP603" s="1802"/>
      <c r="CQ603" s="1804"/>
      <c r="CS603" s="2147">
        <f>IF(AND(B706="SRO/Studio",AH706&lt;=0.3),G706,0)</f>
        <v>0</v>
      </c>
      <c r="CT603" s="2148"/>
      <c r="CU603" s="2148"/>
      <c r="CV603" s="2148"/>
      <c r="CW603" s="2149"/>
      <c r="CX603" s="2147">
        <f>IF(AND(B706="1 Bedroom",AH706&lt;=0.3),G706,0)</f>
        <v>0</v>
      </c>
      <c r="CY603" s="2148"/>
      <c r="CZ603" s="2148"/>
      <c r="DA603" s="2148"/>
      <c r="DB603" s="2149"/>
      <c r="DC603" s="2147">
        <f>IF(AND(B706="2 Bedrooms",AH706&lt;=0.3),G706,0)</f>
        <v>6</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917</v>
      </c>
      <c r="C604" s="16"/>
      <c r="D604" s="16"/>
      <c r="E604" s="16"/>
      <c r="F604" s="16"/>
      <c r="G604" s="16"/>
      <c r="H604" s="16"/>
      <c r="I604" s="16"/>
      <c r="J604" s="16"/>
      <c r="K604" s="16"/>
      <c r="L604" s="16"/>
      <c r="M604" s="16"/>
      <c r="N604" s="1721" t="s">
        <v>530</v>
      </c>
      <c r="O604" s="1721"/>
      <c r="P604" s="16"/>
      <c r="Q604" s="16"/>
      <c r="R604" s="16"/>
      <c r="S604" s="16"/>
      <c r="T604" s="46"/>
      <c r="U604" s="16" t="s">
        <v>917</v>
      </c>
      <c r="V604" s="16"/>
      <c r="W604" s="16"/>
      <c r="X604" s="16"/>
      <c r="Y604" s="16"/>
      <c r="Z604" s="16"/>
      <c r="AA604" s="16"/>
      <c r="AB604" s="16"/>
      <c r="AC604" s="16"/>
      <c r="AD604" s="16"/>
      <c r="AE604" s="16"/>
      <c r="AF604" s="16"/>
      <c r="AG604" s="1721" t="s">
        <v>530</v>
      </c>
      <c r="AH604" s="1721"/>
      <c r="AI604" s="16"/>
      <c r="AJ604" s="16"/>
      <c r="AK604" s="16"/>
      <c r="AL604" s="16"/>
      <c r="AZ604" s="8" t="s">
        <v>852</v>
      </c>
      <c r="BA604" s="72"/>
      <c r="BB604" s="72"/>
      <c r="BC604" s="72"/>
      <c r="BD604" s="72"/>
      <c r="BE604" s="1805">
        <f t="shared" ref="BE604:BE627" si="8">IF(AND(AH707&lt;=0.5,AH707&gt;=0.36),1,0)</f>
        <v>0</v>
      </c>
      <c r="BF604" s="1806"/>
      <c r="BG604" s="1801">
        <f t="shared" si="6"/>
        <v>0</v>
      </c>
      <c r="BH604" s="1804"/>
      <c r="BI604" s="1805">
        <f t="shared" ref="BI604:BI627" si="9">IF(AND(AH707&lt;=0.35,AH707&gt;0),1,0)</f>
        <v>1</v>
      </c>
      <c r="BJ604" s="1806"/>
      <c r="BK604" s="1801">
        <f t="shared" si="7"/>
        <v>2</v>
      </c>
      <c r="BL604" s="1804"/>
      <c r="BN604" s="1801">
        <f t="shared" si="0"/>
        <v>0</v>
      </c>
      <c r="BO604" s="1802"/>
      <c r="BP604" s="1802"/>
      <c r="BQ604" s="1802"/>
      <c r="BR604" s="1803"/>
      <c r="BS604" s="1801">
        <f t="shared" si="1"/>
        <v>0</v>
      </c>
      <c r="BT604" s="1802"/>
      <c r="BU604" s="1802"/>
      <c r="BV604" s="1802"/>
      <c r="BW604" s="1804"/>
      <c r="BX604" s="1801">
        <f t="shared" si="2"/>
        <v>11</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2</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853</v>
      </c>
      <c r="BA605" s="72"/>
      <c r="BB605" s="72"/>
      <c r="BC605" s="72"/>
      <c r="BD605" s="72"/>
      <c r="BE605" s="1805">
        <f t="shared" si="8"/>
        <v>1</v>
      </c>
      <c r="BF605" s="1806"/>
      <c r="BG605" s="1801">
        <f t="shared" si="6"/>
        <v>11</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0</v>
      </c>
      <c r="BY605" s="1802"/>
      <c r="BZ605" s="1802"/>
      <c r="CA605" s="1802"/>
      <c r="CB605" s="1804"/>
      <c r="CC605" s="1801">
        <f t="shared" si="3"/>
        <v>4</v>
      </c>
      <c r="CD605" s="1802"/>
      <c r="CE605" s="1802"/>
      <c r="CF605" s="1802"/>
      <c r="CG605" s="1804"/>
      <c r="CH605" s="1801">
        <f t="shared" si="4"/>
        <v>0</v>
      </c>
      <c r="CI605" s="1802"/>
      <c r="CJ605" s="1802"/>
      <c r="CK605" s="1802"/>
      <c r="CL605" s="1804"/>
      <c r="CM605" s="1801">
        <f t="shared" si="5"/>
        <v>0</v>
      </c>
      <c r="CN605" s="1802"/>
      <c r="CO605" s="1802"/>
      <c r="CP605" s="1802"/>
      <c r="CQ605" s="1804"/>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605</v>
      </c>
      <c r="B606" s="16" t="s">
        <v>92</v>
      </c>
      <c r="G606" s="1842">
        <f>C568</f>
        <v>0</v>
      </c>
      <c r="H606" s="1842"/>
      <c r="I606" s="1842"/>
      <c r="J606" s="1842"/>
      <c r="K606" s="1842"/>
      <c r="L606" s="1842"/>
      <c r="M606" s="1842"/>
      <c r="N606" s="1842"/>
      <c r="O606" s="1842"/>
      <c r="P606" s="1842"/>
      <c r="Q606" s="1842"/>
      <c r="R606" s="1842"/>
      <c r="T606" s="101" t="s">
        <v>190</v>
      </c>
      <c r="U606" s="16" t="s">
        <v>92</v>
      </c>
      <c r="Z606" s="1842">
        <f>C569</f>
        <v>0</v>
      </c>
      <c r="AA606" s="1842"/>
      <c r="AB606" s="1842"/>
      <c r="AC606" s="1842"/>
      <c r="AD606" s="1842"/>
      <c r="AE606" s="1842"/>
      <c r="AF606" s="1842"/>
      <c r="AG606" s="1842"/>
      <c r="AH606" s="1842"/>
      <c r="AI606" s="1842"/>
      <c r="AJ606" s="1842"/>
      <c r="AK606" s="1842"/>
      <c r="AZ606" s="8" t="s">
        <v>854</v>
      </c>
      <c r="BA606" s="72"/>
      <c r="BB606" s="72"/>
      <c r="BC606" s="72"/>
      <c r="BD606" s="72"/>
      <c r="BE606" s="1805">
        <f t="shared" si="8"/>
        <v>1</v>
      </c>
      <c r="BF606" s="1806"/>
      <c r="BG606" s="1801">
        <f t="shared" si="6"/>
        <v>4</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22</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415</v>
      </c>
      <c r="G607" s="1689"/>
      <c r="H607" s="1689"/>
      <c r="I607" s="1689"/>
      <c r="J607" s="1689"/>
      <c r="K607" s="1689"/>
      <c r="L607" s="1689"/>
      <c r="M607" s="1689"/>
      <c r="N607" s="1689"/>
      <c r="O607" s="1689"/>
      <c r="P607" s="1689"/>
      <c r="Q607" s="1689"/>
      <c r="R607" s="1689"/>
      <c r="T607" s="46"/>
      <c r="U607" s="16" t="s">
        <v>415</v>
      </c>
      <c r="Z607" s="1689"/>
      <c r="AA607" s="1689"/>
      <c r="AB607" s="1689"/>
      <c r="AC607" s="1689"/>
      <c r="AD607" s="1689"/>
      <c r="AE607" s="1689"/>
      <c r="AF607" s="1689"/>
      <c r="AG607" s="1689"/>
      <c r="AH607" s="1689"/>
      <c r="AI607" s="1689"/>
      <c r="AJ607" s="1689"/>
      <c r="AK607" s="1689"/>
      <c r="AZ607" s="8" t="s">
        <v>382</v>
      </c>
      <c r="BA607" s="72"/>
      <c r="BB607" s="72"/>
      <c r="BC607" s="72"/>
      <c r="BD607" s="72"/>
      <c r="BE607" s="1805">
        <f t="shared" si="8"/>
        <v>1</v>
      </c>
      <c r="BF607" s="1806"/>
      <c r="BG607" s="1801">
        <f t="shared" si="6"/>
        <v>22</v>
      </c>
      <c r="BH607" s="1804"/>
      <c r="BI607" s="1805">
        <f t="shared" si="9"/>
        <v>0</v>
      </c>
      <c r="BJ607" s="1806"/>
      <c r="BK607" s="1801">
        <f t="shared" si="7"/>
        <v>0</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8</v>
      </c>
      <c r="CD607" s="1802"/>
      <c r="CE607" s="1802"/>
      <c r="CF607" s="1802"/>
      <c r="CG607" s="1804"/>
      <c r="CH607" s="1801">
        <f t="shared" si="4"/>
        <v>0</v>
      </c>
      <c r="CI607" s="1802"/>
      <c r="CJ607" s="1802"/>
      <c r="CK607" s="1802"/>
      <c r="CL607" s="1804"/>
      <c r="CM607" s="1801">
        <f t="shared" si="5"/>
        <v>0</v>
      </c>
      <c r="CN607" s="1802"/>
      <c r="CO607" s="1802"/>
      <c r="CP607" s="1802"/>
      <c r="CQ607" s="1804"/>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805">
        <f t="shared" si="8"/>
        <v>1</v>
      </c>
      <c r="BF608" s="1806"/>
      <c r="BG608" s="1801">
        <f t="shared" si="6"/>
        <v>8</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15</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914</v>
      </c>
      <c r="G609" s="1689"/>
      <c r="H609" s="1689"/>
      <c r="I609" s="1689"/>
      <c r="J609" s="1689"/>
      <c r="K609" s="1689"/>
      <c r="L609" s="1689"/>
      <c r="M609" s="1689"/>
      <c r="N609" s="1689"/>
      <c r="O609" s="1689"/>
      <c r="P609" s="1689"/>
      <c r="Q609" s="1689"/>
      <c r="R609" s="1689"/>
      <c r="T609" s="46"/>
      <c r="U609" s="16" t="s">
        <v>914</v>
      </c>
      <c r="Z609" s="1688"/>
      <c r="AA609" s="1688"/>
      <c r="AB609" s="1688"/>
      <c r="AC609" s="1688"/>
      <c r="AD609" s="1688"/>
      <c r="AE609" s="1688"/>
      <c r="AF609" s="1688"/>
      <c r="AG609" s="1688"/>
      <c r="AH609" s="1688"/>
      <c r="AI609" s="1688"/>
      <c r="AJ609" s="1688"/>
      <c r="AK609" s="1688"/>
      <c r="AZ609" s="72"/>
      <c r="BA609" s="72"/>
      <c r="BB609" s="72"/>
      <c r="BC609" s="72"/>
      <c r="BD609" s="72"/>
      <c r="BE609" s="1805">
        <f t="shared" si="8"/>
        <v>0</v>
      </c>
      <c r="BF609" s="1806"/>
      <c r="BG609" s="1801">
        <f t="shared" si="6"/>
        <v>0</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6</v>
      </c>
      <c r="CD609" s="1802"/>
      <c r="CE609" s="1802"/>
      <c r="CF609" s="1802"/>
      <c r="CG609" s="1804"/>
      <c r="CH609" s="1801">
        <f t="shared" si="4"/>
        <v>0</v>
      </c>
      <c r="CI609" s="1802"/>
      <c r="CJ609" s="1802"/>
      <c r="CK609" s="1802"/>
      <c r="CL609" s="1804"/>
      <c r="CM609" s="1801">
        <f t="shared" si="5"/>
        <v>0</v>
      </c>
      <c r="CN609" s="1802"/>
      <c r="CO609" s="1802"/>
      <c r="CP609" s="1802"/>
      <c r="CQ609" s="1804"/>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715</v>
      </c>
      <c r="G610" s="1681"/>
      <c r="H610" s="1681"/>
      <c r="I610" s="1681"/>
      <c r="J610" s="1681"/>
      <c r="K610" s="1681"/>
      <c r="L610" s="1681"/>
      <c r="O610" s="149" t="s">
        <v>899</v>
      </c>
      <c r="P610" s="1694"/>
      <c r="Q610" s="1694"/>
      <c r="R610" s="1694"/>
      <c r="T610" s="46"/>
      <c r="U610" s="16" t="s">
        <v>715</v>
      </c>
      <c r="Z610" s="1681"/>
      <c r="AA610" s="1681"/>
      <c r="AB610" s="1681"/>
      <c r="AC610" s="1681"/>
      <c r="AD610" s="1681"/>
      <c r="AE610" s="1681"/>
      <c r="AH610" s="149" t="s">
        <v>899</v>
      </c>
      <c r="AI610" s="1694"/>
      <c r="AJ610" s="1694"/>
      <c r="AK610" s="1694"/>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915</v>
      </c>
      <c r="C611" s="16"/>
      <c r="D611" s="16"/>
      <c r="E611" s="16"/>
      <c r="F611" s="16"/>
      <c r="G611" s="16"/>
      <c r="H611" s="1689"/>
      <c r="I611" s="1689"/>
      <c r="J611" s="1689"/>
      <c r="K611" s="1689"/>
      <c r="L611" s="1689"/>
      <c r="M611" s="1689"/>
      <c r="N611" s="1689"/>
      <c r="O611" s="1689"/>
      <c r="P611" s="1689"/>
      <c r="Q611" s="1689"/>
      <c r="R611" s="1689"/>
      <c r="S611" s="16"/>
      <c r="T611" s="46"/>
      <c r="U611" s="16" t="s">
        <v>915</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917</v>
      </c>
      <c r="C612" s="16"/>
      <c r="D612" s="16"/>
      <c r="E612" s="16"/>
      <c r="F612" s="16"/>
      <c r="G612" s="16"/>
      <c r="H612" s="16"/>
      <c r="I612" s="16"/>
      <c r="J612" s="16"/>
      <c r="K612" s="16"/>
      <c r="L612" s="16"/>
      <c r="M612" s="16"/>
      <c r="N612" s="1721" t="s">
        <v>530</v>
      </c>
      <c r="O612" s="1721"/>
      <c r="P612" s="16"/>
      <c r="Q612" s="16"/>
      <c r="R612" s="16"/>
      <c r="S612" s="16"/>
      <c r="T612" s="46"/>
      <c r="U612" s="16" t="s">
        <v>917</v>
      </c>
      <c r="V612" s="16"/>
      <c r="W612" s="16"/>
      <c r="X612" s="16"/>
      <c r="Y612" s="16"/>
      <c r="Z612" s="16"/>
      <c r="AA612" s="16"/>
      <c r="AB612" s="16"/>
      <c r="AC612" s="16"/>
      <c r="AD612" s="16"/>
      <c r="AE612" s="16"/>
      <c r="AF612" s="16"/>
      <c r="AG612" s="1721" t="s">
        <v>530</v>
      </c>
      <c r="AH612" s="1721"/>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92</v>
      </c>
      <c r="G614" s="1842">
        <f>C570</f>
        <v>0</v>
      </c>
      <c r="H614" s="1842"/>
      <c r="I614" s="1842"/>
      <c r="J614" s="1842"/>
      <c r="K614" s="1842"/>
      <c r="L614" s="1842"/>
      <c r="M614" s="1842"/>
      <c r="N614" s="1842"/>
      <c r="O614" s="1842"/>
      <c r="P614" s="1842"/>
      <c r="Q614" s="1842"/>
      <c r="R614" s="1842"/>
      <c r="T614" s="101" t="s">
        <v>38</v>
      </c>
      <c r="U614" s="16" t="s">
        <v>92</v>
      </c>
      <c r="Z614" s="1842">
        <f>C571</f>
        <v>0</v>
      </c>
      <c r="AA614" s="1842"/>
      <c r="AB614" s="1842"/>
      <c r="AC614" s="1842"/>
      <c r="AD614" s="1842"/>
      <c r="AE614" s="1842"/>
      <c r="AF614" s="1842"/>
      <c r="AG614" s="1842"/>
      <c r="AH614" s="1842"/>
      <c r="AI614" s="1842"/>
      <c r="AJ614" s="1842"/>
      <c r="AK614" s="1842"/>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415</v>
      </c>
      <c r="G615" s="1689"/>
      <c r="H615" s="1689"/>
      <c r="I615" s="1689"/>
      <c r="J615" s="1689"/>
      <c r="K615" s="1689"/>
      <c r="L615" s="1689"/>
      <c r="M615" s="1689"/>
      <c r="N615" s="1689"/>
      <c r="O615" s="1689"/>
      <c r="P615" s="1689"/>
      <c r="Q615" s="1689"/>
      <c r="R615" s="1689"/>
      <c r="U615" s="16" t="s">
        <v>415</v>
      </c>
      <c r="Z615" s="1689"/>
      <c r="AA615" s="1689"/>
      <c r="AB615" s="1689"/>
      <c r="AC615" s="1689"/>
      <c r="AD615" s="1689"/>
      <c r="AE615" s="1689"/>
      <c r="AF615" s="1689"/>
      <c r="AG615" s="1689"/>
      <c r="AH615" s="1689"/>
      <c r="AI615" s="1689"/>
      <c r="AJ615" s="1689"/>
      <c r="AK615" s="1689"/>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75">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75">
      <c r="B617" s="16" t="s">
        <v>914</v>
      </c>
      <c r="G617" s="1689"/>
      <c r="H617" s="1689"/>
      <c r="I617" s="1689"/>
      <c r="J617" s="1689"/>
      <c r="K617" s="1689"/>
      <c r="L617" s="1689"/>
      <c r="M617" s="1689"/>
      <c r="N617" s="1689"/>
      <c r="O617" s="1689"/>
      <c r="P617" s="1689"/>
      <c r="Q617" s="1689"/>
      <c r="R617" s="1689"/>
      <c r="U617" s="16" t="s">
        <v>914</v>
      </c>
      <c r="Z617" s="1688"/>
      <c r="AA617" s="1688"/>
      <c r="AB617" s="1688"/>
      <c r="AC617" s="1688"/>
      <c r="AD617" s="1688"/>
      <c r="AE617" s="1688"/>
      <c r="AF617" s="1688"/>
      <c r="AG617" s="1688"/>
      <c r="AH617" s="1688"/>
      <c r="AI617" s="1688"/>
      <c r="AJ617" s="1688"/>
      <c r="AK617" s="1688"/>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715</v>
      </c>
      <c r="G618" s="1681"/>
      <c r="H618" s="1681"/>
      <c r="I618" s="1681"/>
      <c r="J618" s="1681"/>
      <c r="K618" s="1681"/>
      <c r="L618" s="1681"/>
      <c r="O618" s="149" t="s">
        <v>899</v>
      </c>
      <c r="P618" s="1694"/>
      <c r="Q618" s="1694"/>
      <c r="R618" s="1694"/>
      <c r="U618" s="16" t="s">
        <v>715</v>
      </c>
      <c r="Z618" s="1681"/>
      <c r="AA618" s="1681"/>
      <c r="AB618" s="1681"/>
      <c r="AC618" s="1681"/>
      <c r="AD618" s="1681"/>
      <c r="AE618" s="1681"/>
      <c r="AH618" s="149" t="s">
        <v>899</v>
      </c>
      <c r="AI618" s="1694"/>
      <c r="AJ618" s="1694"/>
      <c r="AK618" s="1694"/>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915</v>
      </c>
      <c r="H619" s="1689"/>
      <c r="I619" s="1689"/>
      <c r="J619" s="1689"/>
      <c r="K619" s="1689"/>
      <c r="L619" s="1689"/>
      <c r="M619" s="1689"/>
      <c r="N619" s="1689"/>
      <c r="O619" s="1689"/>
      <c r="P619" s="1689"/>
      <c r="Q619" s="1689"/>
      <c r="R619" s="1689"/>
      <c r="U619" s="16" t="s">
        <v>915</v>
      </c>
      <c r="AA619" s="1689"/>
      <c r="AB619" s="1689"/>
      <c r="AC619" s="1689"/>
      <c r="AD619" s="1689"/>
      <c r="AE619" s="1689"/>
      <c r="AF619" s="1689"/>
      <c r="AG619" s="1689"/>
      <c r="AH619" s="1689"/>
      <c r="AI619" s="1689"/>
      <c r="AJ619" s="1689"/>
      <c r="AK619" s="1689"/>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917</v>
      </c>
      <c r="N620" s="1686" t="s">
        <v>530</v>
      </c>
      <c r="O620" s="1686"/>
      <c r="U620" s="16" t="s">
        <v>917</v>
      </c>
      <c r="AG620" s="1686" t="s">
        <v>530</v>
      </c>
      <c r="AH620" s="1686"/>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5" t="s">
        <v>137</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75">
      <c r="A625" s="63" t="s">
        <v>718</v>
      </c>
      <c r="B625" s="63"/>
      <c r="C625" s="63" t="s">
        <v>918</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75">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2"/>
      <c r="BP627" s="2152"/>
      <c r="BQ627" s="2152"/>
      <c r="BR627" s="1806"/>
      <c r="BS627" s="1805">
        <f>SUM(BS602:BW626)</f>
        <v>0</v>
      </c>
      <c r="BT627" s="2152"/>
      <c r="BU627" s="2152"/>
      <c r="BV627" s="2152"/>
      <c r="BW627" s="1806"/>
      <c r="BX627" s="1805">
        <f>SUM(BX602:CB626)</f>
        <v>54</v>
      </c>
      <c r="BY627" s="2152"/>
      <c r="BZ627" s="2152"/>
      <c r="CA627" s="2152"/>
      <c r="CB627" s="1806"/>
      <c r="CC627" s="1805">
        <f>SUM(CC602:CG626)</f>
        <v>20</v>
      </c>
      <c r="CD627" s="2152"/>
      <c r="CE627" s="2152"/>
      <c r="CF627" s="2152"/>
      <c r="CG627" s="1806"/>
      <c r="CH627" s="1805">
        <f>SUM(CH602:CL626)</f>
        <v>0</v>
      </c>
      <c r="CI627" s="2152"/>
      <c r="CJ627" s="2152"/>
      <c r="CK627" s="2152"/>
      <c r="CL627" s="1806"/>
      <c r="CM627" s="1805">
        <f>SUM(CM602:CQ626)</f>
        <v>0</v>
      </c>
      <c r="CN627" s="2152"/>
      <c r="CO627" s="2152"/>
      <c r="CP627" s="2152"/>
      <c r="CQ627" s="1806"/>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45</v>
      </c>
      <c r="BH628" s="1806"/>
      <c r="BI628" s="72"/>
      <c r="BJ628" s="72"/>
      <c r="BK628" s="1805">
        <f>SUM(BK603:BL627)</f>
        <v>8</v>
      </c>
      <c r="BL628" s="1806"/>
      <c r="BN628" s="72" t="s">
        <v>1940</v>
      </c>
      <c r="BO628" s="72"/>
      <c r="BP628" s="72"/>
      <c r="BQ628" s="72"/>
      <c r="BR628" s="737">
        <f>BN627*1</f>
        <v>0</v>
      </c>
      <c r="BS628" s="72"/>
      <c r="BT628" s="72"/>
      <c r="BU628" s="72"/>
      <c r="BV628" s="72"/>
      <c r="BW628" s="737">
        <f>BS627*1</f>
        <v>0</v>
      </c>
      <c r="BX628" s="72"/>
      <c r="BY628" s="72"/>
      <c r="BZ628" s="72"/>
      <c r="CA628" s="72"/>
      <c r="CB628" s="737">
        <f>BX627*2</f>
        <v>108</v>
      </c>
      <c r="CC628" s="72"/>
      <c r="CD628" s="72"/>
      <c r="CE628" s="72"/>
      <c r="CF628" s="72"/>
      <c r="CG628" s="737">
        <f>CC627*3</f>
        <v>60</v>
      </c>
      <c r="CH628" s="72"/>
      <c r="CI628" s="72"/>
      <c r="CJ628" s="72"/>
      <c r="CK628" s="72"/>
      <c r="CL628" s="737">
        <f>CH627*4</f>
        <v>0</v>
      </c>
      <c r="CM628" s="72"/>
      <c r="CN628" s="72"/>
      <c r="CO628" s="72"/>
      <c r="CP628" s="72"/>
      <c r="CQ628" s="736">
        <f>CM627*5</f>
        <v>0</v>
      </c>
      <c r="CS628" s="1805">
        <f>SUM(CS603:CW627)</f>
        <v>0</v>
      </c>
      <c r="CT628" s="2152"/>
      <c r="CU628" s="2152"/>
      <c r="CV628" s="2152"/>
      <c r="CW628" s="1806"/>
      <c r="CX628" s="1805">
        <f>SUM(CX603:DB627)</f>
        <v>0</v>
      </c>
      <c r="CY628" s="2152"/>
      <c r="CZ628" s="2152"/>
      <c r="DA628" s="2152"/>
      <c r="DB628" s="1806"/>
      <c r="DC628" s="1805">
        <f>SUM(DC603:DG627)</f>
        <v>6</v>
      </c>
      <c r="DD628" s="2152"/>
      <c r="DE628" s="2152"/>
      <c r="DF628" s="2152"/>
      <c r="DG628" s="1806"/>
      <c r="DH628" s="1805">
        <f>SUM(DH603:DL627)</f>
        <v>2</v>
      </c>
      <c r="DI628" s="2152"/>
      <c r="DJ628" s="2152"/>
      <c r="DK628" s="2152"/>
      <c r="DL628" s="1806"/>
      <c r="DM628" s="1805">
        <f>SUM(DM603:DQ627)</f>
        <v>0</v>
      </c>
      <c r="DN628" s="2152"/>
      <c r="DO628" s="2152"/>
      <c r="DP628" s="2152"/>
      <c r="DQ628" s="1806"/>
      <c r="DR628" s="1805">
        <f>SUM(DR603:DV627)</f>
        <v>0</v>
      </c>
      <c r="DS628" s="2152"/>
      <c r="DT628" s="2152"/>
      <c r="DU628" s="2152"/>
      <c r="DV628" s="1806"/>
    </row>
    <row r="629" spans="1:126" ht="13.5" customHeight="1" thickBot="1">
      <c r="A629" s="1394"/>
      <c r="B629" s="2081" t="s">
        <v>806</v>
      </c>
      <c r="C629" s="2082"/>
      <c r="D629" s="2082"/>
      <c r="E629" s="2082"/>
      <c r="F629" s="2082"/>
      <c r="G629" s="2082"/>
      <c r="H629" s="2082"/>
      <c r="I629" s="2082"/>
      <c r="J629" s="2082"/>
      <c r="K629" s="2082"/>
      <c r="L629" s="2082"/>
      <c r="M629" s="2082"/>
      <c r="N629" s="2083"/>
      <c r="O629" s="1808" t="s">
        <v>488</v>
      </c>
      <c r="P629" s="1809"/>
      <c r="Q629" s="1810"/>
      <c r="R629" s="1808" t="s">
        <v>2280</v>
      </c>
      <c r="S629" s="1809"/>
      <c r="T629" s="1810"/>
      <c r="U629" s="2051" t="s">
        <v>807</v>
      </c>
      <c r="V629" s="2051"/>
      <c r="W629" s="2052"/>
      <c r="X629" s="1808" t="s">
        <v>2281</v>
      </c>
      <c r="Y629" s="1809"/>
      <c r="Z629" s="1809"/>
      <c r="AA629" s="1809"/>
      <c r="AB629" s="1810"/>
      <c r="AC629" s="2057" t="s">
        <v>2282</v>
      </c>
      <c r="AD629" s="2058"/>
      <c r="AE629" s="2059"/>
      <c r="AF629" s="1808" t="s">
        <v>2283</v>
      </c>
      <c r="AG629" s="1809"/>
      <c r="AH629" s="1809"/>
      <c r="AI629" s="1809"/>
      <c r="AJ629" s="1810"/>
      <c r="AK629" s="2066" t="s">
        <v>2284</v>
      </c>
      <c r="AL629" s="2067"/>
      <c r="AM629" s="2067"/>
      <c r="AN629" s="2068"/>
      <c r="AO629" s="2050" t="s">
        <v>808</v>
      </c>
      <c r="AP629" s="2050"/>
      <c r="AQ629" s="2050"/>
      <c r="AR629" s="2050"/>
      <c r="AS629" s="205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168</v>
      </c>
      <c r="CR629" s="72"/>
      <c r="CS629" s="72"/>
    </row>
    <row r="630" spans="1:126" ht="12.75">
      <c r="A630" s="1394"/>
      <c r="B630" s="2084"/>
      <c r="C630" s="2085"/>
      <c r="D630" s="2085"/>
      <c r="E630" s="2085"/>
      <c r="F630" s="2085"/>
      <c r="G630" s="2085"/>
      <c r="H630" s="2085"/>
      <c r="I630" s="2085"/>
      <c r="J630" s="2085"/>
      <c r="K630" s="2085"/>
      <c r="L630" s="2085"/>
      <c r="M630" s="2085"/>
      <c r="N630" s="2086"/>
      <c r="O630" s="1811"/>
      <c r="P630" s="1812"/>
      <c r="Q630" s="1813"/>
      <c r="R630" s="1811"/>
      <c r="S630" s="1812"/>
      <c r="T630" s="1813"/>
      <c r="U630" s="2053"/>
      <c r="V630" s="2053"/>
      <c r="W630" s="2054"/>
      <c r="X630" s="1811"/>
      <c r="Y630" s="1812"/>
      <c r="Z630" s="1812"/>
      <c r="AA630" s="1812"/>
      <c r="AB630" s="1813"/>
      <c r="AC630" s="2060"/>
      <c r="AD630" s="2061"/>
      <c r="AE630" s="2062"/>
      <c r="AF630" s="1811"/>
      <c r="AG630" s="1812"/>
      <c r="AH630" s="1812"/>
      <c r="AI630" s="1812"/>
      <c r="AJ630" s="1813"/>
      <c r="AK630" s="2069"/>
      <c r="AL630" s="2070"/>
      <c r="AM630" s="2070"/>
      <c r="AN630" s="2071"/>
      <c r="AO630" s="2050"/>
      <c r="AP630" s="2050"/>
      <c r="AQ630" s="2050"/>
      <c r="AR630" s="2050"/>
      <c r="AS630" s="2050"/>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1</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50">
        <f>IF(J752="5 Bedrooms",O752,0)</f>
        <v>0</v>
      </c>
      <c r="CN630" s="2151"/>
      <c r="CO630" s="2151"/>
      <c r="CP630" s="2151"/>
      <c r="CQ630" s="1803"/>
      <c r="CR630" s="72"/>
      <c r="CS630" s="72"/>
    </row>
    <row r="631" spans="1:126" ht="12.75" customHeight="1">
      <c r="A631" s="1394"/>
      <c r="B631" s="2087"/>
      <c r="C631" s="2085"/>
      <c r="D631" s="2085"/>
      <c r="E631" s="2085"/>
      <c r="F631" s="2085"/>
      <c r="G631" s="2085"/>
      <c r="H631" s="2085"/>
      <c r="I631" s="2085"/>
      <c r="J631" s="2085"/>
      <c r="K631" s="2085"/>
      <c r="L631" s="2085"/>
      <c r="M631" s="2085"/>
      <c r="N631" s="2086"/>
      <c r="O631" s="1814"/>
      <c r="P631" s="1815"/>
      <c r="Q631" s="1816"/>
      <c r="R631" s="1814"/>
      <c r="S631" s="1815"/>
      <c r="T631" s="1816"/>
      <c r="U631" s="2055"/>
      <c r="V631" s="2055"/>
      <c r="W631" s="2056"/>
      <c r="X631" s="1814"/>
      <c r="Y631" s="1815"/>
      <c r="Z631" s="1815"/>
      <c r="AA631" s="1815"/>
      <c r="AB631" s="1816"/>
      <c r="AC631" s="2063"/>
      <c r="AD631" s="2064"/>
      <c r="AE631" s="2065"/>
      <c r="AF631" s="1814"/>
      <c r="AG631" s="1815"/>
      <c r="AH631" s="1815"/>
      <c r="AI631" s="1815"/>
      <c r="AJ631" s="1816"/>
      <c r="AK631" s="2072"/>
      <c r="AL631" s="2073"/>
      <c r="AM631" s="2073"/>
      <c r="AN631" s="2074"/>
      <c r="AO631" s="2050"/>
      <c r="AP631" s="2050"/>
      <c r="AQ631" s="2050"/>
      <c r="AR631" s="2050"/>
      <c r="AS631" s="2050"/>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0">
        <f>IF(J753="5 Bedrooms",O753,0)</f>
        <v>0</v>
      </c>
      <c r="CN631" s="2151"/>
      <c r="CO631" s="2151"/>
      <c r="CP631" s="2151"/>
      <c r="CQ631" s="1803"/>
      <c r="CR631" s="72"/>
      <c r="CS631" s="72"/>
    </row>
    <row r="632" spans="1:126" ht="12.75" customHeight="1">
      <c r="B632" s="97" t="s">
        <v>1003</v>
      </c>
      <c r="C632" s="1693" t="s">
        <v>2397</v>
      </c>
      <c r="D632" s="1693"/>
      <c r="E632" s="1693"/>
      <c r="F632" s="1693"/>
      <c r="G632" s="1693"/>
      <c r="H632" s="1693"/>
      <c r="I632" s="1693"/>
      <c r="J632" s="1693"/>
      <c r="K632" s="1693"/>
      <c r="L632" s="1693"/>
      <c r="M632" s="1693"/>
      <c r="N632" s="2032"/>
      <c r="O632" s="1969">
        <f>15*12</f>
        <v>180</v>
      </c>
      <c r="P632" s="1847"/>
      <c r="Q632" s="1970"/>
      <c r="R632" s="1969">
        <v>420</v>
      </c>
      <c r="S632" s="1847"/>
      <c r="T632" s="1970"/>
      <c r="U632" s="1971">
        <v>4.7E-2</v>
      </c>
      <c r="V632" s="1972"/>
      <c r="W632" s="1973"/>
      <c r="X632" s="1698" t="s">
        <v>2286</v>
      </c>
      <c r="Y632" s="1974"/>
      <c r="Z632" s="1974"/>
      <c r="AA632" s="1974"/>
      <c r="AB632" s="1975"/>
      <c r="AC632" s="1967">
        <v>1</v>
      </c>
      <c r="AD632" s="1687"/>
      <c r="AE632" s="1968"/>
      <c r="AF632" s="1772">
        <v>590206</v>
      </c>
      <c r="AG632" s="1773"/>
      <c r="AH632" s="1773"/>
      <c r="AI632" s="1773"/>
      <c r="AJ632" s="1774"/>
      <c r="AK632" s="2044"/>
      <c r="AL632" s="2045"/>
      <c r="AM632" s="2045"/>
      <c r="AN632" s="2046"/>
      <c r="AO632" s="1748">
        <v>10126000</v>
      </c>
      <c r="AP632" s="1748"/>
      <c r="AQ632" s="1748"/>
      <c r="AR632" s="1748"/>
      <c r="AS632" s="1748"/>
      <c r="AU632" s="75"/>
      <c r="AV632" s="75"/>
      <c r="AW632" s="75"/>
      <c r="AX632" s="75"/>
      <c r="AY632" s="75"/>
      <c r="BA632" s="72" t="s">
        <v>2266</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0">
        <f>IF(J754="5 Bedrooms",O754,0)</f>
        <v>0</v>
      </c>
      <c r="CN632" s="2151"/>
      <c r="CO632" s="2151"/>
      <c r="CP632" s="2151"/>
      <c r="CQ632" s="1803"/>
      <c r="CR632" s="72"/>
      <c r="CS632" s="72"/>
    </row>
    <row r="633" spans="1:126" ht="12.75">
      <c r="B633" s="98" t="s">
        <v>1004</v>
      </c>
      <c r="C633" s="1693" t="s">
        <v>2395</v>
      </c>
      <c r="D633" s="1693"/>
      <c r="E633" s="1693"/>
      <c r="F633" s="1693"/>
      <c r="G633" s="1693"/>
      <c r="H633" s="1693"/>
      <c r="I633" s="1693"/>
      <c r="J633" s="1693"/>
      <c r="K633" s="1693"/>
      <c r="L633" s="1693"/>
      <c r="M633" s="1693"/>
      <c r="N633" s="2032"/>
      <c r="O633" s="1969">
        <v>660</v>
      </c>
      <c r="P633" s="1847"/>
      <c r="Q633" s="1970"/>
      <c r="R633" s="1969">
        <v>660</v>
      </c>
      <c r="S633" s="1847"/>
      <c r="T633" s="1970"/>
      <c r="U633" s="1971">
        <v>0.03</v>
      </c>
      <c r="V633" s="1972"/>
      <c r="W633" s="1973"/>
      <c r="X633" s="1698" t="s">
        <v>863</v>
      </c>
      <c r="Y633" s="1974"/>
      <c r="Z633" s="1974"/>
      <c r="AA633" s="1974"/>
      <c r="AB633" s="1975"/>
      <c r="AC633" s="1967">
        <v>2</v>
      </c>
      <c r="AD633" s="1687"/>
      <c r="AE633" s="1968"/>
      <c r="AF633" s="1772"/>
      <c r="AG633" s="1773"/>
      <c r="AH633" s="1773"/>
      <c r="AI633" s="1773"/>
      <c r="AJ633" s="1774"/>
      <c r="AK633" s="2044"/>
      <c r="AL633" s="2045"/>
      <c r="AM633" s="2045"/>
      <c r="AN633" s="2046"/>
      <c r="AO633" s="1748">
        <v>14250000</v>
      </c>
      <c r="AP633" s="1748"/>
      <c r="AQ633" s="1748"/>
      <c r="AR633" s="1748"/>
      <c r="AS633" s="1748"/>
      <c r="AU633" s="75"/>
      <c r="AV633" s="75"/>
      <c r="AW633" s="75"/>
      <c r="AX633" s="75"/>
      <c r="AY633" s="75"/>
      <c r="BA633" s="72" t="s">
        <v>864</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0">
        <f>IF(J755="5 Bedrooms",O755,0)</f>
        <v>0</v>
      </c>
      <c r="CN633" s="2151"/>
      <c r="CO633" s="2151"/>
      <c r="CP633" s="2151"/>
      <c r="CQ633" s="1803"/>
      <c r="CR633" s="72"/>
      <c r="CS633" s="72"/>
    </row>
    <row r="634" spans="1:126" ht="12.75">
      <c r="B634" s="98" t="s">
        <v>1010</v>
      </c>
      <c r="C634" s="1693" t="s">
        <v>2396</v>
      </c>
      <c r="D634" s="1693"/>
      <c r="E634" s="1693"/>
      <c r="F634" s="1693"/>
      <c r="G634" s="1693"/>
      <c r="H634" s="1693"/>
      <c r="I634" s="1693"/>
      <c r="J634" s="1693"/>
      <c r="K634" s="1693"/>
      <c r="L634" s="1693"/>
      <c r="M634" s="1693"/>
      <c r="N634" s="2032"/>
      <c r="O634" s="2047"/>
      <c r="P634" s="2048"/>
      <c r="Q634" s="2049"/>
      <c r="R634" s="1969"/>
      <c r="S634" s="1847"/>
      <c r="T634" s="1970"/>
      <c r="U634" s="1971">
        <v>0</v>
      </c>
      <c r="V634" s="1972"/>
      <c r="W634" s="1973"/>
      <c r="X634" s="1698" t="s">
        <v>547</v>
      </c>
      <c r="Y634" s="1974"/>
      <c r="Z634" s="1974"/>
      <c r="AA634" s="1974"/>
      <c r="AB634" s="1975"/>
      <c r="AC634" s="1967"/>
      <c r="AD634" s="1687"/>
      <c r="AE634" s="1968"/>
      <c r="AF634" s="1772"/>
      <c r="AG634" s="1773"/>
      <c r="AH634" s="1773"/>
      <c r="AI634" s="1773"/>
      <c r="AJ634" s="1774"/>
      <c r="AK634" s="2044"/>
      <c r="AL634" s="2045"/>
      <c r="AM634" s="2045"/>
      <c r="AN634" s="2046"/>
      <c r="AO634" s="1748">
        <v>3750000</v>
      </c>
      <c r="AP634" s="1748"/>
      <c r="AQ634" s="1748"/>
      <c r="AR634" s="1748"/>
      <c r="AS634" s="1748"/>
      <c r="AU634" s="75"/>
      <c r="AV634" s="75"/>
      <c r="AW634" s="75"/>
      <c r="AX634" s="75"/>
      <c r="AY634" s="75"/>
      <c r="AZ634" s="75"/>
      <c r="BA634" s="72" t="s">
        <v>863</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2270</v>
      </c>
      <c r="CU634" s="72"/>
    </row>
    <row r="635" spans="1:126" ht="12.75">
      <c r="B635" s="98" t="s">
        <v>479</v>
      </c>
      <c r="C635" s="1693" t="s">
        <v>2465</v>
      </c>
      <c r="D635" s="1693"/>
      <c r="E635" s="1693"/>
      <c r="F635" s="1693"/>
      <c r="G635" s="1693"/>
      <c r="H635" s="1693"/>
      <c r="I635" s="1693"/>
      <c r="J635" s="1693"/>
      <c r="K635" s="1693"/>
      <c r="L635" s="1693"/>
      <c r="M635" s="1693"/>
      <c r="N635" s="2032"/>
      <c r="O635" s="2047"/>
      <c r="P635" s="2048"/>
      <c r="Q635" s="2049"/>
      <c r="R635" s="1969"/>
      <c r="S635" s="1847"/>
      <c r="T635" s="1970"/>
      <c r="U635" s="1971"/>
      <c r="V635" s="1972"/>
      <c r="W635" s="1973"/>
      <c r="X635" s="1698" t="s">
        <v>547</v>
      </c>
      <c r="Y635" s="1974"/>
      <c r="Z635" s="1974"/>
      <c r="AA635" s="1974"/>
      <c r="AB635" s="1975"/>
      <c r="AC635" s="1967"/>
      <c r="AD635" s="1687"/>
      <c r="AE635" s="1968"/>
      <c r="AF635" s="1772"/>
      <c r="AG635" s="1773"/>
      <c r="AH635" s="1773"/>
      <c r="AI635" s="1773"/>
      <c r="AJ635" s="1774"/>
      <c r="AK635" s="2044"/>
      <c r="AL635" s="2045"/>
      <c r="AM635" s="2045"/>
      <c r="AN635" s="2046"/>
      <c r="AO635" s="1748">
        <v>178192</v>
      </c>
      <c r="AP635" s="1748"/>
      <c r="AQ635" s="1748"/>
      <c r="AR635" s="1748"/>
      <c r="AS635" s="1748"/>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3"/>
      <c r="D636" s="1693"/>
      <c r="E636" s="1693"/>
      <c r="F636" s="1693"/>
      <c r="G636" s="1693"/>
      <c r="H636" s="1693"/>
      <c r="I636" s="1693"/>
      <c r="J636" s="1693"/>
      <c r="K636" s="1693"/>
      <c r="L636" s="1693"/>
      <c r="M636" s="1693"/>
      <c r="N636" s="2032"/>
      <c r="O636" s="2047"/>
      <c r="P636" s="2048"/>
      <c r="Q636" s="2049"/>
      <c r="R636" s="1969"/>
      <c r="S636" s="1847"/>
      <c r="T636" s="1970"/>
      <c r="U636" s="1971"/>
      <c r="V636" s="1972"/>
      <c r="W636" s="1973"/>
      <c r="X636" s="1698"/>
      <c r="Y636" s="1974"/>
      <c r="Z636" s="1974"/>
      <c r="AA636" s="1974"/>
      <c r="AB636" s="1975"/>
      <c r="AC636" s="1967"/>
      <c r="AD636" s="1687"/>
      <c r="AE636" s="1968"/>
      <c r="AF636" s="1772"/>
      <c r="AG636" s="1773"/>
      <c r="AH636" s="1773"/>
      <c r="AI636" s="1773"/>
      <c r="AJ636" s="1774"/>
      <c r="AK636" s="2044"/>
      <c r="AL636" s="2045"/>
      <c r="AM636" s="2045"/>
      <c r="AN636" s="2046"/>
      <c r="AO636" s="1748"/>
      <c r="AP636" s="1748"/>
      <c r="AQ636" s="1748"/>
      <c r="AR636" s="1748"/>
      <c r="AS636" s="1748"/>
      <c r="AT636" s="75"/>
      <c r="AU636" s="75"/>
      <c r="AV636" s="75"/>
      <c r="AW636" s="75"/>
      <c r="AX636" s="75"/>
      <c r="AY636" s="75"/>
      <c r="AZ636" s="75"/>
      <c r="BA636" s="72" t="s">
        <v>547</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75">
      <c r="B637" s="98" t="s">
        <v>482</v>
      </c>
      <c r="C637" s="1693"/>
      <c r="D637" s="1693"/>
      <c r="E637" s="1693"/>
      <c r="F637" s="1693"/>
      <c r="G637" s="1693"/>
      <c r="H637" s="1693"/>
      <c r="I637" s="1693"/>
      <c r="J637" s="1693"/>
      <c r="K637" s="1693"/>
      <c r="L637" s="1693"/>
      <c r="M637" s="1693"/>
      <c r="N637" s="2032"/>
      <c r="O637" s="2047"/>
      <c r="P637" s="2048"/>
      <c r="Q637" s="2049"/>
      <c r="R637" s="1969"/>
      <c r="S637" s="1847"/>
      <c r="T637" s="1970"/>
      <c r="U637" s="1971"/>
      <c r="V637" s="1972"/>
      <c r="W637" s="1973"/>
      <c r="X637" s="1698"/>
      <c r="Y637" s="1974"/>
      <c r="Z637" s="1974"/>
      <c r="AA637" s="1974"/>
      <c r="AB637" s="1975"/>
      <c r="AC637" s="1967"/>
      <c r="AD637" s="1687"/>
      <c r="AE637" s="1968"/>
      <c r="AF637" s="1772"/>
      <c r="AG637" s="1773"/>
      <c r="AH637" s="1773"/>
      <c r="AI637" s="1773"/>
      <c r="AJ637" s="1774"/>
      <c r="AK637" s="2044"/>
      <c r="AL637" s="2045"/>
      <c r="AM637" s="2045"/>
      <c r="AN637" s="2046"/>
      <c r="AO637" s="1748"/>
      <c r="AP637" s="1748"/>
      <c r="AQ637" s="1748"/>
      <c r="AR637" s="1748"/>
      <c r="AS637" s="1748"/>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75">
      <c r="B638" s="98" t="s">
        <v>809</v>
      </c>
      <c r="C638" s="1693"/>
      <c r="D638" s="1693"/>
      <c r="E638" s="1693"/>
      <c r="F638" s="1693"/>
      <c r="G638" s="1693"/>
      <c r="H638" s="1693"/>
      <c r="I638" s="1693"/>
      <c r="J638" s="1693"/>
      <c r="K638" s="1693"/>
      <c r="L638" s="1693"/>
      <c r="M638" s="1693"/>
      <c r="N638" s="2032"/>
      <c r="O638" s="2047"/>
      <c r="P638" s="2048"/>
      <c r="Q638" s="2049"/>
      <c r="R638" s="1969"/>
      <c r="S638" s="1847"/>
      <c r="T638" s="1970"/>
      <c r="U638" s="1971"/>
      <c r="V638" s="1972"/>
      <c r="W638" s="1973"/>
      <c r="X638" s="1698"/>
      <c r="Y638" s="1974"/>
      <c r="Z638" s="1974"/>
      <c r="AA638" s="1974"/>
      <c r="AB638" s="1975"/>
      <c r="AC638" s="1967"/>
      <c r="AD638" s="1687"/>
      <c r="AE638" s="1968"/>
      <c r="AF638" s="1772"/>
      <c r="AG638" s="1773"/>
      <c r="AH638" s="1773"/>
      <c r="AI638" s="1773"/>
      <c r="AJ638" s="1774"/>
      <c r="AK638" s="2044"/>
      <c r="AL638" s="2045"/>
      <c r="AM638" s="2045"/>
      <c r="AN638" s="2046"/>
      <c r="AO638" s="1748"/>
      <c r="AP638" s="1748"/>
      <c r="AQ638" s="1748"/>
      <c r="AR638" s="1748"/>
      <c r="AS638" s="1748"/>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75">
      <c r="B639" s="98" t="s">
        <v>810</v>
      </c>
      <c r="C639" s="1693"/>
      <c r="D639" s="1693"/>
      <c r="E639" s="1693"/>
      <c r="F639" s="1693"/>
      <c r="G639" s="1693"/>
      <c r="H639" s="1693"/>
      <c r="I639" s="1693"/>
      <c r="J639" s="1693"/>
      <c r="K639" s="1693"/>
      <c r="L639" s="1693"/>
      <c r="M639" s="1693"/>
      <c r="N639" s="2032"/>
      <c r="O639" s="2047"/>
      <c r="P639" s="2048"/>
      <c r="Q639" s="2049"/>
      <c r="R639" s="1969"/>
      <c r="S639" s="1847"/>
      <c r="T639" s="1970"/>
      <c r="U639" s="1971"/>
      <c r="V639" s="1972"/>
      <c r="W639" s="1973"/>
      <c r="X639" s="1698"/>
      <c r="Y639" s="1974"/>
      <c r="Z639" s="1974"/>
      <c r="AA639" s="1974"/>
      <c r="AB639" s="1975"/>
      <c r="AC639" s="1967"/>
      <c r="AD639" s="1687"/>
      <c r="AE639" s="1968"/>
      <c r="AF639" s="1772"/>
      <c r="AG639" s="1773"/>
      <c r="AH639" s="1773"/>
      <c r="AI639" s="1773"/>
      <c r="AJ639" s="1774"/>
      <c r="AK639" s="2044"/>
      <c r="AL639" s="2045"/>
      <c r="AM639" s="2045"/>
      <c r="AN639" s="2046"/>
      <c r="AO639" s="1748"/>
      <c r="AP639" s="1748"/>
      <c r="AQ639" s="1748"/>
      <c r="AR639" s="1748"/>
      <c r="AS639" s="1748"/>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75">
      <c r="B640" s="98" t="s">
        <v>605</v>
      </c>
      <c r="C640" s="1693"/>
      <c r="D640" s="1693"/>
      <c r="E640" s="1693"/>
      <c r="F640" s="1693"/>
      <c r="G640" s="1693"/>
      <c r="H640" s="1693"/>
      <c r="I640" s="1693"/>
      <c r="J640" s="1693"/>
      <c r="K640" s="1693"/>
      <c r="L640" s="1693"/>
      <c r="M640" s="1693"/>
      <c r="N640" s="2032"/>
      <c r="O640" s="2047"/>
      <c r="P640" s="2048"/>
      <c r="Q640" s="2049"/>
      <c r="R640" s="1969"/>
      <c r="S640" s="1847"/>
      <c r="T640" s="1970"/>
      <c r="U640" s="1971"/>
      <c r="V640" s="1972"/>
      <c r="W640" s="1973"/>
      <c r="X640" s="1698"/>
      <c r="Y640" s="1974"/>
      <c r="Z640" s="1974"/>
      <c r="AA640" s="1974"/>
      <c r="AB640" s="1975"/>
      <c r="AC640" s="1967"/>
      <c r="AD640" s="1687"/>
      <c r="AE640" s="1968"/>
      <c r="AF640" s="1772"/>
      <c r="AG640" s="1773"/>
      <c r="AH640" s="1773"/>
      <c r="AI640" s="1773"/>
      <c r="AJ640" s="1774"/>
      <c r="AK640" s="2044"/>
      <c r="AL640" s="2045"/>
      <c r="AM640" s="2045"/>
      <c r="AN640" s="2046"/>
      <c r="AO640" s="1748"/>
      <c r="AP640" s="1748"/>
      <c r="AQ640" s="1748"/>
      <c r="AR640" s="1748"/>
      <c r="AS640" s="1748"/>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75">
      <c r="B641" s="98" t="s">
        <v>190</v>
      </c>
      <c r="C641" s="1693"/>
      <c r="D641" s="1693"/>
      <c r="E641" s="1693"/>
      <c r="F641" s="1693"/>
      <c r="G641" s="1693"/>
      <c r="H641" s="1693"/>
      <c r="I641" s="1693"/>
      <c r="J641" s="1693"/>
      <c r="K641" s="1693"/>
      <c r="L641" s="1693"/>
      <c r="M641" s="1693"/>
      <c r="N641" s="2032"/>
      <c r="O641" s="2047"/>
      <c r="P641" s="2048"/>
      <c r="Q641" s="2049"/>
      <c r="R641" s="1969"/>
      <c r="S641" s="1847"/>
      <c r="T641" s="1970"/>
      <c r="U641" s="1971"/>
      <c r="V641" s="1972"/>
      <c r="W641" s="1973"/>
      <c r="X641" s="1698"/>
      <c r="Y641" s="1974"/>
      <c r="Z641" s="1974"/>
      <c r="AA641" s="1974"/>
      <c r="AB641" s="1975"/>
      <c r="AC641" s="1967"/>
      <c r="AD641" s="1687"/>
      <c r="AE641" s="1968"/>
      <c r="AF641" s="1772"/>
      <c r="AG641" s="1773"/>
      <c r="AH641" s="1773"/>
      <c r="AI641" s="1773"/>
      <c r="AJ641" s="1774"/>
      <c r="AK641" s="2044"/>
      <c r="AL641" s="2045"/>
      <c r="AM641" s="2045"/>
      <c r="AN641" s="2046"/>
      <c r="AO641" s="1748"/>
      <c r="AP641" s="1748"/>
      <c r="AQ641" s="1748"/>
      <c r="AR641" s="1748"/>
      <c r="AS641" s="1748"/>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75">
      <c r="B642" s="98" t="s">
        <v>37</v>
      </c>
      <c r="C642" s="1693"/>
      <c r="D642" s="1693"/>
      <c r="E642" s="1693"/>
      <c r="F642" s="1693"/>
      <c r="G642" s="1693"/>
      <c r="H642" s="1693"/>
      <c r="I642" s="1693"/>
      <c r="J642" s="1693"/>
      <c r="K642" s="1693"/>
      <c r="L642" s="1693"/>
      <c r="M642" s="1693"/>
      <c r="N642" s="2032"/>
      <c r="O642" s="2047"/>
      <c r="P642" s="2048"/>
      <c r="Q642" s="2049"/>
      <c r="R642" s="1969"/>
      <c r="S642" s="1847"/>
      <c r="T642" s="1970"/>
      <c r="U642" s="1971"/>
      <c r="V642" s="1972"/>
      <c r="W642" s="1973"/>
      <c r="X642" s="1698"/>
      <c r="Y642" s="1974"/>
      <c r="Z642" s="1974"/>
      <c r="AA642" s="1974"/>
      <c r="AB642" s="1975"/>
      <c r="AC642" s="1967"/>
      <c r="AD642" s="1687"/>
      <c r="AE642" s="1968"/>
      <c r="AF642" s="1772"/>
      <c r="AG642" s="1773"/>
      <c r="AH642" s="1773"/>
      <c r="AI642" s="1773"/>
      <c r="AJ642" s="1774"/>
      <c r="AK642" s="2044"/>
      <c r="AL642" s="2045"/>
      <c r="AM642" s="2045"/>
      <c r="AN642" s="2046"/>
      <c r="AO642" s="1748"/>
      <c r="AP642" s="1748"/>
      <c r="AQ642" s="1748"/>
      <c r="AR642" s="1748"/>
      <c r="AS642" s="1748"/>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93"/>
      <c r="D643" s="1693"/>
      <c r="E643" s="1693"/>
      <c r="F643" s="1693"/>
      <c r="G643" s="1693"/>
      <c r="H643" s="1693"/>
      <c r="I643" s="1693"/>
      <c r="J643" s="1693"/>
      <c r="K643" s="1693"/>
      <c r="L643" s="1693"/>
      <c r="M643" s="1693"/>
      <c r="N643" s="2032"/>
      <c r="O643" s="2047"/>
      <c r="P643" s="2048"/>
      <c r="Q643" s="2049"/>
      <c r="R643" s="1969"/>
      <c r="S643" s="1847"/>
      <c r="T643" s="1970"/>
      <c r="U643" s="1971"/>
      <c r="V643" s="1972"/>
      <c r="W643" s="1973"/>
      <c r="X643" s="1698"/>
      <c r="Y643" s="1974"/>
      <c r="Z643" s="1974"/>
      <c r="AA643" s="1974"/>
      <c r="AB643" s="1975"/>
      <c r="AC643" s="1967"/>
      <c r="AD643" s="1687"/>
      <c r="AE643" s="1968"/>
      <c r="AF643" s="1772"/>
      <c r="AG643" s="1773"/>
      <c r="AH643" s="1773"/>
      <c r="AI643" s="1773"/>
      <c r="AJ643" s="1774"/>
      <c r="AK643" s="2044"/>
      <c r="AL643" s="2045"/>
      <c r="AM643" s="2045"/>
      <c r="AN643" s="2046"/>
      <c r="AO643" s="1748"/>
      <c r="AP643" s="1748"/>
      <c r="AQ643" s="1748"/>
      <c r="AR643" s="1748"/>
      <c r="AS643" s="1748"/>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86" t="s">
        <v>401</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28304192</v>
      </c>
      <c r="AP644" s="1709"/>
      <c r="AQ644" s="1709"/>
      <c r="AR644" s="1709"/>
      <c r="AS644" s="1710"/>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75">
      <c r="B645" s="1786" t="s">
        <v>402</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v>12450444</v>
      </c>
      <c r="AP645" s="1702"/>
      <c r="AQ645" s="1702"/>
      <c r="AR645" s="1702"/>
      <c r="AS645" s="1703"/>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75">
      <c r="B646" s="2078" t="s">
        <v>1043</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8">
        <f>AO644+AO645</f>
        <v>40754636</v>
      </c>
      <c r="AP646" s="1709"/>
      <c r="AQ646" s="1709"/>
      <c r="AR646" s="1709"/>
      <c r="AS646" s="1710"/>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2" t="str">
        <f>C632</f>
        <v>US Bank Permanent Loan</v>
      </c>
      <c r="H648" s="1842"/>
      <c r="I648" s="1842"/>
      <c r="J648" s="1842"/>
      <c r="K648" s="1842"/>
      <c r="L648" s="1842"/>
      <c r="M648" s="1842"/>
      <c r="N648" s="1842"/>
      <c r="O648" s="1842"/>
      <c r="P648" s="1842"/>
      <c r="Q648" s="1842"/>
      <c r="R648" s="1842"/>
      <c r="S648" s="18"/>
      <c r="T648" s="101" t="s">
        <v>1004</v>
      </c>
      <c r="U648" s="16" t="s">
        <v>92</v>
      </c>
      <c r="Z648" s="1842" t="str">
        <f>C633</f>
        <v>Price Philanthropies Soft Loan</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5" thickBot="1">
      <c r="A649" s="46"/>
      <c r="B649" s="16" t="s">
        <v>415</v>
      </c>
      <c r="G649" s="1689" t="s">
        <v>2471</v>
      </c>
      <c r="H649" s="1689"/>
      <c r="I649" s="1689"/>
      <c r="J649" s="1689"/>
      <c r="K649" s="1689"/>
      <c r="L649" s="1689"/>
      <c r="M649" s="1689"/>
      <c r="N649" s="1689"/>
      <c r="O649" s="1689"/>
      <c r="P649" s="1689"/>
      <c r="Q649" s="1689"/>
      <c r="R649" s="1689"/>
      <c r="S649" s="18"/>
      <c r="T649" s="46"/>
      <c r="U649" s="16" t="s">
        <v>415</v>
      </c>
      <c r="Z649" s="1689" t="s">
        <v>2453</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89" t="s">
        <v>2472</v>
      </c>
      <c r="H650" s="1689"/>
      <c r="I650" s="1689"/>
      <c r="J650" s="1689"/>
      <c r="K650" s="1689"/>
      <c r="L650" s="1689"/>
      <c r="M650" s="1689"/>
      <c r="N650" s="1689"/>
      <c r="O650" s="1689"/>
      <c r="P650" s="1689"/>
      <c r="Q650" s="1689"/>
      <c r="R650" s="1689"/>
      <c r="S650" s="102"/>
      <c r="T650" s="46"/>
      <c r="U650" s="16" t="s">
        <v>478</v>
      </c>
      <c r="Z650" s="1688" t="s">
        <v>2454</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1944</v>
      </c>
      <c r="CQ650" s="738">
        <f>CQ648+CQ629</f>
        <v>168</v>
      </c>
      <c r="CR650" s="72"/>
      <c r="CS650" s="72"/>
    </row>
    <row r="651" spans="1:97" ht="12.75">
      <c r="A651" s="46"/>
      <c r="B651" s="16" t="s">
        <v>914</v>
      </c>
      <c r="G651" s="1689" t="s">
        <v>2473</v>
      </c>
      <c r="H651" s="1689"/>
      <c r="I651" s="1689"/>
      <c r="J651" s="1689"/>
      <c r="K651" s="1689"/>
      <c r="L651" s="1689"/>
      <c r="M651" s="1689"/>
      <c r="N651" s="1689"/>
      <c r="O651" s="1689"/>
      <c r="P651" s="1689"/>
      <c r="Q651" s="1689"/>
      <c r="R651" s="1689"/>
      <c r="S651" s="18"/>
      <c r="T651" s="46"/>
      <c r="U651" s="16" t="s">
        <v>914</v>
      </c>
      <c r="Z651" s="1688" t="s">
        <v>2476</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0" t="s">
        <v>2474</v>
      </c>
      <c r="H652" s="1681"/>
      <c r="I652" s="1681"/>
      <c r="J652" s="1681"/>
      <c r="K652" s="1681"/>
      <c r="L652" s="1681"/>
      <c r="O652" s="149" t="s">
        <v>899</v>
      </c>
      <c r="P652" s="1694"/>
      <c r="Q652" s="1694"/>
      <c r="R652" s="1694"/>
      <c r="S652" s="20"/>
      <c r="T652" s="46"/>
      <c r="U652" s="16" t="s">
        <v>715</v>
      </c>
      <c r="Z652" s="1680" t="s">
        <v>2477</v>
      </c>
      <c r="AA652" s="1681"/>
      <c r="AB652" s="1681"/>
      <c r="AC652" s="1681"/>
      <c r="AD652" s="1681"/>
      <c r="AE652" s="1681"/>
      <c r="AH652" s="149" t="s">
        <v>899</v>
      </c>
      <c r="AI652" s="1694"/>
      <c r="AJ652" s="1694"/>
      <c r="AK652" s="1694"/>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0</v>
      </c>
      <c r="BT652" s="2154"/>
      <c r="BU652" s="2154"/>
      <c r="BV652" s="2154"/>
      <c r="BW652" s="2155"/>
      <c r="BX652" s="2153">
        <f>BX627+BX634+BX646</f>
        <v>55</v>
      </c>
      <c r="BY652" s="2154"/>
      <c r="BZ652" s="2154"/>
      <c r="CA652" s="2154"/>
      <c r="CB652" s="2155"/>
      <c r="CC652" s="2153">
        <f>CC627+CC634+CC646</f>
        <v>20</v>
      </c>
      <c r="CD652" s="2154"/>
      <c r="CE652" s="2154"/>
      <c r="CF652" s="2154"/>
      <c r="CG652" s="2155"/>
      <c r="CH652" s="2153">
        <f>CH627+CH634+CH646</f>
        <v>0</v>
      </c>
      <c r="CI652" s="2154"/>
      <c r="CJ652" s="2154"/>
      <c r="CK652" s="2154"/>
      <c r="CL652" s="2155"/>
      <c r="CM652" s="1805">
        <f>CM646+CM634+CM627</f>
        <v>0</v>
      </c>
      <c r="CN652" s="2152"/>
      <c r="CO652" s="2152"/>
      <c r="CP652" s="2152"/>
      <c r="CQ652" s="1806"/>
      <c r="CR652" s="72"/>
      <c r="CS652" s="72"/>
    </row>
    <row r="653" spans="1:97" ht="12.75">
      <c r="A653" s="46"/>
      <c r="B653" s="16" t="s">
        <v>915</v>
      </c>
      <c r="H653" s="1689" t="s">
        <v>2486</v>
      </c>
      <c r="I653" s="1689"/>
      <c r="J653" s="1689"/>
      <c r="K653" s="1689"/>
      <c r="L653" s="1689"/>
      <c r="M653" s="1689"/>
      <c r="N653" s="1689"/>
      <c r="O653" s="1689"/>
      <c r="P653" s="1689"/>
      <c r="Q653" s="1689"/>
      <c r="R653" s="1689"/>
      <c r="S653" s="18"/>
      <c r="T653" s="46"/>
      <c r="U653" s="16" t="s">
        <v>915</v>
      </c>
      <c r="AA653" s="1689" t="s">
        <v>2478</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6" t="s">
        <v>118</v>
      </c>
      <c r="O654" s="1686"/>
      <c r="T654" s="46"/>
      <c r="U654" s="16" t="s">
        <v>917</v>
      </c>
      <c r="AG654" s="1686" t="s">
        <v>118</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2" t="str">
        <f>C634</f>
        <v>Price Philanthropies Land Donation</v>
      </c>
      <c r="H656" s="1842"/>
      <c r="I656" s="1842"/>
      <c r="J656" s="1842"/>
      <c r="K656" s="1842"/>
      <c r="L656" s="1842"/>
      <c r="M656" s="1842"/>
      <c r="N656" s="1842"/>
      <c r="O656" s="1842"/>
      <c r="P656" s="1842"/>
      <c r="Q656" s="1842"/>
      <c r="R656" s="1842"/>
      <c r="T656" s="101" t="s">
        <v>479</v>
      </c>
      <c r="U656" s="16" t="s">
        <v>92</v>
      </c>
      <c r="Z656" s="1842" t="str">
        <f>C635</f>
        <v>RTCIP Fee Waiver</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89" t="s">
        <v>2453</v>
      </c>
      <c r="H657" s="1689"/>
      <c r="I657" s="1689"/>
      <c r="J657" s="1689"/>
      <c r="K657" s="1689"/>
      <c r="L657" s="1689"/>
      <c r="M657" s="1689"/>
      <c r="N657" s="1689"/>
      <c r="O657" s="1689"/>
      <c r="P657" s="1689"/>
      <c r="Q657" s="1689"/>
      <c r="R657" s="1689"/>
      <c r="T657" s="46"/>
      <c r="U657" s="16" t="s">
        <v>415</v>
      </c>
      <c r="Z657" s="1689" t="s">
        <v>2480</v>
      </c>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88" t="s">
        <v>2454</v>
      </c>
      <c r="H658" s="1688"/>
      <c r="I658" s="1688"/>
      <c r="J658" s="1688"/>
      <c r="K658" s="1688"/>
      <c r="L658" s="1688"/>
      <c r="M658" s="1688"/>
      <c r="N658" s="1688"/>
      <c r="O658" s="1688"/>
      <c r="P658" s="1688"/>
      <c r="Q658" s="1688"/>
      <c r="R658" s="1688"/>
      <c r="T658" s="46"/>
      <c r="U658" s="16" t="s">
        <v>478</v>
      </c>
      <c r="Z658" s="1688" t="s">
        <v>123</v>
      </c>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88" t="s">
        <v>2476</v>
      </c>
      <c r="H659" s="1688"/>
      <c r="I659" s="1688"/>
      <c r="J659" s="1688"/>
      <c r="K659" s="1688"/>
      <c r="L659" s="1688"/>
      <c r="M659" s="1688"/>
      <c r="N659" s="1688"/>
      <c r="O659" s="1688"/>
      <c r="P659" s="1688"/>
      <c r="Q659" s="1688"/>
      <c r="R659" s="1688"/>
      <c r="T659" s="46"/>
      <c r="U659" s="16" t="s">
        <v>914</v>
      </c>
      <c r="Z659" s="1688" t="s">
        <v>2481</v>
      </c>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0" t="s">
        <v>2477</v>
      </c>
      <c r="H660" s="1681"/>
      <c r="I660" s="1681"/>
      <c r="J660" s="1681"/>
      <c r="K660" s="1681"/>
      <c r="L660" s="1681"/>
      <c r="O660" s="149" t="s">
        <v>899</v>
      </c>
      <c r="P660" s="1694"/>
      <c r="Q660" s="1694"/>
      <c r="R660" s="1694"/>
      <c r="T660" s="46"/>
      <c r="U660" s="16" t="s">
        <v>715</v>
      </c>
      <c r="Z660" s="1680" t="s">
        <v>2487</v>
      </c>
      <c r="AA660" s="1681"/>
      <c r="AB660" s="1681"/>
      <c r="AC660" s="1681"/>
      <c r="AD660" s="1681"/>
      <c r="AE660" s="1681"/>
      <c r="AH660" s="149" t="s">
        <v>899</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9" t="s">
        <v>2479</v>
      </c>
      <c r="I661" s="1689"/>
      <c r="J661" s="1689"/>
      <c r="K661" s="1689"/>
      <c r="L661" s="1689"/>
      <c r="M661" s="1689"/>
      <c r="N661" s="1689"/>
      <c r="O661" s="1689"/>
      <c r="P661" s="1689"/>
      <c r="Q661" s="1689"/>
      <c r="R661" s="1689"/>
      <c r="T661" s="46"/>
      <c r="U661" s="16" t="s">
        <v>915</v>
      </c>
      <c r="AA661" s="1689" t="s">
        <v>2483</v>
      </c>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6" t="s">
        <v>118</v>
      </c>
      <c r="O662" s="1686"/>
      <c r="T662" s="46"/>
      <c r="U662" s="16" t="s">
        <v>917</v>
      </c>
      <c r="AG662" s="1686" t="s">
        <v>118</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2">
        <f>C636</f>
        <v>0</v>
      </c>
      <c r="H664" s="1842"/>
      <c r="I664" s="1842"/>
      <c r="J664" s="1842"/>
      <c r="K664" s="1842"/>
      <c r="L664" s="1842"/>
      <c r="M664" s="1842"/>
      <c r="N664" s="1842"/>
      <c r="O664" s="1842"/>
      <c r="P664" s="1842"/>
      <c r="Q664" s="1842"/>
      <c r="R664" s="1842"/>
      <c r="T664" s="101" t="s">
        <v>482</v>
      </c>
      <c r="U664" s="16" t="s">
        <v>92</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89"/>
      <c r="H665" s="1689"/>
      <c r="I665" s="1689"/>
      <c r="J665" s="1689"/>
      <c r="K665" s="1689"/>
      <c r="L665" s="1689"/>
      <c r="M665" s="1689"/>
      <c r="N665" s="1689"/>
      <c r="O665" s="1689"/>
      <c r="P665" s="1689"/>
      <c r="Q665" s="1689"/>
      <c r="R665" s="1689"/>
      <c r="T665" s="46"/>
      <c r="U665" s="16" t="s">
        <v>415</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89"/>
      <c r="H666" s="1689"/>
      <c r="I666" s="1689"/>
      <c r="J666" s="1689"/>
      <c r="K666" s="1689"/>
      <c r="L666" s="1689"/>
      <c r="M666" s="1689"/>
      <c r="N666" s="1689"/>
      <c r="O666" s="1689"/>
      <c r="P666" s="1689"/>
      <c r="Q666" s="1689"/>
      <c r="R666" s="1689"/>
      <c r="T666" s="46"/>
      <c r="U666" s="16" t="s">
        <v>478</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89"/>
      <c r="H667" s="1689"/>
      <c r="I667" s="1689"/>
      <c r="J667" s="1689"/>
      <c r="K667" s="1689"/>
      <c r="L667" s="1689"/>
      <c r="M667" s="1689"/>
      <c r="N667" s="1689"/>
      <c r="O667" s="1689"/>
      <c r="P667" s="1689"/>
      <c r="Q667" s="1689"/>
      <c r="R667" s="1689"/>
      <c r="T667" s="46"/>
      <c r="U667" s="16" t="s">
        <v>914</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0"/>
      <c r="H668" s="1681"/>
      <c r="I668" s="1681"/>
      <c r="J668" s="1681"/>
      <c r="K668" s="1681"/>
      <c r="L668" s="1681"/>
      <c r="O668" s="149" t="s">
        <v>899</v>
      </c>
      <c r="P668" s="1694"/>
      <c r="Q668" s="1694"/>
      <c r="R668" s="1694"/>
      <c r="T668" s="46"/>
      <c r="U668" s="16" t="s">
        <v>715</v>
      </c>
      <c r="Z668" s="1681"/>
      <c r="AA668" s="1681"/>
      <c r="AB668" s="1681"/>
      <c r="AC668" s="1681"/>
      <c r="AD668" s="1681"/>
      <c r="AE668" s="1681"/>
      <c r="AH668" s="149" t="s">
        <v>899</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89"/>
      <c r="I669" s="1689"/>
      <c r="J669" s="1689"/>
      <c r="K669" s="1689"/>
      <c r="L669" s="1689"/>
      <c r="M669" s="1689"/>
      <c r="N669" s="1689"/>
      <c r="O669" s="1689"/>
      <c r="P669" s="1689"/>
      <c r="Q669" s="1689"/>
      <c r="R669" s="1689"/>
      <c r="T669" s="46"/>
      <c r="U669" s="16" t="s">
        <v>915</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6" t="s">
        <v>530</v>
      </c>
      <c r="O670" s="1686"/>
      <c r="T670" s="46"/>
      <c r="U670" s="16" t="s">
        <v>917</v>
      </c>
      <c r="AG670" s="1686" t="s">
        <v>530</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2">
        <f>C638</f>
        <v>0</v>
      </c>
      <c r="H672" s="1842"/>
      <c r="I672" s="1842"/>
      <c r="J672" s="1842"/>
      <c r="K672" s="1842"/>
      <c r="L672" s="1842"/>
      <c r="M672" s="1842"/>
      <c r="N672" s="1842"/>
      <c r="O672" s="1842"/>
      <c r="P672" s="1842"/>
      <c r="Q672" s="1842"/>
      <c r="R672" s="1842"/>
      <c r="T672" s="101" t="s">
        <v>810</v>
      </c>
      <c r="U672" s="16" t="s">
        <v>92</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89"/>
      <c r="H673" s="1689"/>
      <c r="I673" s="1689"/>
      <c r="J673" s="1689"/>
      <c r="K673" s="1689"/>
      <c r="L673" s="1689"/>
      <c r="M673" s="1689"/>
      <c r="N673" s="1689"/>
      <c r="O673" s="1689"/>
      <c r="P673" s="1689"/>
      <c r="Q673" s="1689"/>
      <c r="R673" s="1689"/>
      <c r="T673" s="46"/>
      <c r="U673" s="16" t="s">
        <v>415</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89"/>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89"/>
      <c r="H675" s="1689"/>
      <c r="I675" s="1689"/>
      <c r="J675" s="1689"/>
      <c r="K675" s="1689"/>
      <c r="L675" s="1689"/>
      <c r="M675" s="1689"/>
      <c r="N675" s="1689"/>
      <c r="O675" s="1689"/>
      <c r="P675" s="1689"/>
      <c r="Q675" s="1689"/>
      <c r="R675" s="1689"/>
      <c r="T675" s="46"/>
      <c r="U675" s="16" t="s">
        <v>914</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1"/>
      <c r="H676" s="1681"/>
      <c r="I676" s="1681"/>
      <c r="J676" s="1681"/>
      <c r="K676" s="1681"/>
      <c r="L676" s="1681"/>
      <c r="O676" s="149" t="s">
        <v>899</v>
      </c>
      <c r="P676" s="1694"/>
      <c r="Q676" s="1694"/>
      <c r="R676" s="1694"/>
      <c r="T676" s="46"/>
      <c r="U676" s="16" t="s">
        <v>715</v>
      </c>
      <c r="Z676" s="1681"/>
      <c r="AA676" s="1681"/>
      <c r="AB676" s="1681"/>
      <c r="AC676" s="1681"/>
      <c r="AD676" s="1681"/>
      <c r="AE676" s="1681"/>
      <c r="AH676" s="149" t="s">
        <v>899</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89"/>
      <c r="I677" s="1689"/>
      <c r="J677" s="1689"/>
      <c r="K677" s="1689"/>
      <c r="L677" s="1689"/>
      <c r="M677" s="1689"/>
      <c r="N677" s="1689"/>
      <c r="O677" s="1689"/>
      <c r="P677" s="1689"/>
      <c r="Q677" s="1689"/>
      <c r="R677" s="1689"/>
      <c r="T677" s="46"/>
      <c r="U677" s="16" t="s">
        <v>915</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6" t="s">
        <v>530</v>
      </c>
      <c r="O678" s="1686"/>
      <c r="T678" s="46"/>
      <c r="U678" s="16" t="s">
        <v>917</v>
      </c>
      <c r="AG678" s="1686" t="s">
        <v>530</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2">
        <f>C640</f>
        <v>0</v>
      </c>
      <c r="H680" s="1842"/>
      <c r="I680" s="1842"/>
      <c r="J680" s="1842"/>
      <c r="K680" s="1842"/>
      <c r="L680" s="1842"/>
      <c r="M680" s="1842"/>
      <c r="N680" s="1842"/>
      <c r="O680" s="1842"/>
      <c r="P680" s="1842"/>
      <c r="Q680" s="1842"/>
      <c r="R680" s="1842"/>
      <c r="T680" s="101" t="s">
        <v>190</v>
      </c>
      <c r="U680" s="16" t="s">
        <v>92</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89"/>
      <c r="H681" s="1689"/>
      <c r="I681" s="1689"/>
      <c r="J681" s="1689"/>
      <c r="K681" s="1689"/>
      <c r="L681" s="1689"/>
      <c r="M681" s="1689"/>
      <c r="N681" s="1689"/>
      <c r="O681" s="1689"/>
      <c r="P681" s="1689"/>
      <c r="Q681" s="1689"/>
      <c r="R681" s="1689"/>
      <c r="T681" s="46"/>
      <c r="U681" s="16" t="s">
        <v>415</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9"/>
      <c r="H683" s="1689"/>
      <c r="I683" s="1689"/>
      <c r="J683" s="1689"/>
      <c r="K683" s="1689"/>
      <c r="L683" s="1689"/>
      <c r="M683" s="1689"/>
      <c r="N683" s="1689"/>
      <c r="O683" s="1689"/>
      <c r="P683" s="1689"/>
      <c r="Q683" s="1689"/>
      <c r="R683" s="1689"/>
      <c r="T683" s="46"/>
      <c r="U683" s="16" t="s">
        <v>914</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1"/>
      <c r="H684" s="1681"/>
      <c r="I684" s="1681"/>
      <c r="J684" s="1681"/>
      <c r="K684" s="1681"/>
      <c r="L684" s="1681"/>
      <c r="O684" s="149" t="s">
        <v>899</v>
      </c>
      <c r="P684" s="1694"/>
      <c r="Q684" s="1694"/>
      <c r="R684" s="1694"/>
      <c r="T684" s="46"/>
      <c r="U684" s="16" t="s">
        <v>715</v>
      </c>
      <c r="Z684" s="1681"/>
      <c r="AA684" s="1681"/>
      <c r="AB684" s="1681"/>
      <c r="AC684" s="1681"/>
      <c r="AD684" s="1681"/>
      <c r="AE684" s="1681"/>
      <c r="AH684" s="149" t="s">
        <v>899</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89"/>
      <c r="I685" s="1689"/>
      <c r="J685" s="1689"/>
      <c r="K685" s="1689"/>
      <c r="L685" s="1689"/>
      <c r="M685" s="1689"/>
      <c r="N685" s="1689"/>
      <c r="O685" s="1689"/>
      <c r="P685" s="1689"/>
      <c r="Q685" s="1689"/>
      <c r="R685" s="1689"/>
      <c r="T685" s="46"/>
      <c r="U685" s="16" t="s">
        <v>915</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6" t="s">
        <v>530</v>
      </c>
      <c r="O686" s="1686"/>
      <c r="T686" s="46"/>
      <c r="U686" s="16" t="s">
        <v>917</v>
      </c>
      <c r="AG686" s="1686" t="s">
        <v>530</v>
      </c>
      <c r="AH686" s="1686"/>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2">
        <f>C642</f>
        <v>0</v>
      </c>
      <c r="H688" s="1842"/>
      <c r="I688" s="1842"/>
      <c r="J688" s="1842"/>
      <c r="K688" s="1842"/>
      <c r="L688" s="1842"/>
      <c r="M688" s="1842"/>
      <c r="N688" s="1842"/>
      <c r="O688" s="1842"/>
      <c r="P688" s="1842"/>
      <c r="Q688" s="1842"/>
      <c r="R688" s="1842"/>
      <c r="T688" s="101" t="s">
        <v>38</v>
      </c>
      <c r="U688" s="16" t="s">
        <v>92</v>
      </c>
      <c r="Z688" s="1842">
        <f>C643</f>
        <v>0</v>
      </c>
      <c r="AA688" s="1842"/>
      <c r="AB688" s="1842"/>
      <c r="AC688" s="1842"/>
      <c r="AD688" s="1842"/>
      <c r="AE688" s="1842"/>
      <c r="AF688" s="1842"/>
      <c r="AG688" s="1842"/>
      <c r="AH688" s="1842"/>
      <c r="AI688" s="1842"/>
      <c r="AJ688" s="1842"/>
      <c r="AK688" s="1842"/>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89"/>
      <c r="H689" s="1689"/>
      <c r="I689" s="1689"/>
      <c r="J689" s="1689"/>
      <c r="K689" s="1689"/>
      <c r="L689" s="1689"/>
      <c r="M689" s="1689"/>
      <c r="N689" s="1689"/>
      <c r="O689" s="1689"/>
      <c r="P689" s="1689"/>
      <c r="Q689" s="1689"/>
      <c r="R689" s="1689"/>
      <c r="T689" s="46"/>
      <c r="U689" s="16" t="s">
        <v>415</v>
      </c>
      <c r="Z689" s="1689"/>
      <c r="AA689" s="1689"/>
      <c r="AB689" s="1689"/>
      <c r="AC689" s="1689"/>
      <c r="AD689" s="1689"/>
      <c r="AE689" s="1689"/>
      <c r="AF689" s="1689"/>
      <c r="AG689" s="1689"/>
      <c r="AH689" s="1689"/>
      <c r="AI689" s="1689"/>
      <c r="AJ689" s="1689"/>
      <c r="AK689" s="1689"/>
      <c r="AM689" s="75"/>
      <c r="BA689" s="75">
        <f>IF($G706=0,"N/A",VLOOKUP($T$189,TC_Rent,(MATCH($B706,bedrooms,FALSE))))</f>
        <v>2726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3150</v>
      </c>
      <c r="BB690" s="75"/>
      <c r="BC690" s="75"/>
      <c r="BD690" s="75"/>
      <c r="BE690" s="75"/>
      <c r="BF690" s="75"/>
      <c r="BG690" s="703">
        <f>G706</f>
        <v>6</v>
      </c>
      <c r="BH690" s="716">
        <f>BG690/$BG$715</f>
        <v>8.1081081081081086E-2</v>
      </c>
      <c r="BI690" s="718">
        <f>IF(BH690=0," ",BH690*AH706)</f>
        <v>2.4324324324324326E-2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89"/>
      <c r="H691" s="1689"/>
      <c r="I691" s="1689"/>
      <c r="J691" s="1689"/>
      <c r="K691" s="1689"/>
      <c r="L691" s="1689"/>
      <c r="M691" s="1689"/>
      <c r="N691" s="1689"/>
      <c r="O691" s="1689"/>
      <c r="P691" s="1689"/>
      <c r="Q691" s="1689"/>
      <c r="R691" s="1689"/>
      <c r="U691" s="16" t="s">
        <v>914</v>
      </c>
      <c r="Z691" s="1688"/>
      <c r="AA691" s="1688"/>
      <c r="AB691" s="1688"/>
      <c r="AC691" s="1688"/>
      <c r="AD691" s="1688"/>
      <c r="AE691" s="1688"/>
      <c r="AF691" s="1688"/>
      <c r="AG691" s="1688"/>
      <c r="AH691" s="1688"/>
      <c r="AI691" s="1688"/>
      <c r="AJ691" s="1688"/>
      <c r="AK691" s="1688"/>
      <c r="AM691" s="75"/>
      <c r="BA691" s="75">
        <f t="shared" si="22"/>
        <v>2726</v>
      </c>
      <c r="BB691" s="75"/>
      <c r="BC691" s="75"/>
      <c r="BD691" s="75"/>
      <c r="BE691" s="75"/>
      <c r="BF691" s="75"/>
      <c r="BG691" s="704">
        <f t="shared" ref="BG691:BG714" si="23">G707</f>
        <v>2</v>
      </c>
      <c r="BH691" s="716">
        <f t="shared" ref="BH691:BH714" si="24">BG691/$BG$715</f>
        <v>2.7027027027027029E-2</v>
      </c>
      <c r="BI691" s="718">
        <f t="shared" ref="BI691:BI714" si="25">IF(BH691=0," ",BH691*AH707)</f>
        <v>8.1081081081081086E-3</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1"/>
      <c r="H692" s="1681"/>
      <c r="I692" s="1681"/>
      <c r="J692" s="1681"/>
      <c r="K692" s="1681"/>
      <c r="L692" s="1681"/>
      <c r="O692" s="149" t="s">
        <v>899</v>
      </c>
      <c r="P692" s="1694"/>
      <c r="Q692" s="1694"/>
      <c r="R692" s="1694"/>
      <c r="U692" s="16" t="s">
        <v>715</v>
      </c>
      <c r="Z692" s="1681"/>
      <c r="AA692" s="1681"/>
      <c r="AB692" s="1681"/>
      <c r="AC692" s="1681"/>
      <c r="AD692" s="1681"/>
      <c r="AE692" s="1681"/>
      <c r="AH692" s="149" t="s">
        <v>899</v>
      </c>
      <c r="AI692" s="1694"/>
      <c r="AJ692" s="1694"/>
      <c r="AK692" s="1694"/>
      <c r="AM692" s="75"/>
      <c r="BA692" s="75">
        <f t="shared" si="22"/>
        <v>3150</v>
      </c>
      <c r="BB692" s="72"/>
      <c r="BC692" s="72"/>
      <c r="BD692" s="72"/>
      <c r="BE692" s="72"/>
      <c r="BF692" s="72"/>
      <c r="BG692" s="704">
        <f t="shared" si="23"/>
        <v>11</v>
      </c>
      <c r="BH692" s="716">
        <f t="shared" si="24"/>
        <v>0.14864864864864866</v>
      </c>
      <c r="BI692" s="718">
        <f t="shared" si="25"/>
        <v>6.6891891891891903E-2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9"/>
      <c r="I693" s="1689"/>
      <c r="J693" s="1689"/>
      <c r="K693" s="1689"/>
      <c r="L693" s="1689"/>
      <c r="M693" s="1689"/>
      <c r="N693" s="1689"/>
      <c r="O693" s="1689"/>
      <c r="P693" s="1689"/>
      <c r="Q693" s="1689"/>
      <c r="R693" s="1689"/>
      <c r="U693" s="16" t="s">
        <v>915</v>
      </c>
      <c r="AA693" s="1689"/>
      <c r="AB693" s="1689"/>
      <c r="AC693" s="1689"/>
      <c r="AD693" s="1689"/>
      <c r="AE693" s="1689"/>
      <c r="AF693" s="1689"/>
      <c r="AG693" s="1689"/>
      <c r="AH693" s="1689"/>
      <c r="AI693" s="1689"/>
      <c r="AJ693" s="1689"/>
      <c r="AK693" s="1689"/>
      <c r="AM693" s="72"/>
      <c r="BA693" s="75">
        <f t="shared" si="22"/>
        <v>2726</v>
      </c>
      <c r="BB693" s="72"/>
      <c r="BC693" s="72"/>
      <c r="BD693" s="72"/>
      <c r="BE693" s="72"/>
      <c r="BF693" s="72"/>
      <c r="BG693" s="704">
        <f t="shared" si="23"/>
        <v>4</v>
      </c>
      <c r="BH693" s="716">
        <f t="shared" si="24"/>
        <v>5.4054054054054057E-2</v>
      </c>
      <c r="BI693" s="718">
        <f t="shared" si="25"/>
        <v>2.4324324324324326E-2</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6" t="s">
        <v>530</v>
      </c>
      <c r="O694" s="1686"/>
      <c r="U694" s="16" t="s">
        <v>917</v>
      </c>
      <c r="AG694" s="1686" t="s">
        <v>530</v>
      </c>
      <c r="AH694" s="1686"/>
      <c r="AM694" s="72"/>
      <c r="BA694" s="75">
        <f t="shared" si="22"/>
        <v>3150</v>
      </c>
      <c r="BB694" s="72"/>
      <c r="BC694" s="72"/>
      <c r="BD694" s="72"/>
      <c r="BE694" s="72"/>
      <c r="BF694" s="72"/>
      <c r="BG694" s="704">
        <f t="shared" si="23"/>
        <v>22</v>
      </c>
      <c r="BH694" s="716">
        <f t="shared" si="24"/>
        <v>0.29729729729729731</v>
      </c>
      <c r="BI694" s="718">
        <f t="shared" si="25"/>
        <v>0.14864864864864866</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2726</v>
      </c>
      <c r="BB695" s="72"/>
      <c r="BC695" s="72"/>
      <c r="BD695" s="72"/>
      <c r="BE695" s="72"/>
      <c r="BF695" s="72"/>
      <c r="BG695" s="704">
        <f t="shared" si="23"/>
        <v>8</v>
      </c>
      <c r="BH695" s="716">
        <f t="shared" si="24"/>
        <v>0.10810810810810811</v>
      </c>
      <c r="BI695" s="718">
        <f t="shared" si="25"/>
        <v>5.4054054054054057E-2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3150</v>
      </c>
      <c r="BB696" s="72"/>
      <c r="BC696" s="72"/>
      <c r="BD696" s="72"/>
      <c r="BE696" s="72"/>
      <c r="BF696" s="72"/>
      <c r="BG696" s="704">
        <f t="shared" si="23"/>
        <v>15</v>
      </c>
      <c r="BH696" s="716">
        <f t="shared" si="24"/>
        <v>0.20270270270270271</v>
      </c>
      <c r="BI696" s="718">
        <f t="shared" si="25"/>
        <v>0.12162162162162163</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4" t="s">
        <v>138</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t="str">
        <f t="shared" si="22"/>
        <v>N/A</v>
      </c>
      <c r="BB697" s="72"/>
      <c r="BC697" s="72"/>
      <c r="BD697" s="72"/>
      <c r="BE697" s="72"/>
      <c r="BF697" s="72"/>
      <c r="BG697" s="704">
        <f t="shared" si="23"/>
        <v>6</v>
      </c>
      <c r="BH697" s="716">
        <f t="shared" si="24"/>
        <v>8.1081081081081086E-2</v>
      </c>
      <c r="BI697" s="718">
        <f t="shared" si="25"/>
        <v>4.8648648648648651E-2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1" t="s">
        <v>58</v>
      </c>
      <c r="C702" s="1792"/>
      <c r="D702" s="1792"/>
      <c r="E702" s="1792"/>
      <c r="F702" s="1793"/>
      <c r="G702" s="1791" t="s">
        <v>283</v>
      </c>
      <c r="H702" s="1792"/>
      <c r="I702" s="1792"/>
      <c r="J702" s="1793"/>
      <c r="K702" s="1955" t="s">
        <v>2287</v>
      </c>
      <c r="L702" s="1956"/>
      <c r="M702" s="1956"/>
      <c r="N702" s="1957"/>
      <c r="O702" s="1791" t="s">
        <v>654</v>
      </c>
      <c r="P702" s="1792"/>
      <c r="Q702" s="1792"/>
      <c r="R702" s="1792"/>
      <c r="S702" s="1793"/>
      <c r="T702" s="1791" t="s">
        <v>284</v>
      </c>
      <c r="U702" s="1792"/>
      <c r="V702" s="1792"/>
      <c r="W702" s="1792"/>
      <c r="X702" s="1793"/>
      <c r="Y702" s="1791" t="s">
        <v>285</v>
      </c>
      <c r="Z702" s="1792"/>
      <c r="AA702" s="1792"/>
      <c r="AB702" s="1793"/>
      <c r="AC702" s="1791" t="s">
        <v>286</v>
      </c>
      <c r="AD702" s="1792"/>
      <c r="AE702" s="1792"/>
      <c r="AF702" s="1792"/>
      <c r="AG702" s="1793"/>
      <c r="AH702" s="1791" t="s">
        <v>2288</v>
      </c>
      <c r="AI702" s="1792"/>
      <c r="AJ702" s="1792"/>
      <c r="AK702" s="1792"/>
      <c r="AL702" s="1793"/>
      <c r="AM702" s="1791" t="s">
        <v>2289</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4"/>
      <c r="C703" s="1795"/>
      <c r="D703" s="1795"/>
      <c r="E703" s="1795"/>
      <c r="F703" s="1796"/>
      <c r="G703" s="1794"/>
      <c r="H703" s="1795"/>
      <c r="I703" s="1795"/>
      <c r="J703" s="1796"/>
      <c r="K703" s="1958"/>
      <c r="L703" s="1959"/>
      <c r="M703" s="1959"/>
      <c r="N703" s="1960"/>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4"/>
      <c r="C704" s="1795"/>
      <c r="D704" s="1795"/>
      <c r="E704" s="1795"/>
      <c r="F704" s="1796"/>
      <c r="G704" s="1794"/>
      <c r="H704" s="1795"/>
      <c r="I704" s="1795"/>
      <c r="J704" s="1796"/>
      <c r="K704" s="1958"/>
      <c r="L704" s="1959"/>
      <c r="M704" s="1959"/>
      <c r="N704" s="1960"/>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7"/>
      <c r="C705" s="1798"/>
      <c r="D705" s="1798"/>
      <c r="E705" s="1798"/>
      <c r="F705" s="1799"/>
      <c r="G705" s="1797"/>
      <c r="H705" s="1798"/>
      <c r="I705" s="1798"/>
      <c r="J705" s="1799"/>
      <c r="K705" s="1958"/>
      <c r="L705" s="1959"/>
      <c r="M705" s="1959"/>
      <c r="N705" s="1960"/>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852</v>
      </c>
      <c r="C706" s="1769"/>
      <c r="D706" s="1769"/>
      <c r="E706" s="1769"/>
      <c r="F706" s="1770"/>
      <c r="G706" s="1765">
        <v>6</v>
      </c>
      <c r="H706" s="1766"/>
      <c r="I706" s="1766"/>
      <c r="J706" s="1767"/>
      <c r="K706" s="1776">
        <v>850</v>
      </c>
      <c r="L706" s="1777"/>
      <c r="M706" s="1777"/>
      <c r="N706" s="1778"/>
      <c r="O706" s="1779">
        <v>750</v>
      </c>
      <c r="P706" s="1780"/>
      <c r="Q706" s="1780"/>
      <c r="R706" s="1780"/>
      <c r="S706" s="1781"/>
      <c r="T706" s="1782">
        <f t="shared" ref="T706:T730" si="26">G706*O706</f>
        <v>4500</v>
      </c>
      <c r="U706" s="1783"/>
      <c r="V706" s="1783"/>
      <c r="W706" s="1783"/>
      <c r="X706" s="1784"/>
      <c r="Y706" s="1779">
        <v>68</v>
      </c>
      <c r="Z706" s="1780"/>
      <c r="AA706" s="1780"/>
      <c r="AB706" s="1781"/>
      <c r="AC706" s="1782">
        <f t="shared" ref="AC706:AC730" si="27">O706+Y706</f>
        <v>818</v>
      </c>
      <c r="AD706" s="1783"/>
      <c r="AE706" s="1783"/>
      <c r="AF706" s="1783"/>
      <c r="AG706" s="1784"/>
      <c r="AH706" s="1964">
        <v>0.3</v>
      </c>
      <c r="AI706" s="1965"/>
      <c r="AJ706" s="1965"/>
      <c r="AK706" s="1965"/>
      <c r="AL706" s="1966"/>
      <c r="AM706" s="1949">
        <f>IF($AH706&gt;0,($AC706/$BA689)," ")</f>
        <v>0.30007336757153336</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853</v>
      </c>
      <c r="C707" s="1769"/>
      <c r="D707" s="1769"/>
      <c r="E707" s="1769"/>
      <c r="F707" s="1770"/>
      <c r="G707" s="1765">
        <v>2</v>
      </c>
      <c r="H707" s="1766"/>
      <c r="I707" s="1766"/>
      <c r="J707" s="1767"/>
      <c r="K707" s="1776">
        <v>1047</v>
      </c>
      <c r="L707" s="1777"/>
      <c r="M707" s="1777"/>
      <c r="N707" s="1778"/>
      <c r="O707" s="1779">
        <v>855</v>
      </c>
      <c r="P707" s="1780"/>
      <c r="Q707" s="1780"/>
      <c r="R707" s="1780"/>
      <c r="S707" s="1781"/>
      <c r="T707" s="1782">
        <f t="shared" si="26"/>
        <v>1710</v>
      </c>
      <c r="U707" s="1783"/>
      <c r="V707" s="1783"/>
      <c r="W707" s="1783"/>
      <c r="X707" s="1784"/>
      <c r="Y707" s="1779">
        <v>90</v>
      </c>
      <c r="Z707" s="1780"/>
      <c r="AA707" s="1780"/>
      <c r="AB707" s="1781"/>
      <c r="AC707" s="1782">
        <f t="shared" si="27"/>
        <v>945</v>
      </c>
      <c r="AD707" s="1783"/>
      <c r="AE707" s="1783"/>
      <c r="AF707" s="1783"/>
      <c r="AG707" s="1784"/>
      <c r="AH707" s="1946">
        <v>0.3</v>
      </c>
      <c r="AI707" s="1947"/>
      <c r="AJ707" s="1947"/>
      <c r="AK707" s="1947"/>
      <c r="AL707" s="1948"/>
      <c r="AM707" s="1949">
        <f t="shared" ref="AM707:AM730" si="28">IF($AH707&gt;0,($AC707/$BA690), " ")</f>
        <v>0.3</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852</v>
      </c>
      <c r="C708" s="1769"/>
      <c r="D708" s="1769"/>
      <c r="E708" s="1769"/>
      <c r="F708" s="1770"/>
      <c r="G708" s="1765">
        <v>11</v>
      </c>
      <c r="H708" s="1766"/>
      <c r="I708" s="1766"/>
      <c r="J708" s="1767"/>
      <c r="K708" s="1776">
        <v>850</v>
      </c>
      <c r="L708" s="1777"/>
      <c r="M708" s="1777"/>
      <c r="N708" s="1778"/>
      <c r="O708" s="1779">
        <v>1159</v>
      </c>
      <c r="P708" s="1780"/>
      <c r="Q708" s="1780"/>
      <c r="R708" s="1780"/>
      <c r="S708" s="1781"/>
      <c r="T708" s="1782">
        <f t="shared" si="26"/>
        <v>12749</v>
      </c>
      <c r="U708" s="1783"/>
      <c r="V708" s="1783"/>
      <c r="W708" s="1783"/>
      <c r="X708" s="1784"/>
      <c r="Y708" s="1779">
        <v>68</v>
      </c>
      <c r="Z708" s="1780"/>
      <c r="AA708" s="1780"/>
      <c r="AB708" s="1781"/>
      <c r="AC708" s="1782">
        <f t="shared" si="27"/>
        <v>1227</v>
      </c>
      <c r="AD708" s="1783"/>
      <c r="AE708" s="1783"/>
      <c r="AF708" s="1783"/>
      <c r="AG708" s="1784"/>
      <c r="AH708" s="1946">
        <v>0.45</v>
      </c>
      <c r="AI708" s="1947"/>
      <c r="AJ708" s="1947"/>
      <c r="AK708" s="1947"/>
      <c r="AL708" s="1948"/>
      <c r="AM708" s="1949">
        <f t="shared" si="28"/>
        <v>0.45011005135730009</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8" t="s">
        <v>853</v>
      </c>
      <c r="C709" s="1769"/>
      <c r="D709" s="1769"/>
      <c r="E709" s="1769"/>
      <c r="F709" s="1770"/>
      <c r="G709" s="1765">
        <v>4</v>
      </c>
      <c r="H709" s="1766"/>
      <c r="I709" s="1766"/>
      <c r="J709" s="1767"/>
      <c r="K709" s="1776">
        <v>1047</v>
      </c>
      <c r="L709" s="1777"/>
      <c r="M709" s="1777"/>
      <c r="N709" s="1778"/>
      <c r="O709" s="1779">
        <v>1328</v>
      </c>
      <c r="P709" s="1780"/>
      <c r="Q709" s="1780"/>
      <c r="R709" s="1780"/>
      <c r="S709" s="1781"/>
      <c r="T709" s="1782">
        <f t="shared" si="26"/>
        <v>5312</v>
      </c>
      <c r="U709" s="1783"/>
      <c r="V709" s="1783"/>
      <c r="W709" s="1783"/>
      <c r="X709" s="1784"/>
      <c r="Y709" s="1779">
        <v>90</v>
      </c>
      <c r="Z709" s="1780"/>
      <c r="AA709" s="1780"/>
      <c r="AB709" s="1781"/>
      <c r="AC709" s="1782">
        <f t="shared" si="27"/>
        <v>1418</v>
      </c>
      <c r="AD709" s="1783"/>
      <c r="AE709" s="1783"/>
      <c r="AF709" s="1783"/>
      <c r="AG709" s="1784"/>
      <c r="AH709" s="1946">
        <v>0.45</v>
      </c>
      <c r="AI709" s="1947"/>
      <c r="AJ709" s="1947"/>
      <c r="AK709" s="1947"/>
      <c r="AL709" s="1948"/>
      <c r="AM709" s="1949">
        <f t="shared" si="28"/>
        <v>0.45015873015873015</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8" t="s">
        <v>852</v>
      </c>
      <c r="C710" s="1769"/>
      <c r="D710" s="1769"/>
      <c r="E710" s="1769"/>
      <c r="F710" s="1770"/>
      <c r="G710" s="1765">
        <v>22</v>
      </c>
      <c r="H710" s="1766"/>
      <c r="I710" s="1766"/>
      <c r="J710" s="1767"/>
      <c r="K710" s="1776">
        <v>850</v>
      </c>
      <c r="L710" s="1777"/>
      <c r="M710" s="1777"/>
      <c r="N710" s="1778"/>
      <c r="O710" s="1779">
        <v>1295</v>
      </c>
      <c r="P710" s="1780"/>
      <c r="Q710" s="1780"/>
      <c r="R710" s="1780"/>
      <c r="S710" s="1781"/>
      <c r="T710" s="1782">
        <f t="shared" si="26"/>
        <v>28490</v>
      </c>
      <c r="U710" s="1783"/>
      <c r="V710" s="1783"/>
      <c r="W710" s="1783"/>
      <c r="X710" s="1784"/>
      <c r="Y710" s="1779">
        <v>68</v>
      </c>
      <c r="Z710" s="1780"/>
      <c r="AA710" s="1780"/>
      <c r="AB710" s="1781"/>
      <c r="AC710" s="1782">
        <f t="shared" si="27"/>
        <v>1363</v>
      </c>
      <c r="AD710" s="1783"/>
      <c r="AE710" s="1783"/>
      <c r="AF710" s="1783"/>
      <c r="AG710" s="1784"/>
      <c r="AH710" s="1946">
        <v>0.5</v>
      </c>
      <c r="AI710" s="1947"/>
      <c r="AJ710" s="1947"/>
      <c r="AK710" s="1947"/>
      <c r="AL710" s="1948"/>
      <c r="AM710" s="1949">
        <f t="shared" si="28"/>
        <v>0.5</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8" t="s">
        <v>853</v>
      </c>
      <c r="C711" s="1769"/>
      <c r="D711" s="1769"/>
      <c r="E711" s="1769"/>
      <c r="F711" s="1770"/>
      <c r="G711" s="1765">
        <v>8</v>
      </c>
      <c r="H711" s="1766"/>
      <c r="I711" s="1766"/>
      <c r="J711" s="1767"/>
      <c r="K711" s="1776">
        <v>1047</v>
      </c>
      <c r="L711" s="1777"/>
      <c r="M711" s="1777"/>
      <c r="N711" s="1778"/>
      <c r="O711" s="1779">
        <v>1485</v>
      </c>
      <c r="P711" s="1780"/>
      <c r="Q711" s="1780"/>
      <c r="R711" s="1780"/>
      <c r="S711" s="1781"/>
      <c r="T711" s="1782">
        <f t="shared" si="26"/>
        <v>11880</v>
      </c>
      <c r="U711" s="1783"/>
      <c r="V711" s="1783"/>
      <c r="W711" s="1783"/>
      <c r="X711" s="1784"/>
      <c r="Y711" s="1779">
        <v>90</v>
      </c>
      <c r="Z711" s="1780"/>
      <c r="AA711" s="1780"/>
      <c r="AB711" s="1781"/>
      <c r="AC711" s="1782">
        <f t="shared" si="27"/>
        <v>1575</v>
      </c>
      <c r="AD711" s="1783"/>
      <c r="AE711" s="1783"/>
      <c r="AF711" s="1783"/>
      <c r="AG711" s="1784"/>
      <c r="AH711" s="1946">
        <v>0.5</v>
      </c>
      <c r="AI711" s="1947"/>
      <c r="AJ711" s="1947"/>
      <c r="AK711" s="1947"/>
      <c r="AL711" s="1948"/>
      <c r="AM711" s="1949">
        <f t="shared" si="28"/>
        <v>0.5</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8" t="s">
        <v>852</v>
      </c>
      <c r="C712" s="1769"/>
      <c r="D712" s="1769"/>
      <c r="E712" s="1769"/>
      <c r="F712" s="1770"/>
      <c r="G712" s="1765">
        <v>15</v>
      </c>
      <c r="H712" s="1766"/>
      <c r="I712" s="1766"/>
      <c r="J712" s="1767"/>
      <c r="K712" s="1776">
        <v>850</v>
      </c>
      <c r="L712" s="1777"/>
      <c r="M712" s="1777"/>
      <c r="N712" s="1778"/>
      <c r="O712" s="1779">
        <v>1568</v>
      </c>
      <c r="P712" s="1780"/>
      <c r="Q712" s="1780"/>
      <c r="R712" s="1780"/>
      <c r="S712" s="1781"/>
      <c r="T712" s="1782">
        <f t="shared" si="26"/>
        <v>23520</v>
      </c>
      <c r="U712" s="1783"/>
      <c r="V712" s="1783"/>
      <c r="W712" s="1783"/>
      <c r="X712" s="1784"/>
      <c r="Y712" s="1779">
        <v>68</v>
      </c>
      <c r="Z712" s="1780"/>
      <c r="AA712" s="1780"/>
      <c r="AB712" s="1781"/>
      <c r="AC712" s="1782">
        <f t="shared" si="27"/>
        <v>1636</v>
      </c>
      <c r="AD712" s="1783"/>
      <c r="AE712" s="1783"/>
      <c r="AF712" s="1783"/>
      <c r="AG712" s="1784"/>
      <c r="AH712" s="1946">
        <v>0.6</v>
      </c>
      <c r="AI712" s="1947"/>
      <c r="AJ712" s="1947"/>
      <c r="AK712" s="1947"/>
      <c r="AL712" s="1948"/>
      <c r="AM712" s="1949">
        <f t="shared" si="28"/>
        <v>0.60014673514306671</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8" t="s">
        <v>853</v>
      </c>
      <c r="C713" s="1769"/>
      <c r="D713" s="1769"/>
      <c r="E713" s="1769"/>
      <c r="F713" s="1770"/>
      <c r="G713" s="1765">
        <v>6</v>
      </c>
      <c r="H713" s="1766"/>
      <c r="I713" s="1766"/>
      <c r="J713" s="1767"/>
      <c r="K713" s="1776">
        <v>1047</v>
      </c>
      <c r="L713" s="1777"/>
      <c r="M713" s="1777"/>
      <c r="N713" s="1778"/>
      <c r="O713" s="1779">
        <v>1800</v>
      </c>
      <c r="P713" s="1780"/>
      <c r="Q713" s="1780"/>
      <c r="R713" s="1780"/>
      <c r="S713" s="1781"/>
      <c r="T713" s="1782">
        <f t="shared" si="26"/>
        <v>10800</v>
      </c>
      <c r="U713" s="1783"/>
      <c r="V713" s="1783"/>
      <c r="W713" s="1783"/>
      <c r="X713" s="1784"/>
      <c r="Y713" s="1779">
        <v>90</v>
      </c>
      <c r="Z713" s="1780"/>
      <c r="AA713" s="1780"/>
      <c r="AB713" s="1781"/>
      <c r="AC713" s="1782">
        <f t="shared" si="27"/>
        <v>1890</v>
      </c>
      <c r="AD713" s="1783"/>
      <c r="AE713" s="1783"/>
      <c r="AF713" s="1783"/>
      <c r="AG713" s="1784"/>
      <c r="AH713" s="1946">
        <v>0.6</v>
      </c>
      <c r="AI713" s="1947"/>
      <c r="AJ713" s="1947"/>
      <c r="AK713" s="1947"/>
      <c r="AL713" s="1948"/>
      <c r="AM713" s="1949">
        <f t="shared" si="28"/>
        <v>0.6</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8"/>
      <c r="C714" s="1769"/>
      <c r="D714" s="1769"/>
      <c r="E714" s="1769"/>
      <c r="F714" s="1770"/>
      <c r="G714" s="1765"/>
      <c r="H714" s="1766"/>
      <c r="I714" s="1766"/>
      <c r="J714" s="1767"/>
      <c r="K714" s="1776"/>
      <c r="L714" s="1777"/>
      <c r="M714" s="1777"/>
      <c r="N714" s="1778"/>
      <c r="O714" s="1779"/>
      <c r="P714" s="1780"/>
      <c r="Q714" s="1780"/>
      <c r="R714" s="1780"/>
      <c r="S714" s="1781"/>
      <c r="T714" s="1782">
        <f t="shared" si="26"/>
        <v>0</v>
      </c>
      <c r="U714" s="1783"/>
      <c r="V714" s="1783"/>
      <c r="W714" s="1783"/>
      <c r="X714" s="1784"/>
      <c r="Y714" s="1779"/>
      <c r="Z714" s="1780"/>
      <c r="AA714" s="1780"/>
      <c r="AB714" s="1781"/>
      <c r="AC714" s="1782">
        <f t="shared" si="27"/>
        <v>0</v>
      </c>
      <c r="AD714" s="1783"/>
      <c r="AE714" s="1783"/>
      <c r="AF714" s="1783"/>
      <c r="AG714" s="1784"/>
      <c r="AH714" s="1946"/>
      <c r="AI714" s="1947"/>
      <c r="AJ714" s="1947"/>
      <c r="AK714" s="1947"/>
      <c r="AL714" s="1948"/>
      <c r="AM714" s="1949" t="str">
        <f t="shared" si="28"/>
        <v xml:space="preserve"> </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26"/>
        <v>0</v>
      </c>
      <c r="U715" s="1783"/>
      <c r="V715" s="1783"/>
      <c r="W715" s="1783"/>
      <c r="X715" s="1784"/>
      <c r="Y715" s="1779"/>
      <c r="Z715" s="1780"/>
      <c r="AA715" s="1780"/>
      <c r="AB715" s="1781"/>
      <c r="AC715" s="1782">
        <f t="shared" si="27"/>
        <v>0</v>
      </c>
      <c r="AD715" s="1783"/>
      <c r="AE715" s="1783"/>
      <c r="AF715" s="1783"/>
      <c r="AG715" s="1784"/>
      <c r="AH715" s="1946"/>
      <c r="AI715" s="1947"/>
      <c r="AJ715" s="1947"/>
      <c r="AK715" s="1947"/>
      <c r="AL715" s="1948"/>
      <c r="AM715" s="1949" t="str">
        <f t="shared" si="28"/>
        <v xml:space="preserve"> </v>
      </c>
      <c r="AN715" s="1950"/>
      <c r="AO715" s="1951"/>
      <c r="BA715" s="72"/>
      <c r="BB715" s="72"/>
      <c r="BC715" s="72"/>
      <c r="BD715" s="72"/>
      <c r="BE715" s="149"/>
      <c r="BF715" s="147" t="s">
        <v>973</v>
      </c>
      <c r="BG715" s="719">
        <f>SUM(BG690:BG714)</f>
        <v>74</v>
      </c>
      <c r="BH715" s="720">
        <f>SUM(BH690:BH714)</f>
        <v>1</v>
      </c>
      <c r="BI715" s="720">
        <f>SUM(BI690:BI714)</f>
        <v>0.49662162162162166</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26"/>
        <v>0</v>
      </c>
      <c r="U716" s="1783"/>
      <c r="V716" s="1783"/>
      <c r="W716" s="1783"/>
      <c r="X716" s="1784"/>
      <c r="Y716" s="1779"/>
      <c r="Z716" s="1780"/>
      <c r="AA716" s="1780"/>
      <c r="AB716" s="1781"/>
      <c r="AC716" s="1782">
        <f t="shared" si="27"/>
        <v>0</v>
      </c>
      <c r="AD716" s="1783"/>
      <c r="AE716" s="1783"/>
      <c r="AF716" s="1783"/>
      <c r="AG716" s="1784"/>
      <c r="AH716" s="1946"/>
      <c r="AI716" s="1947"/>
      <c r="AJ716" s="1947"/>
      <c r="AK716" s="1947"/>
      <c r="AL716" s="1948"/>
      <c r="AM716" s="1949" t="str">
        <f t="shared" si="28"/>
        <v xml:space="preserve"> </v>
      </c>
      <c r="AN716" s="1950"/>
      <c r="AO716" s="1951"/>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6"/>
      <c r="AI717" s="1947"/>
      <c r="AJ717" s="1947"/>
      <c r="AK717" s="1947"/>
      <c r="AL717" s="1948"/>
      <c r="AM717" s="1949" t="str">
        <f t="shared" si="28"/>
        <v xml:space="preserve"> </v>
      </c>
      <c r="AN717" s="1950"/>
      <c r="AO717" s="195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6"/>
      <c r="AI718" s="1947"/>
      <c r="AJ718" s="1947"/>
      <c r="AK718" s="1947"/>
      <c r="AL718" s="1948"/>
      <c r="AM718" s="1949" t="str">
        <f t="shared" si="28"/>
        <v xml:space="preserve"> </v>
      </c>
      <c r="AN718" s="1950"/>
      <c r="AO718" s="195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6">
        <v>0</v>
      </c>
      <c r="AI719" s="1947"/>
      <c r="AJ719" s="1947"/>
      <c r="AK719" s="1947"/>
      <c r="AL719" s="1948"/>
      <c r="AM719" s="1949" t="str">
        <f t="shared" si="28"/>
        <v xml:space="preserve"> </v>
      </c>
      <c r="AN719" s="1950"/>
      <c r="AO719" s="1951"/>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6">
        <v>0</v>
      </c>
      <c r="AI720" s="1947"/>
      <c r="AJ720" s="1947"/>
      <c r="AK720" s="1947"/>
      <c r="AL720" s="1948"/>
      <c r="AM720" s="1949" t="str">
        <f t="shared" si="28"/>
        <v xml:space="preserve"> </v>
      </c>
      <c r="AN720" s="1950"/>
      <c r="AO720" s="1951"/>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6">
        <v>0</v>
      </c>
      <c r="AI721" s="1947"/>
      <c r="AJ721" s="1947"/>
      <c r="AK721" s="1947"/>
      <c r="AL721" s="1948"/>
      <c r="AM721" s="1949" t="str">
        <f t="shared" si="28"/>
        <v xml:space="preserve"> </v>
      </c>
      <c r="AN721" s="1950"/>
      <c r="AO721" s="1951"/>
      <c r="BA721" s="72"/>
      <c r="BB721" s="72"/>
      <c r="BC721" s="72"/>
      <c r="BD721" s="72"/>
      <c r="BE721" s="72"/>
      <c r="BF721" s="72"/>
      <c r="BG721" s="1457">
        <f>G706</f>
        <v>6</v>
      </c>
      <c r="BH721" s="1461">
        <f>BG721/$BG$746</f>
        <v>8.1081081081081086E-2</v>
      </c>
      <c r="BI721" s="1462">
        <f>IF(BH721=0," ",BH721*AM706)</f>
        <v>2.4330273046340542E-2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6">
        <v>0</v>
      </c>
      <c r="AI722" s="1947"/>
      <c r="AJ722" s="1947"/>
      <c r="AK722" s="1947"/>
      <c r="AL722" s="1948"/>
      <c r="AM722" s="1949" t="str">
        <f t="shared" si="28"/>
        <v xml:space="preserve"> </v>
      </c>
      <c r="AN722" s="1950"/>
      <c r="AO722" s="1951"/>
      <c r="BA722" s="72"/>
      <c r="BB722" s="72"/>
      <c r="BC722" s="72"/>
      <c r="BD722" s="72"/>
      <c r="BE722" s="72"/>
      <c r="BF722" s="72"/>
      <c r="BG722" s="1457">
        <f t="shared" ref="BG722:BG745" si="29">G707</f>
        <v>2</v>
      </c>
      <c r="BH722" s="1461">
        <f t="shared" ref="BH722:BH745" si="30">BG722/$BG$746</f>
        <v>2.7027027027027029E-2</v>
      </c>
      <c r="BI722" s="1462">
        <f t="shared" ref="BI722:BI745" si="31">IF(BH722=0," ",BH722*AM707)</f>
        <v>8.1081081081081086E-3</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6">
        <v>0</v>
      </c>
      <c r="AI723" s="1947"/>
      <c r="AJ723" s="1947"/>
      <c r="AK723" s="1947"/>
      <c r="AL723" s="1948"/>
      <c r="AM723" s="1949" t="str">
        <f t="shared" si="28"/>
        <v xml:space="preserve"> </v>
      </c>
      <c r="AN723" s="1950"/>
      <c r="AO723" s="1951"/>
      <c r="BA723" s="75"/>
      <c r="BB723" s="75"/>
      <c r="BC723" s="75"/>
      <c r="BD723" s="75"/>
      <c r="BE723" s="75"/>
      <c r="BF723" s="75"/>
      <c r="BG723" s="1457">
        <f t="shared" si="29"/>
        <v>11</v>
      </c>
      <c r="BH723" s="1461">
        <f t="shared" si="30"/>
        <v>0.14864864864864866</v>
      </c>
      <c r="BI723" s="1462">
        <f t="shared" si="31"/>
        <v>6.6908250877436501E-2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6">
        <v>0</v>
      </c>
      <c r="AI724" s="1947"/>
      <c r="AJ724" s="1947"/>
      <c r="AK724" s="1947"/>
      <c r="AL724" s="1948"/>
      <c r="AM724" s="1949" t="str">
        <f t="shared" si="28"/>
        <v xml:space="preserve"> </v>
      </c>
      <c r="AN724" s="1950"/>
      <c r="AO724" s="1951"/>
      <c r="BA724" s="75"/>
      <c r="BB724" s="75"/>
      <c r="BC724" s="75"/>
      <c r="BD724" s="75"/>
      <c r="BE724" s="75"/>
      <c r="BF724" s="75"/>
      <c r="BG724" s="1457">
        <f t="shared" si="29"/>
        <v>4</v>
      </c>
      <c r="BH724" s="1461">
        <f t="shared" si="30"/>
        <v>5.4054054054054057E-2</v>
      </c>
      <c r="BI724" s="1462">
        <f t="shared" si="31"/>
        <v>2.4332904332904335E-2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6">
        <v>0</v>
      </c>
      <c r="AI725" s="1947"/>
      <c r="AJ725" s="1947"/>
      <c r="AK725" s="1947"/>
      <c r="AL725" s="1948"/>
      <c r="AM725" s="1949" t="str">
        <f t="shared" si="28"/>
        <v xml:space="preserve"> </v>
      </c>
      <c r="AN725" s="1950"/>
      <c r="AO725" s="1951"/>
      <c r="BA725" s="75"/>
      <c r="BB725" s="75"/>
      <c r="BC725" s="75"/>
      <c r="BD725" s="75"/>
      <c r="BE725" s="75"/>
      <c r="BF725" s="75"/>
      <c r="BG725" s="1457">
        <f t="shared" si="29"/>
        <v>22</v>
      </c>
      <c r="BH725" s="1461">
        <f t="shared" si="30"/>
        <v>0.29729729729729731</v>
      </c>
      <c r="BI725" s="1462">
        <f t="shared" si="31"/>
        <v>0.14864864864864866</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6">
        <v>0</v>
      </c>
      <c r="AI726" s="1947"/>
      <c r="AJ726" s="1947"/>
      <c r="AK726" s="1947"/>
      <c r="AL726" s="1948"/>
      <c r="AM726" s="1949" t="str">
        <f t="shared" si="28"/>
        <v xml:space="preserve"> </v>
      </c>
      <c r="AN726" s="1950"/>
      <c r="AO726" s="1951"/>
      <c r="BA726" s="75"/>
      <c r="BB726" s="75"/>
      <c r="BC726" s="75"/>
      <c r="BD726" s="75"/>
      <c r="BE726" s="75"/>
      <c r="BF726" s="75"/>
      <c r="BG726" s="1457">
        <f t="shared" si="29"/>
        <v>8</v>
      </c>
      <c r="BH726" s="1461">
        <f t="shared" si="30"/>
        <v>0.10810810810810811</v>
      </c>
      <c r="BI726" s="1462">
        <f t="shared" si="31"/>
        <v>5.4054054054054057E-2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6">
        <v>0</v>
      </c>
      <c r="AI727" s="1947"/>
      <c r="AJ727" s="1947"/>
      <c r="AK727" s="1947"/>
      <c r="AL727" s="1948"/>
      <c r="AM727" s="1949" t="str">
        <f t="shared" si="28"/>
        <v xml:space="preserve"> </v>
      </c>
      <c r="AN727" s="1950"/>
      <c r="AO727" s="1951"/>
      <c r="BA727" s="75"/>
      <c r="BB727" s="75"/>
      <c r="BC727" s="75"/>
      <c r="BD727" s="75"/>
      <c r="BE727" s="75"/>
      <c r="BF727" s="75"/>
      <c r="BG727" s="1457">
        <f t="shared" si="29"/>
        <v>15</v>
      </c>
      <c r="BH727" s="1461">
        <f t="shared" si="30"/>
        <v>0.20270270270270271</v>
      </c>
      <c r="BI727" s="1462">
        <f t="shared" si="31"/>
        <v>0.12165136523170272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6">
        <v>0</v>
      </c>
      <c r="AI728" s="1947"/>
      <c r="AJ728" s="1947"/>
      <c r="AK728" s="1947"/>
      <c r="AL728" s="1948"/>
      <c r="AM728" s="1949" t="str">
        <f t="shared" si="28"/>
        <v xml:space="preserve"> </v>
      </c>
      <c r="AN728" s="1950"/>
      <c r="AO728" s="1951"/>
      <c r="BA728" s="62"/>
      <c r="BB728" s="326"/>
      <c r="BC728" s="326"/>
      <c r="BD728" s="326"/>
      <c r="BE728" s="807"/>
      <c r="BF728" s="807"/>
      <c r="BG728" s="1457">
        <f t="shared" si="29"/>
        <v>6</v>
      </c>
      <c r="BH728" s="1461">
        <f t="shared" si="30"/>
        <v>8.1081081081081086E-2</v>
      </c>
      <c r="BI728" s="1462">
        <f t="shared" si="31"/>
        <v>4.8648648648648651E-2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6">
        <v>0</v>
      </c>
      <c r="AI729" s="1947"/>
      <c r="AJ729" s="1947"/>
      <c r="AK729" s="1947"/>
      <c r="AL729" s="1948"/>
      <c r="AM729" s="1949" t="str">
        <f t="shared" si="28"/>
        <v xml:space="preserve"> </v>
      </c>
      <c r="AN729" s="1950"/>
      <c r="AO729" s="1951"/>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6">
        <v>0</v>
      </c>
      <c r="AI730" s="1947"/>
      <c r="AJ730" s="1947"/>
      <c r="AK730" s="1947"/>
      <c r="AL730" s="1948"/>
      <c r="AM730" s="1949" t="str">
        <f t="shared" si="28"/>
        <v xml:space="preserve"> </v>
      </c>
      <c r="AN730" s="1950"/>
      <c r="AO730" s="1951"/>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6" t="s">
        <v>975</v>
      </c>
      <c r="C731" s="1787"/>
      <c r="D731" s="1787"/>
      <c r="E731" s="1787"/>
      <c r="F731" s="1788"/>
      <c r="G731" s="1819">
        <f>SUM(G706:J730)</f>
        <v>74</v>
      </c>
      <c r="H731" s="1820"/>
      <c r="I731" s="1820"/>
      <c r="J731" s="1821"/>
      <c r="K731" s="1394"/>
      <c r="L731" s="1394"/>
      <c r="M731" s="1394"/>
      <c r="N731" s="1394"/>
      <c r="O731" s="683" t="s">
        <v>974</v>
      </c>
      <c r="P731" s="684"/>
      <c r="Q731" s="684"/>
      <c r="R731" s="684"/>
      <c r="S731" s="1447"/>
      <c r="T731" s="1782">
        <f>SUM(T706:X730)</f>
        <v>98961</v>
      </c>
      <c r="U731" s="1783"/>
      <c r="V731" s="1783"/>
      <c r="W731" s="1783"/>
      <c r="X731" s="1784"/>
      <c r="Y731" s="1394"/>
      <c r="Z731" s="1394"/>
      <c r="AA731" s="1394"/>
      <c r="AB731" s="1394"/>
      <c r="AC731" s="1448" t="s">
        <v>1261</v>
      </c>
      <c r="AD731" s="1449"/>
      <c r="AE731" s="1449"/>
      <c r="AF731" s="1449"/>
      <c r="AG731" s="1450"/>
      <c r="AH731" s="1952">
        <f>BI715</f>
        <v>0.49662162162162166</v>
      </c>
      <c r="AI731" s="1953"/>
      <c r="AJ731" s="1953"/>
      <c r="AK731" s="1953"/>
      <c r="AL731" s="1954"/>
      <c r="AM731" s="1952">
        <f>BI746</f>
        <v>0.49668225294784357</v>
      </c>
      <c r="AN731" s="1953"/>
      <c r="AO731" s="1954"/>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530</v>
      </c>
      <c r="AG733" s="2156"/>
      <c r="AH733" s="2156"/>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8" t="s">
        <v>1700</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74</v>
      </c>
      <c r="BH746" s="1459">
        <f>SUM(BH721:BH745)</f>
        <v>1</v>
      </c>
      <c r="BI746" s="1459">
        <f>SUM(BI721:BI745)</f>
        <v>0.49668225294784357</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58</v>
      </c>
      <c r="K748" s="1792"/>
      <c r="L748" s="1792"/>
      <c r="M748" s="1792"/>
      <c r="N748" s="1793"/>
      <c r="O748" s="1945" t="s">
        <v>283</v>
      </c>
      <c r="P748" s="1945"/>
      <c r="Q748" s="1945"/>
      <c r="R748" s="1945"/>
      <c r="S748" s="1945"/>
      <c r="T748" s="1955" t="s">
        <v>2287</v>
      </c>
      <c r="U748" s="1956"/>
      <c r="V748" s="1956"/>
      <c r="W748" s="1957"/>
      <c r="X748" s="1791" t="s">
        <v>654</v>
      </c>
      <c r="Y748" s="1792"/>
      <c r="Z748" s="1792"/>
      <c r="AA748" s="1792"/>
      <c r="AB748" s="1793"/>
      <c r="AC748" s="1791" t="s">
        <v>284</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4"/>
      <c r="K749" s="1795"/>
      <c r="L749" s="1795"/>
      <c r="M749" s="1795"/>
      <c r="N749" s="1796"/>
      <c r="O749" s="1945"/>
      <c r="P749" s="1945"/>
      <c r="Q749" s="1945"/>
      <c r="R749" s="1945"/>
      <c r="S749" s="1945"/>
      <c r="T749" s="1958"/>
      <c r="U749" s="1959"/>
      <c r="V749" s="1959"/>
      <c r="W749" s="1960"/>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4"/>
      <c r="K750" s="1795"/>
      <c r="L750" s="1795"/>
      <c r="M750" s="1795"/>
      <c r="N750" s="1796"/>
      <c r="O750" s="1945"/>
      <c r="P750" s="1945"/>
      <c r="Q750" s="1945"/>
      <c r="R750" s="1945"/>
      <c r="S750" s="1945"/>
      <c r="T750" s="1958"/>
      <c r="U750" s="1959"/>
      <c r="V750" s="1959"/>
      <c r="W750" s="1960"/>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7"/>
      <c r="K751" s="1798"/>
      <c r="L751" s="1798"/>
      <c r="M751" s="1798"/>
      <c r="N751" s="1799"/>
      <c r="O751" s="1945"/>
      <c r="P751" s="1945"/>
      <c r="Q751" s="1945"/>
      <c r="R751" s="1945"/>
      <c r="S751" s="1945"/>
      <c r="T751" s="1961"/>
      <c r="U751" s="1962"/>
      <c r="V751" s="1962"/>
      <c r="W751" s="1963"/>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852</v>
      </c>
      <c r="K752" s="1769"/>
      <c r="L752" s="1769"/>
      <c r="M752" s="1769"/>
      <c r="N752" s="1770"/>
      <c r="O752" s="1775">
        <v>1</v>
      </c>
      <c r="P752" s="1775"/>
      <c r="Q752" s="1775"/>
      <c r="R752" s="1775"/>
      <c r="S752" s="1775"/>
      <c r="T752" s="1776">
        <v>850</v>
      </c>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6" t="s">
        <v>975</v>
      </c>
      <c r="K756" s="1787"/>
      <c r="L756" s="1787"/>
      <c r="M756" s="1787"/>
      <c r="N756" s="1788"/>
      <c r="O756" s="2075">
        <f>SUM(O752:S755)</f>
        <v>1</v>
      </c>
      <c r="P756" s="2076"/>
      <c r="Q756" s="2076"/>
      <c r="R756" s="2076"/>
      <c r="S756" s="2077"/>
      <c r="X756" s="2157" t="s">
        <v>974</v>
      </c>
      <c r="Y756" s="2158"/>
      <c r="Z756" s="2158"/>
      <c r="AA756" s="2158"/>
      <c r="AB756" s="2159"/>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0" t="s">
        <v>530</v>
      </c>
      <c r="K758" s="1800"/>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58</v>
      </c>
      <c r="K762" s="1792"/>
      <c r="L762" s="1792"/>
      <c r="M762" s="1792"/>
      <c r="N762" s="1793"/>
      <c r="O762" s="1945" t="s">
        <v>283</v>
      </c>
      <c r="P762" s="1945"/>
      <c r="Q762" s="1945"/>
      <c r="R762" s="1945"/>
      <c r="S762" s="1945"/>
      <c r="T762" s="1955" t="s">
        <v>2287</v>
      </c>
      <c r="U762" s="1956"/>
      <c r="V762" s="1956"/>
      <c r="W762" s="1957"/>
      <c r="X762" s="1791" t="s">
        <v>654</v>
      </c>
      <c r="Y762" s="1792"/>
      <c r="Z762" s="1792"/>
      <c r="AA762" s="1792"/>
      <c r="AB762" s="1793"/>
      <c r="AC762" s="1791" t="s">
        <v>284</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4"/>
      <c r="K763" s="1795"/>
      <c r="L763" s="1795"/>
      <c r="M763" s="1795"/>
      <c r="N763" s="1796"/>
      <c r="O763" s="1945"/>
      <c r="P763" s="1945"/>
      <c r="Q763" s="1945"/>
      <c r="R763" s="1945"/>
      <c r="S763" s="1945"/>
      <c r="T763" s="1958"/>
      <c r="U763" s="1959"/>
      <c r="V763" s="1959"/>
      <c r="W763" s="1960"/>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4"/>
      <c r="K764" s="1795"/>
      <c r="L764" s="1795"/>
      <c r="M764" s="1795"/>
      <c r="N764" s="1796"/>
      <c r="O764" s="1945"/>
      <c r="P764" s="1945"/>
      <c r="Q764" s="1945"/>
      <c r="R764" s="1945"/>
      <c r="S764" s="1945"/>
      <c r="T764" s="1958"/>
      <c r="U764" s="1959"/>
      <c r="V764" s="1959"/>
      <c r="W764" s="1960"/>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7"/>
      <c r="K765" s="1798"/>
      <c r="L765" s="1798"/>
      <c r="M765" s="1798"/>
      <c r="N765" s="1799"/>
      <c r="O765" s="1945"/>
      <c r="P765" s="1945"/>
      <c r="Q765" s="1945"/>
      <c r="R765" s="1945"/>
      <c r="S765" s="1945"/>
      <c r="T765" s="1961"/>
      <c r="U765" s="1962"/>
      <c r="V765" s="1962"/>
      <c r="W765" s="1963"/>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6" t="s">
        <v>975</v>
      </c>
      <c r="K776" s="1787"/>
      <c r="L776" s="1787"/>
      <c r="M776" s="1787"/>
      <c r="N776" s="1788"/>
      <c r="O776" s="1862">
        <f>SUM(O766:S775)</f>
        <v>0</v>
      </c>
      <c r="P776" s="1862"/>
      <c r="Q776" s="1862"/>
      <c r="R776" s="1862"/>
      <c r="S776" s="1862"/>
      <c r="X776" s="1463" t="s">
        <v>974</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4">
        <f>T731+AC756+AC776</f>
        <v>98961</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4">
        <f>(T731+AC756+AC776)*12</f>
        <v>1187532</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2">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1">
        <f>'Subsidy Contract Calculation'!I30</f>
        <v>0</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1">
        <v>12600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1"/>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1"/>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5" t="s">
        <v>621</v>
      </c>
      <c r="Q794" s="1716"/>
      <c r="R794" s="1716"/>
      <c r="S794" s="1716"/>
      <c r="T794" s="1716"/>
      <c r="U794" s="1716"/>
      <c r="V794" s="1716"/>
      <c r="W794" s="1716"/>
      <c r="X794" s="1716"/>
      <c r="Y794" s="1717"/>
      <c r="Z794" s="1701"/>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08">
        <f>SUM(Z791:AE794)</f>
        <v>12600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08">
        <f>Z795+Y779+Z787</f>
        <v>1200132</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976</v>
      </c>
      <c r="N801" s="2095"/>
      <c r="O801" s="2095"/>
      <c r="P801" s="2096"/>
      <c r="Q801" s="1771" t="s">
        <v>290</v>
      </c>
      <c r="R801" s="1771"/>
      <c r="S801" s="1771"/>
      <c r="T801" s="1771"/>
      <c r="U801" s="1771" t="s">
        <v>291</v>
      </c>
      <c r="V801" s="1771"/>
      <c r="W801" s="1771"/>
      <c r="X801" s="1771"/>
      <c r="Y801" s="1771" t="s">
        <v>292</v>
      </c>
      <c r="Z801" s="1771"/>
      <c r="AA801" s="1771"/>
      <c r="AB801" s="1771"/>
      <c r="AC801" s="1771" t="s">
        <v>36</v>
      </c>
      <c r="AD801" s="1771"/>
      <c r="AE801" s="1771"/>
      <c r="AF801" s="1771"/>
      <c r="AG801" s="2161" t="s">
        <v>622</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1"/>
      <c r="R802" s="1771"/>
      <c r="S802" s="1771"/>
      <c r="T802" s="1771"/>
      <c r="U802" s="1771"/>
      <c r="V802" s="1771"/>
      <c r="W802" s="1771"/>
      <c r="X802" s="1771"/>
      <c r="Y802" s="1771"/>
      <c r="Z802" s="1771"/>
      <c r="AA802" s="1771"/>
      <c r="AB802" s="1771"/>
      <c r="AC802" s="1771"/>
      <c r="AD802" s="1771"/>
      <c r="AE802" s="1771"/>
      <c r="AF802" s="1771"/>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759</v>
      </c>
      <c r="D803" s="1902"/>
      <c r="E803" s="1902"/>
      <c r="F803" s="1902"/>
      <c r="G803" s="1902"/>
      <c r="H803" s="1902"/>
      <c r="I803" s="94"/>
      <c r="J803" s="94"/>
      <c r="K803" s="94"/>
      <c r="L803" s="95"/>
      <c r="M803" s="1790"/>
      <c r="N803" s="1790"/>
      <c r="O803" s="1790"/>
      <c r="P803" s="1790"/>
      <c r="Q803" s="1790"/>
      <c r="R803" s="1790"/>
      <c r="S803" s="1790"/>
      <c r="T803" s="1790"/>
      <c r="U803" s="1790"/>
      <c r="V803" s="1790"/>
      <c r="W803" s="1790"/>
      <c r="X803" s="1790"/>
      <c r="Y803" s="1790"/>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760</v>
      </c>
      <c r="D804" s="1818"/>
      <c r="E804" s="1818"/>
      <c r="F804" s="1818"/>
      <c r="G804" s="1818"/>
      <c r="H804" s="1818"/>
      <c r="I804" s="91"/>
      <c r="J804" s="91"/>
      <c r="K804" s="91"/>
      <c r="L804" s="92"/>
      <c r="M804" s="1790"/>
      <c r="N804" s="1790"/>
      <c r="O804" s="1790"/>
      <c r="P804" s="1790"/>
      <c r="Q804" s="1790"/>
      <c r="R804" s="1790"/>
      <c r="S804" s="1790"/>
      <c r="T804" s="1790"/>
      <c r="U804" s="1790"/>
      <c r="V804" s="1790"/>
      <c r="W804" s="1790"/>
      <c r="X804" s="1790"/>
      <c r="Y804" s="1790"/>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77</v>
      </c>
      <c r="D805" s="1818"/>
      <c r="E805" s="1818"/>
      <c r="F805" s="1818"/>
      <c r="G805" s="1818"/>
      <c r="H805" s="1818"/>
      <c r="I805" s="110"/>
      <c r="J805" s="110"/>
      <c r="K805" s="110"/>
      <c r="L805" s="111"/>
      <c r="M805" s="1790"/>
      <c r="N805" s="1790"/>
      <c r="O805" s="1790"/>
      <c r="P805" s="1790"/>
      <c r="Q805" s="1790"/>
      <c r="R805" s="1790"/>
      <c r="S805" s="1790"/>
      <c r="T805" s="1790"/>
      <c r="U805" s="1790">
        <v>15</v>
      </c>
      <c r="V805" s="1790"/>
      <c r="W805" s="1790"/>
      <c r="X805" s="1790"/>
      <c r="Y805" s="1790">
        <v>22</v>
      </c>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194</v>
      </c>
      <c r="D806" s="1818"/>
      <c r="E806" s="1818"/>
      <c r="F806" s="1818"/>
      <c r="G806" s="1818"/>
      <c r="H806" s="1818"/>
      <c r="I806" s="110"/>
      <c r="J806" s="110"/>
      <c r="K806" s="110"/>
      <c r="L806" s="111"/>
      <c r="M806" s="1790"/>
      <c r="N806" s="1790"/>
      <c r="O806" s="1790"/>
      <c r="P806" s="1790"/>
      <c r="Q806" s="1790"/>
      <c r="R806" s="1790"/>
      <c r="S806" s="1790"/>
      <c r="T806" s="1790"/>
      <c r="U806" s="1790">
        <v>53</v>
      </c>
      <c r="V806" s="1790"/>
      <c r="W806" s="1790"/>
      <c r="X806" s="1790"/>
      <c r="Y806" s="1790">
        <v>68</v>
      </c>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7" t="s">
        <v>865</v>
      </c>
      <c r="D807" s="1818"/>
      <c r="E807" s="1818"/>
      <c r="F807" s="1818"/>
      <c r="G807" s="1818"/>
      <c r="H807" s="1818"/>
      <c r="I807" s="110"/>
      <c r="J807" s="110"/>
      <c r="K807" s="110"/>
      <c r="L807" s="111"/>
      <c r="M807" s="1790"/>
      <c r="N807" s="1790"/>
      <c r="O807" s="1790"/>
      <c r="P807" s="1790"/>
      <c r="Q807" s="1790"/>
      <c r="R807" s="1790"/>
      <c r="S807" s="1790"/>
      <c r="T807" s="1790"/>
      <c r="U807" s="1790"/>
      <c r="V807" s="1790"/>
      <c r="W807" s="1790"/>
      <c r="X807" s="1790"/>
      <c r="Y807" s="1790"/>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1" t="s">
        <v>1046</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33" t="s">
        <v>621</v>
      </c>
      <c r="G809" s="1699"/>
      <c r="H809" s="1699"/>
      <c r="I809" s="1699"/>
      <c r="J809" s="1699"/>
      <c r="K809" s="1699"/>
      <c r="L809" s="1700"/>
      <c r="M809" s="1790"/>
      <c r="N809" s="1790"/>
      <c r="O809" s="1790"/>
      <c r="P809" s="1790"/>
      <c r="Q809" s="1790"/>
      <c r="R809" s="1790"/>
      <c r="S809" s="1790"/>
      <c r="T809" s="1790"/>
      <c r="U809" s="1790"/>
      <c r="V809" s="1790"/>
      <c r="W809" s="1790"/>
      <c r="X809" s="1790"/>
      <c r="Y809" s="1790"/>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974</v>
      </c>
      <c r="D810" s="1787"/>
      <c r="E810" s="1787"/>
      <c r="F810" s="1787"/>
      <c r="G810" s="1787"/>
      <c r="H810" s="1787"/>
      <c r="I810" s="1787"/>
      <c r="J810" s="1787"/>
      <c r="K810" s="1787"/>
      <c r="L810" s="1788"/>
      <c r="M810" s="1789">
        <f>SUM(M803:P809)</f>
        <v>0</v>
      </c>
      <c r="N810" s="1789"/>
      <c r="O810" s="1789"/>
      <c r="P810" s="1789"/>
      <c r="Q810" s="1789">
        <f>SUM(Q803:T809)</f>
        <v>0</v>
      </c>
      <c r="R810" s="1789"/>
      <c r="S810" s="1789"/>
      <c r="T810" s="1789"/>
      <c r="U810" s="1789">
        <f>SUM(U803:X809)</f>
        <v>68</v>
      </c>
      <c r="V810" s="1789"/>
      <c r="W810" s="1789"/>
      <c r="X810" s="1789"/>
      <c r="Y810" s="1789">
        <f>SUM(Y803:AB809)</f>
        <v>90</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2371</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5" t="s">
        <v>411</v>
      </c>
      <c r="BB819" s="1736"/>
      <c r="BC819" s="72"/>
      <c r="BD819" s="72"/>
      <c r="BE819" s="72"/>
      <c r="BF819" s="65" t="s">
        <v>468</v>
      </c>
      <c r="BG819" s="65"/>
      <c r="BH819" s="65"/>
      <c r="BI819" s="65"/>
      <c r="BJ819" s="65"/>
      <c r="BK819" s="65"/>
      <c r="BL819" s="65"/>
      <c r="BM819" s="65"/>
      <c r="BN819" s="65"/>
      <c r="BO819" s="1732" t="str">
        <f>T189</f>
        <v>San Diego</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48"/>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8">
        <v>3600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8">
        <v>9000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98" t="s">
        <v>2488</v>
      </c>
      <c r="N824" s="1699"/>
      <c r="O824" s="1699"/>
      <c r="P824" s="1699"/>
      <c r="Q824" s="1699"/>
      <c r="R824" s="1699"/>
      <c r="S824" s="1699"/>
      <c r="T824" s="1699"/>
      <c r="U824" s="1699"/>
      <c r="V824" s="1700"/>
      <c r="W824" s="1748">
        <v>34200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8">
        <f>SUM(W820:AC824)</f>
        <v>46800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6" t="s">
        <v>517</v>
      </c>
      <c r="K827" s="1787"/>
      <c r="L827" s="1787"/>
      <c r="M827" s="1787"/>
      <c r="N827" s="1787"/>
      <c r="O827" s="1787"/>
      <c r="P827" s="1787"/>
      <c r="Q827" s="1787"/>
      <c r="R827" s="1787"/>
      <c r="S827" s="1787"/>
      <c r="T827" s="1787"/>
      <c r="U827" s="1787"/>
      <c r="V827" s="1788"/>
      <c r="W827" s="1701">
        <v>46800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5"/>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5"/>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5">
        <v>24000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5">
        <v>63000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87000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6">
        <v>36000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65">
        <v>2</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6">
        <v>32000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65">
        <v>1</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8" t="s">
        <v>2489</v>
      </c>
      <c r="N839" s="1699"/>
      <c r="O839" s="1699"/>
      <c r="P839" s="1699"/>
      <c r="Q839" s="1699"/>
      <c r="R839" s="1699"/>
      <c r="S839" s="1699"/>
      <c r="T839" s="1699"/>
      <c r="U839" s="1699"/>
      <c r="V839" s="1700"/>
      <c r="W839" s="1866">
        <v>33600</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101600</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55000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48">
        <v>5000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8">
        <v>35500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8">
        <v>22000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8">
        <v>4000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8"/>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48">
        <v>10800</v>
      </c>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98" t="s">
        <v>2490</v>
      </c>
      <c r="N849" s="1699"/>
      <c r="O849" s="1699"/>
      <c r="P849" s="1699"/>
      <c r="Q849" s="1699"/>
      <c r="R849" s="1699"/>
      <c r="S849" s="1699"/>
      <c r="T849" s="1699"/>
      <c r="U849" s="1699"/>
      <c r="V849" s="1700"/>
      <c r="W849" s="1748">
        <v>12000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4">
        <f>SUM(W843:AC849)</f>
        <v>89300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310</v>
      </c>
      <c r="K852" s="91"/>
      <c r="L852" s="91"/>
      <c r="M852" s="1698" t="s">
        <v>2491</v>
      </c>
      <c r="N852" s="1699"/>
      <c r="O852" s="1699"/>
      <c r="P852" s="1699"/>
      <c r="Q852" s="1699"/>
      <c r="R852" s="1699"/>
      <c r="S852" s="1699"/>
      <c r="T852" s="1699"/>
      <c r="U852" s="1699"/>
      <c r="V852" s="1700"/>
      <c r="W852" s="1701">
        <v>240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698"/>
      <c r="N853" s="1699"/>
      <c r="O853" s="1699"/>
      <c r="P853" s="1699"/>
      <c r="Q853" s="1699"/>
      <c r="R853" s="1699"/>
      <c r="S853" s="1699"/>
      <c r="T853" s="1699"/>
      <c r="U853" s="1699"/>
      <c r="V853" s="1700"/>
      <c r="W853" s="1701"/>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833"/>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33"/>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33"/>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240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426740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8">
        <f>O776+O756+G731</f>
        <v>75</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0" t="s">
        <v>384</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3">
        <f>IF(ISERROR((ROUNDDOWN(AC861/AC862,0))),0,(ROUNDDOWN(AC861/AC862,0)))</f>
        <v>5689</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1">
        <f>'Sources and Uses Budget'!B74</f>
        <v>262890</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1">
        <v>12860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1">
        <v>18750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1">
        <v>3000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9" t="s">
        <v>1339</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1339</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2"/>
      <c r="AQ874" s="1822"/>
      <c r="AR874" s="1822"/>
      <c r="AS874" s="1822"/>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4" t="s">
        <v>139</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1064</v>
      </c>
      <c r="G891" s="2177"/>
      <c r="H891" s="2177"/>
      <c r="I891" s="2177"/>
      <c r="J891" s="2177"/>
      <c r="K891" s="2177"/>
      <c r="L891" s="2177"/>
      <c r="M891" s="2177"/>
      <c r="N891" s="2177"/>
      <c r="O891" s="2177"/>
      <c r="P891" s="2177"/>
      <c r="Q891" s="2177"/>
      <c r="R891" s="2177"/>
      <c r="S891" s="2177"/>
      <c r="T891" s="2178"/>
      <c r="U891" s="1824" t="s">
        <v>383</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6" t="s">
        <v>1154</v>
      </c>
      <c r="G892" s="1827"/>
      <c r="H892" s="1827"/>
      <c r="I892" s="1827"/>
      <c r="J892" s="1827"/>
      <c r="K892" s="1827"/>
      <c r="L892" s="1827"/>
      <c r="M892" s="1827"/>
      <c r="N892" s="1827"/>
      <c r="O892" s="1827"/>
      <c r="P892" s="1827"/>
      <c r="Q892" s="1827"/>
      <c r="R892" s="1827"/>
      <c r="S892" s="1827"/>
      <c r="T892" s="2179"/>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8"/>
      <c r="G893" s="1829"/>
      <c r="H893" s="1829"/>
      <c r="I893" s="1829"/>
      <c r="J893" s="1829"/>
      <c r="K893" s="1829"/>
      <c r="L893" s="1829"/>
      <c r="M893" s="1829"/>
      <c r="N893" s="1829"/>
      <c r="O893" s="1829"/>
      <c r="P893" s="1829"/>
      <c r="Q893" s="1829"/>
      <c r="R893" s="1829"/>
      <c r="S893" s="1829"/>
      <c r="T893" s="2180"/>
      <c r="U893" s="1828"/>
      <c r="V893" s="1829"/>
      <c r="W893" s="1829"/>
      <c r="X893" s="1829"/>
      <c r="Y893" s="1829"/>
      <c r="Z893" s="1829"/>
      <c r="AA893" s="310"/>
      <c r="AB893" s="2181" t="s">
        <v>60</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0" t="s">
        <v>135</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0" t="s">
        <v>135</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0" t="s">
        <v>135</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0" t="s">
        <v>135</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0" t="s">
        <v>135</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0" t="s">
        <v>135</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0" t="s">
        <v>135</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0" t="s">
        <v>135</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0" t="s">
        <v>135</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0" t="s">
        <v>135</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4" t="s">
        <v>135</v>
      </c>
      <c r="V904" s="1835"/>
      <c r="W904" s="1835"/>
      <c r="X904" s="1835"/>
      <c r="Y904" s="1835"/>
      <c r="Z904" s="1836"/>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0" t="s">
        <v>135</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0" t="s">
        <v>135</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0" t="s">
        <v>135</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8" t="s">
        <v>530</v>
      </c>
      <c r="Q908" s="1721"/>
      <c r="R908" s="1721"/>
      <c r="S908" s="1721"/>
      <c r="T908" s="1722"/>
      <c r="U908" s="1720" t="s">
        <v>135</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5" t="s">
        <v>621</v>
      </c>
      <c r="J909" s="1716"/>
      <c r="K909" s="1716"/>
      <c r="L909" s="1716"/>
      <c r="M909" s="1716"/>
      <c r="N909" s="1716"/>
      <c r="O909" s="1716"/>
      <c r="P909" s="1716"/>
      <c r="Q909" s="1716"/>
      <c r="R909" s="1716"/>
      <c r="S909" s="1716"/>
      <c r="T909" s="1717"/>
      <c r="U909" s="1720" t="s">
        <v>135</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5" t="s">
        <v>621</v>
      </c>
      <c r="J910" s="1716"/>
      <c r="K910" s="1716"/>
      <c r="L910" s="1716"/>
      <c r="M910" s="1716"/>
      <c r="N910" s="1716"/>
      <c r="O910" s="1716"/>
      <c r="P910" s="1716"/>
      <c r="Q910" s="1716"/>
      <c r="R910" s="1716"/>
      <c r="S910" s="1716"/>
      <c r="T910" s="1717"/>
      <c r="U910" s="1720" t="s">
        <v>135</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9" t="s">
        <v>2549</v>
      </c>
      <c r="J911" s="1716"/>
      <c r="K911" s="1716"/>
      <c r="L911" s="1716"/>
      <c r="M911" s="1716"/>
      <c r="N911" s="1716"/>
      <c r="O911" s="1716"/>
      <c r="P911" s="1716"/>
      <c r="Q911" s="1716"/>
      <c r="R911" s="1716"/>
      <c r="S911" s="1716"/>
      <c r="T911" s="1717"/>
      <c r="U911" s="1720" t="s">
        <v>118</v>
      </c>
      <c r="V911" s="1721"/>
      <c r="W911" s="1721"/>
      <c r="X911" s="1721"/>
      <c r="Y911" s="1721"/>
      <c r="Z911" s="1722"/>
      <c r="AA911" s="1729">
        <f>14050000+200000</f>
        <v>14250000</v>
      </c>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9" t="s">
        <v>2396</v>
      </c>
      <c r="J912" s="1716"/>
      <c r="K912" s="1716"/>
      <c r="L912" s="1716"/>
      <c r="M912" s="1716"/>
      <c r="N912" s="1716"/>
      <c r="O912" s="1716"/>
      <c r="P912" s="1716"/>
      <c r="Q912" s="1716"/>
      <c r="R912" s="1716"/>
      <c r="S912" s="1716"/>
      <c r="T912" s="1717"/>
      <c r="U912" s="1720" t="s">
        <v>135</v>
      </c>
      <c r="V912" s="1721"/>
      <c r="W912" s="1721"/>
      <c r="X912" s="1721"/>
      <c r="Y912" s="1721"/>
      <c r="Z912" s="1722"/>
      <c r="AA912" s="1729">
        <v>3750000</v>
      </c>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96"/>
      <c r="M917" s="1869"/>
      <c r="N917" s="1869"/>
      <c r="O917" s="1869"/>
      <c r="P917" s="1869"/>
      <c r="Q917" s="1869"/>
      <c r="R917" s="1869"/>
      <c r="S917" s="1897"/>
      <c r="U917" s="117" t="s">
        <v>908</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96"/>
      <c r="M918" s="1869"/>
      <c r="N918" s="1869"/>
      <c r="O918" s="1869"/>
      <c r="P918" s="1869"/>
      <c r="Q918" s="1869"/>
      <c r="R918" s="1869"/>
      <c r="S918" s="1897"/>
      <c r="U918" s="117" t="s">
        <v>909</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08" t="s">
        <v>85</v>
      </c>
      <c r="M919" s="1909"/>
      <c r="N919" s="1909"/>
      <c r="O919" s="1909"/>
      <c r="P919" s="1909"/>
      <c r="Q919" s="1909"/>
      <c r="R919" s="1909"/>
      <c r="S919" s="1910"/>
      <c r="U919" s="117" t="s">
        <v>1226</v>
      </c>
      <c r="V919" s="91"/>
      <c r="W919" s="91"/>
      <c r="AE919" s="1723" t="s">
        <v>85</v>
      </c>
      <c r="AF919" s="1724"/>
      <c r="AG919" s="1724"/>
      <c r="AH919" s="1724"/>
      <c r="AI919" s="1724"/>
      <c r="AJ919" s="1724"/>
      <c r="AK919" s="1725"/>
      <c r="AL919" s="119"/>
      <c r="AM919" s="75"/>
      <c r="AN919" s="75"/>
      <c r="AO919" s="75"/>
      <c r="AP919" s="75"/>
      <c r="AQ919" s="75"/>
      <c r="AR919" s="75"/>
      <c r="AS919" s="75"/>
      <c r="AT919" s="75"/>
      <c r="AU919" s="75"/>
      <c r="AV919" s="75"/>
      <c r="AW919" s="66" t="s">
        <v>648</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3"/>
      <c r="M920" s="1754"/>
      <c r="N920" s="1754"/>
      <c r="O920" s="1754"/>
      <c r="P920" s="1754"/>
      <c r="Q920" s="1754"/>
      <c r="R920" s="1754"/>
      <c r="S920" s="1755"/>
      <c r="U920" s="117" t="s">
        <v>910</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1"/>
      <c r="M921" s="1912"/>
      <c r="N921" s="1912"/>
      <c r="O921" s="1912"/>
      <c r="P921" s="1912"/>
      <c r="Q921" s="1912"/>
      <c r="R921" s="1912"/>
      <c r="S921" s="1913"/>
      <c r="U921" s="117" t="s">
        <v>911</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649</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1"/>
      <c r="M922" s="1702"/>
      <c r="N922" s="1702"/>
      <c r="O922" s="1702"/>
      <c r="P922" s="1702"/>
      <c r="Q922" s="1702"/>
      <c r="R922" s="1702"/>
      <c r="S922" s="1703"/>
      <c r="U922" s="117" t="s">
        <v>912</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163</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1"/>
      <c r="M923" s="1702"/>
      <c r="N923" s="1702"/>
      <c r="O923" s="1702"/>
      <c r="P923" s="1702"/>
      <c r="Q923" s="1702"/>
      <c r="R923" s="1702"/>
      <c r="S923" s="1703"/>
      <c r="U923" s="117" t="s">
        <v>913</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650</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79"/>
      <c r="M924" s="1880"/>
      <c r="N924" s="1880"/>
      <c r="O924" s="1880"/>
      <c r="P924" s="1880"/>
      <c r="Q924" s="1880"/>
      <c r="R924" s="1880"/>
      <c r="S924" s="1881"/>
      <c r="U924" s="117" t="s">
        <v>858</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651</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5"/>
      <c r="N929" s="1706"/>
      <c r="O929" s="1706"/>
      <c r="P929" s="1706"/>
      <c r="Q929" s="1706"/>
      <c r="R929" s="1706"/>
      <c r="S929" s="1707"/>
      <c r="T929" s="117" t="s">
        <v>1053</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5"/>
      <c r="N930" s="1706"/>
      <c r="O930" s="1706"/>
      <c r="P930" s="1706"/>
      <c r="Q930" s="1706"/>
      <c r="R930" s="1706"/>
      <c r="S930" s="1707"/>
      <c r="T930" s="117" t="s">
        <v>1052</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18" t="s">
        <v>135</v>
      </c>
      <c r="N931" s="1688"/>
      <c r="O931" s="1688"/>
      <c r="P931" s="1688"/>
      <c r="Q931" s="1688"/>
      <c r="R931" s="1688"/>
      <c r="S931" s="1719"/>
      <c r="T931" s="90" t="s">
        <v>625</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5"/>
      <c r="N932" s="1706"/>
      <c r="O932" s="1706"/>
      <c r="P932" s="1706"/>
      <c r="Q932" s="1706"/>
      <c r="R932" s="1706"/>
      <c r="S932" s="1707"/>
      <c r="T932" s="90" t="s">
        <v>626</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5"/>
      <c r="N933" s="1706"/>
      <c r="O933" s="1706"/>
      <c r="P933" s="1706"/>
      <c r="Q933" s="1706"/>
      <c r="R933" s="1706"/>
      <c r="S933" s="1707"/>
      <c r="T933" s="90" t="s">
        <v>541</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3" t="s">
        <v>85</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18" t="s">
        <v>530</v>
      </c>
      <c r="P936" s="1719"/>
      <c r="Q936" s="228"/>
      <c r="R936" s="228"/>
      <c r="S936" s="229"/>
      <c r="T936" s="85" t="s">
        <v>310</v>
      </c>
      <c r="U936" s="86"/>
      <c r="V936" s="86"/>
      <c r="W936" s="1833" t="s">
        <v>621</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705"/>
      <c r="N937" s="1706"/>
      <c r="O937" s="1706"/>
      <c r="P937" s="1706"/>
      <c r="Q937" s="1706"/>
      <c r="R937" s="1706"/>
      <c r="S937" s="1707"/>
      <c r="T937" s="93"/>
      <c r="U937" s="94"/>
      <c r="V937" s="94"/>
      <c r="W937" s="94"/>
      <c r="X937" s="94"/>
      <c r="Y937" s="94"/>
      <c r="Z937" s="351" t="s">
        <v>252</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4" t="s">
        <v>140</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0" t="s">
        <v>472</v>
      </c>
      <c r="E946" s="1751"/>
      <c r="F946" s="1751"/>
      <c r="G946" s="1751"/>
      <c r="H946" s="1751"/>
      <c r="I946" s="1751"/>
      <c r="J946" s="1751"/>
      <c r="K946" s="1751"/>
      <c r="L946" s="1751"/>
      <c r="M946" s="1751"/>
      <c r="N946" s="1751"/>
      <c r="O946" s="1751"/>
      <c r="P946" s="1751"/>
      <c r="Q946" s="1752"/>
      <c r="R946" s="1750" t="s">
        <v>473</v>
      </c>
      <c r="S946" s="1751"/>
      <c r="T946" s="1751"/>
      <c r="U946" s="1751"/>
      <c r="V946" s="1751"/>
      <c r="W946" s="1751"/>
      <c r="X946" s="1751"/>
      <c r="Y946" s="1751"/>
      <c r="Z946" s="1751"/>
      <c r="AA946" s="1752"/>
      <c r="AB946" s="1750" t="s">
        <v>474</v>
      </c>
      <c r="AC946" s="1751"/>
      <c r="AD946" s="1751"/>
      <c r="AE946" s="1751"/>
      <c r="AF946" s="1751"/>
      <c r="AG946" s="1751"/>
      <c r="AH946" s="1751"/>
      <c r="AI946" s="1752"/>
      <c r="AJ946" s="1750" t="s">
        <v>475</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4" t="s">
        <v>467</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260566</v>
      </c>
      <c r="S947" s="1747"/>
      <c r="T947" s="1747"/>
      <c r="U947" s="1747"/>
      <c r="V947" s="1747"/>
      <c r="W947" s="1747"/>
      <c r="X947" s="1747"/>
      <c r="Y947" s="1747"/>
      <c r="Z947" s="1747"/>
      <c r="AA947" s="1747"/>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4" t="s">
        <v>490</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300430</v>
      </c>
      <c r="S948" s="1747"/>
      <c r="T948" s="1747"/>
      <c r="U948" s="1747"/>
      <c r="V948" s="1747"/>
      <c r="W948" s="1747"/>
      <c r="X948" s="1747"/>
      <c r="Y948" s="1747"/>
      <c r="Z948" s="1747"/>
      <c r="AA948" s="1747"/>
      <c r="AB948" s="1890">
        <f>BS652</f>
        <v>0</v>
      </c>
      <c r="AC948" s="1891"/>
      <c r="AD948" s="1891"/>
      <c r="AE948" s="1891"/>
      <c r="AF948" s="1891"/>
      <c r="AG948" s="1891"/>
      <c r="AH948" s="1891"/>
      <c r="AI948" s="1892"/>
      <c r="AJ948" s="1893">
        <f>IF(ISERROR((R948*AB948)),0,(R948*AB948))</f>
        <v>0</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4" t="s">
        <v>852</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362400</v>
      </c>
      <c r="S949" s="1747"/>
      <c r="T949" s="1747"/>
      <c r="U949" s="1747"/>
      <c r="V949" s="1747"/>
      <c r="W949" s="1747"/>
      <c r="X949" s="1747"/>
      <c r="Y949" s="1747"/>
      <c r="Z949" s="1747"/>
      <c r="AA949" s="1747"/>
      <c r="AB949" s="1890">
        <f>BX652</f>
        <v>55</v>
      </c>
      <c r="AC949" s="1891"/>
      <c r="AD949" s="1891"/>
      <c r="AE949" s="1891"/>
      <c r="AF949" s="1891"/>
      <c r="AG949" s="1891"/>
      <c r="AH949" s="1891"/>
      <c r="AI949" s="1892"/>
      <c r="AJ949" s="1893">
        <f>IF(ISERROR((R949*AB949)),0,(R949*AB949))</f>
        <v>19932000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4" t="s">
        <v>853</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463872</v>
      </c>
      <c r="S950" s="1747"/>
      <c r="T950" s="1747"/>
      <c r="U950" s="1747"/>
      <c r="V950" s="1747"/>
      <c r="W950" s="1747"/>
      <c r="X950" s="1747"/>
      <c r="Y950" s="1747"/>
      <c r="Z950" s="1747"/>
      <c r="AA950" s="1747"/>
      <c r="AB950" s="1890">
        <f>CC652</f>
        <v>20</v>
      </c>
      <c r="AC950" s="1891"/>
      <c r="AD950" s="1891"/>
      <c r="AE950" s="1891"/>
      <c r="AF950" s="1891"/>
      <c r="AG950" s="1891"/>
      <c r="AH950" s="1891"/>
      <c r="AI950" s="1892"/>
      <c r="AJ950" s="1893">
        <f>IF(ISERROR((R950*AB950)),0,(R950*AB950))</f>
        <v>9277440</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4" t="s">
        <v>866</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516782</v>
      </c>
      <c r="S951" s="1747"/>
      <c r="T951" s="1747"/>
      <c r="U951" s="1747"/>
      <c r="V951" s="1747"/>
      <c r="W951" s="1747"/>
      <c r="X951" s="1747"/>
      <c r="Y951" s="1747"/>
      <c r="Z951" s="1747"/>
      <c r="AA951" s="1747"/>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1063</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0">
        <f>SUM(AB947:AI951)</f>
        <v>75</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818</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3">
        <f>SUM(AJ947:AQ951)</f>
        <v>29209440</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527</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17" t="s">
        <v>2156</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530</v>
      </c>
      <c r="AH955" s="1923"/>
      <c r="AI955" s="131"/>
      <c r="AJ955" s="1924">
        <f>ROUND(IF(AND(AG955="yes",D957&gt;0),AJ953*0.2,0),0)</f>
        <v>0</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38" t="s">
        <v>2291</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39"/>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2" t="s">
        <v>2292</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530</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38" t="s">
        <v>2157</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42" t="s">
        <v>2293</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118</v>
      </c>
      <c r="AH964" s="1921"/>
      <c r="AI964" s="131"/>
      <c r="AJ964" s="1924">
        <f>ROUND(IF(AG964="yes",AJ953*0.1,0),0)</f>
        <v>2920944</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3" t="s">
        <v>2294</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2" t="s">
        <v>2158</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530</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6" t="s">
        <v>2159</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2" t="s">
        <v>2160</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530</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3" t="s">
        <v>2161</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7" t="s">
        <v>2162</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530</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3" t="s">
        <v>2295</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89" t="s">
        <v>2163</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0" t="s">
        <v>530</v>
      </c>
      <c r="AH977" s="1921"/>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3" t="s">
        <v>2164</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0" t="s">
        <v>135</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2" t="s">
        <v>2165</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118</v>
      </c>
      <c r="AH982" s="1921"/>
      <c r="AI982" s="131"/>
      <c r="AJ982" s="2195">
        <v>1381808</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3" t="s">
        <v>2296</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6"/>
      <c r="AG985" s="2217"/>
      <c r="AH985" s="2217"/>
      <c r="AI985" s="2218"/>
      <c r="AJ985" s="2201"/>
      <c r="AK985" s="2202"/>
      <c r="AL985" s="2202"/>
      <c r="AM985" s="2202"/>
      <c r="AN985" s="2202"/>
      <c r="AO985" s="2202"/>
      <c r="AP985" s="2202"/>
      <c r="AQ985" s="2203"/>
    </row>
    <row r="986" spans="1:97" ht="12.75" customHeight="1">
      <c r="A986" s="65"/>
      <c r="B986" s="128"/>
      <c r="C986" s="884" t="s">
        <v>637</v>
      </c>
      <c r="D986" s="1917" t="s">
        <v>2166</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118</v>
      </c>
      <c r="AH986" s="1921"/>
      <c r="AI986" s="131"/>
      <c r="AJ986" s="1924">
        <f>ROUND(IF(AG986="yes",(AJ953*0.1),0),0)</f>
        <v>2920944</v>
      </c>
      <c r="AK986" s="1925"/>
      <c r="AL986" s="1925"/>
      <c r="AM986" s="1925"/>
      <c r="AN986" s="1925"/>
      <c r="AO986" s="1925"/>
      <c r="AP986" s="1925"/>
      <c r="AQ986" s="1926"/>
    </row>
    <row r="987" spans="1:97" ht="12.75" customHeight="1">
      <c r="A987" s="65"/>
      <c r="B987" s="124"/>
      <c r="C987" s="885"/>
      <c r="D987" s="1933" t="s">
        <v>2167</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75"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850000000000001" customHeight="1">
      <c r="A989" s="883"/>
      <c r="B989" s="124"/>
      <c r="C989" s="884" t="s">
        <v>640</v>
      </c>
      <c r="D989" s="1942" t="s">
        <v>2297</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530</v>
      </c>
      <c r="AH989" s="1921"/>
      <c r="AI989" s="131"/>
      <c r="AJ989" s="1924">
        <f>ROUND(IF(AG989="yes",(AJ953*0.15),0),0)</f>
        <v>0</v>
      </c>
      <c r="AK989" s="1925"/>
      <c r="AL989" s="1925"/>
      <c r="AM989" s="1925"/>
      <c r="AN989" s="1925"/>
      <c r="AO989" s="1925"/>
      <c r="AP989" s="1925"/>
      <c r="AQ989" s="1926"/>
    </row>
    <row r="990" spans="1:97" ht="12.75" customHeight="1">
      <c r="A990" s="883"/>
      <c r="B990" s="124"/>
      <c r="C990" s="885"/>
      <c r="D990" s="2184" t="s">
        <v>2298</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1"/>
      <c r="AG990" s="1482"/>
      <c r="AH990" s="1482"/>
      <c r="AI990" s="1483"/>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1"/>
      <c r="AG991" s="1482"/>
      <c r="AH991" s="1482"/>
      <c r="AI991" s="1483"/>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7" t="s">
        <v>2299</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2" t="s">
        <v>530</v>
      </c>
      <c r="AH993" s="2183"/>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2300</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2301</v>
      </c>
      <c r="D998" s="1942" t="s">
        <v>2168</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530</v>
      </c>
      <c r="AH998" s="1921"/>
      <c r="AI998" s="131"/>
      <c r="AJ998" s="1924">
        <f>ROUND(IF(AG998="yes",(AJ953*0.1),0),0)</f>
        <v>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3" t="s">
        <v>2302</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5" t="s">
        <v>819</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4">
        <f>SUM(AJ953:AQ1001)</f>
        <v>36433136</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35381139</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0.97112526904079843</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7" t="s">
        <v>1092</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135</v>
      </c>
      <c r="B1018" s="1686"/>
      <c r="C1018" s="17">
        <v>1</v>
      </c>
      <c r="D1018" s="1607" t="s">
        <v>1703</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6" t="s">
        <v>135</v>
      </c>
      <c r="B1024" s="1686"/>
      <c r="C1024" s="17">
        <v>2</v>
      </c>
      <c r="D1024" s="1606" t="s">
        <v>1704</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135</v>
      </c>
      <c r="B1030" s="1686"/>
      <c r="C1030" s="17">
        <v>3</v>
      </c>
      <c r="D1030" s="1606" t="s">
        <v>2360</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135</v>
      </c>
      <c r="B1036" s="1686"/>
      <c r="C1036" s="17">
        <v>4</v>
      </c>
      <c r="D1036" s="1606" t="s">
        <v>2351</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6" t="s">
        <v>135</v>
      </c>
      <c r="B1039" s="1686"/>
      <c r="C1039" s="17">
        <v>5</v>
      </c>
      <c r="D1039" s="1606" t="s">
        <v>1938</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135</v>
      </c>
      <c r="B1044" s="1686"/>
      <c r="C1044" s="17">
        <v>6</v>
      </c>
      <c r="D1044" s="1607" t="s">
        <v>1705</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135</v>
      </c>
      <c r="B1047" s="1686"/>
      <c r="C1047" s="559">
        <v>7</v>
      </c>
      <c r="D1047" s="1607" t="s">
        <v>1707</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135</v>
      </c>
      <c r="B1051" s="1686"/>
      <c r="C1051" s="559">
        <v>8</v>
      </c>
      <c r="D1051" s="1606" t="s">
        <v>2320</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5" t="s">
        <v>135</v>
      </c>
      <c r="B1055" s="1695"/>
      <c r="C1055" s="559">
        <v>9</v>
      </c>
      <c r="D1055" s="1607" t="s">
        <v>1706</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5" priority="2" stopIfTrue="1" operator="equal">
      <formula>"Please Enter Amount:"</formula>
    </cfRule>
  </conditionalFormatting>
  <conditionalFormatting sqref="B1013 B1011">
    <cfRule type="cellIs" dxfId="144" priority="7" stopIfTrue="1" operator="equal">
      <formula>#N/A</formula>
    </cfRule>
  </conditionalFormatting>
  <conditionalFormatting sqref="AG434:AJ434">
    <cfRule type="expression" dxfId="143" priority="9" stopIfTrue="1">
      <formula>"iserror(d31)"</formula>
    </cfRule>
  </conditionalFormatting>
  <conditionalFormatting sqref="AF978">
    <cfRule type="cellIs" dxfId="142" priority="3" stopIfTrue="1" operator="equal">
      <formula>"Please Enter Amount:"</formula>
    </cfRule>
  </conditionalFormatting>
  <conditionalFormatting sqref="AF983">
    <cfRule type="cellIs" dxfId="14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1" activePane="bottomRight" state="frozen"/>
      <selection pane="topRight" activeCell="C1" sqref="C1"/>
      <selection pane="bottomLeft" activeCell="A4" sqref="A4"/>
      <selection pane="bottomRight" activeCell="H104" activeCellId="1" sqref="G104 H104"/>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1" t="s">
        <v>200</v>
      </c>
      <c r="G1" s="2232"/>
      <c r="H1" s="2232"/>
      <c r="I1" s="2232"/>
      <c r="J1" s="2232"/>
      <c r="K1" s="2232"/>
      <c r="L1" s="2232"/>
      <c r="M1" s="2232"/>
      <c r="N1" s="2232"/>
      <c r="O1" s="2232"/>
      <c r="P1" s="2232"/>
      <c r="Q1" s="2232"/>
      <c r="R1" s="2233"/>
      <c r="S1" s="314"/>
      <c r="T1" s="313"/>
      <c r="U1" s="315"/>
    </row>
    <row r="2" spans="1:21" s="362" customFormat="1" ht="60" customHeight="1">
      <c r="A2" s="361"/>
      <c r="B2" s="362" t="s">
        <v>875</v>
      </c>
      <c r="C2" s="362" t="s">
        <v>564</v>
      </c>
      <c r="D2" s="432" t="s">
        <v>563</v>
      </c>
      <c r="E2" s="362" t="s">
        <v>876</v>
      </c>
      <c r="F2" s="363" t="str">
        <f>Application!B632&amp;Application!C632</f>
        <v>1)US Bank Permanent Loan</v>
      </c>
      <c r="G2" s="363" t="str">
        <f>Application!B633&amp;Application!C633</f>
        <v>2)Price Philanthropies Soft Loan</v>
      </c>
      <c r="H2" s="363" t="str">
        <f>Application!B634&amp;Application!C634</f>
        <v>3)Price Philanthropies Land Donation</v>
      </c>
      <c r="I2" s="363" t="str">
        <f>Application!B635&amp;Application!C635</f>
        <v>4)RTCIP Fee Waiver</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3750000</v>
      </c>
      <c r="C4" s="371">
        <v>3750000</v>
      </c>
      <c r="D4" s="371"/>
      <c r="E4" s="371">
        <f>B4-SUM(F4:Q4)</f>
        <v>0</v>
      </c>
      <c r="F4" s="371"/>
      <c r="G4" s="371"/>
      <c r="H4" s="371">
        <v>3750000</v>
      </c>
      <c r="I4" s="371"/>
      <c r="J4" s="371"/>
      <c r="K4" s="371"/>
      <c r="L4" s="371"/>
      <c r="M4" s="371"/>
      <c r="N4" s="371"/>
      <c r="O4" s="371"/>
      <c r="P4" s="371"/>
      <c r="Q4" s="371"/>
      <c r="R4" s="371">
        <f>C4</f>
        <v>3750000</v>
      </c>
      <c r="S4" s="372"/>
      <c r="T4" s="372"/>
      <c r="U4" s="367"/>
    </row>
    <row r="5" spans="1:21" s="368" customFormat="1" ht="13.5">
      <c r="A5" s="481" t="s">
        <v>74</v>
      </c>
      <c r="B5" s="370">
        <f>SUM(C5+D5)</f>
        <v>329651</v>
      </c>
      <c r="C5" s="371">
        <v>329651</v>
      </c>
      <c r="D5" s="371"/>
      <c r="E5" s="371">
        <f>B5-SUM(F5:Q5)</f>
        <v>329651</v>
      </c>
      <c r="F5" s="371"/>
      <c r="G5" s="371"/>
      <c r="H5" s="371"/>
      <c r="I5" s="371"/>
      <c r="J5" s="371"/>
      <c r="K5" s="371"/>
      <c r="L5" s="371"/>
      <c r="M5" s="371"/>
      <c r="N5" s="371"/>
      <c r="O5" s="371"/>
      <c r="P5" s="371"/>
      <c r="Q5" s="371"/>
      <c r="R5" s="371">
        <f>SUM(E5:Q5)</f>
        <v>329651</v>
      </c>
      <c r="S5" s="372"/>
      <c r="T5" s="372"/>
      <c r="U5" s="367"/>
    </row>
    <row r="6" spans="1:21" s="368" customFormat="1">
      <c r="A6" s="369" t="s">
        <v>381</v>
      </c>
      <c r="B6" s="370">
        <f>SUM(C6+D6)</f>
        <v>30000</v>
      </c>
      <c r="C6" s="371">
        <v>30000</v>
      </c>
      <c r="D6" s="371"/>
      <c r="E6" s="371">
        <f t="shared" ref="E6:E7" si="0">B6-SUM(F6:Q6)</f>
        <v>30000</v>
      </c>
      <c r="F6" s="371"/>
      <c r="G6" s="371"/>
      <c r="H6" s="371"/>
      <c r="I6" s="371"/>
      <c r="J6" s="371"/>
      <c r="K6" s="371"/>
      <c r="L6" s="371"/>
      <c r="M6" s="371"/>
      <c r="N6" s="371"/>
      <c r="O6" s="371"/>
      <c r="P6" s="371"/>
      <c r="Q6" s="371"/>
      <c r="R6" s="371">
        <f>SUM(E6:Q6)</f>
        <v>30000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4109651</v>
      </c>
      <c r="C8" s="370">
        <f t="shared" ref="C8:R8" si="1">SUM(C4:C7)</f>
        <v>4109651</v>
      </c>
      <c r="D8" s="370">
        <f t="shared" si="1"/>
        <v>0</v>
      </c>
      <c r="E8" s="370">
        <f t="shared" si="1"/>
        <v>359651</v>
      </c>
      <c r="F8" s="370">
        <f t="shared" si="1"/>
        <v>0</v>
      </c>
      <c r="G8" s="370">
        <f t="shared" si="1"/>
        <v>0</v>
      </c>
      <c r="H8" s="370">
        <f t="shared" si="1"/>
        <v>3750000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4109651</v>
      </c>
      <c r="S8" s="372"/>
      <c r="T8" s="372"/>
      <c r="U8" s="367"/>
    </row>
    <row r="9" spans="1:21" s="368" customFormat="1">
      <c r="A9" s="369" t="s">
        <v>1937</v>
      </c>
      <c r="B9" s="370">
        <f>SUM(C9+D9)</f>
        <v>0</v>
      </c>
      <c r="C9" s="371"/>
      <c r="D9" s="371"/>
      <c r="E9" s="371">
        <f t="shared" ref="E9:E10" si="2">B9-SUM(F9:Q9)</f>
        <v>0</v>
      </c>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0</v>
      </c>
      <c r="C10" s="371"/>
      <c r="D10" s="371"/>
      <c r="E10" s="371">
        <f t="shared" si="2"/>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3">SUM(C9:C10)</f>
        <v>0</v>
      </c>
      <c r="D11" s="370">
        <f t="shared" si="3"/>
        <v>0</v>
      </c>
      <c r="E11" s="370">
        <f t="shared" si="3"/>
        <v>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0</v>
      </c>
      <c r="S11" s="372"/>
      <c r="T11" s="370">
        <f t="shared" si="3"/>
        <v>0</v>
      </c>
      <c r="U11" s="367"/>
    </row>
    <row r="12" spans="1:21" s="368" customFormat="1">
      <c r="A12" s="373" t="s">
        <v>777</v>
      </c>
      <c r="B12" s="370">
        <f t="shared" ref="B12:R12" si="4">SUM(B8+B11)</f>
        <v>4109651</v>
      </c>
      <c r="C12" s="370">
        <f t="shared" si="4"/>
        <v>4109651</v>
      </c>
      <c r="D12" s="370">
        <f t="shared" si="4"/>
        <v>0</v>
      </c>
      <c r="E12" s="370">
        <f t="shared" si="4"/>
        <v>359651</v>
      </c>
      <c r="F12" s="370">
        <f t="shared" si="4"/>
        <v>0</v>
      </c>
      <c r="G12" s="370">
        <f t="shared" si="4"/>
        <v>0</v>
      </c>
      <c r="H12" s="370">
        <f t="shared" si="4"/>
        <v>3750000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4109651</v>
      </c>
      <c r="S12" s="372"/>
      <c r="T12" s="372"/>
      <c r="U12" s="367"/>
    </row>
    <row r="13" spans="1:21" s="368" customFormat="1">
      <c r="A13" s="721" t="s">
        <v>1228</v>
      </c>
      <c r="B13" s="370">
        <f>SUM(C13+D13)</f>
        <v>65000</v>
      </c>
      <c r="C13" s="371">
        <v>65000</v>
      </c>
      <c r="D13" s="371"/>
      <c r="E13" s="371">
        <f t="shared" ref="E13:E15" si="5">B13-SUM(F13:Q13)</f>
        <v>65000</v>
      </c>
      <c r="F13" s="371"/>
      <c r="G13" s="371"/>
      <c r="H13" s="371"/>
      <c r="I13" s="371"/>
      <c r="J13" s="371"/>
      <c r="K13" s="371"/>
      <c r="L13" s="371"/>
      <c r="M13" s="371"/>
      <c r="N13" s="371"/>
      <c r="O13" s="371"/>
      <c r="P13" s="371"/>
      <c r="Q13" s="371"/>
      <c r="R13" s="371">
        <f>SUM(E13:Q13)</f>
        <v>65000</v>
      </c>
      <c r="S13" s="371">
        <f>R13</f>
        <v>65000</v>
      </c>
      <c r="T13" s="371"/>
      <c r="U13" s="367"/>
    </row>
    <row r="14" spans="1:21" s="368" customFormat="1" ht="24">
      <c r="A14" s="722" t="s">
        <v>1263</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6">SUM(C17:D17)</f>
        <v>0</v>
      </c>
      <c r="C17" s="371"/>
      <c r="D17" s="371"/>
      <c r="E17" s="371">
        <f t="shared" ref="E17:E25" si="7">B17-SUM(F17:Q17)</f>
        <v>0</v>
      </c>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6"/>
        <v>0</v>
      </c>
      <c r="C18" s="371"/>
      <c r="D18" s="371"/>
      <c r="E18" s="371">
        <f t="shared" si="7"/>
        <v>0</v>
      </c>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6"/>
        <v>0</v>
      </c>
      <c r="C19" s="371"/>
      <c r="D19" s="371"/>
      <c r="E19" s="371">
        <f t="shared" si="7"/>
        <v>0</v>
      </c>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6"/>
        <v>0</v>
      </c>
      <c r="C20" s="371"/>
      <c r="D20" s="371"/>
      <c r="E20" s="371">
        <f t="shared" si="7"/>
        <v>0</v>
      </c>
      <c r="F20" s="371"/>
      <c r="G20" s="371"/>
      <c r="H20" s="371"/>
      <c r="I20" s="371"/>
      <c r="J20" s="371"/>
      <c r="K20" s="371"/>
      <c r="L20" s="371"/>
      <c r="M20" s="371"/>
      <c r="N20" s="371"/>
      <c r="O20" s="371"/>
      <c r="P20" s="371"/>
      <c r="Q20" s="371"/>
      <c r="R20" s="371">
        <f t="shared" ref="R20:R27" si="8">SUM(E20:Q20)</f>
        <v>0</v>
      </c>
      <c r="S20" s="371"/>
      <c r="T20" s="371"/>
      <c r="U20" s="367"/>
    </row>
    <row r="21" spans="1:21" s="368" customFormat="1">
      <c r="A21" s="369" t="s">
        <v>1017</v>
      </c>
      <c r="B21" s="370">
        <f t="shared" si="6"/>
        <v>0</v>
      </c>
      <c r="C21" s="371"/>
      <c r="D21" s="371"/>
      <c r="E21" s="371">
        <f t="shared" si="7"/>
        <v>0</v>
      </c>
      <c r="F21" s="371"/>
      <c r="G21" s="371"/>
      <c r="H21" s="371"/>
      <c r="I21" s="371"/>
      <c r="J21" s="371"/>
      <c r="K21" s="371"/>
      <c r="L21" s="371"/>
      <c r="M21" s="371"/>
      <c r="N21" s="371"/>
      <c r="O21" s="371"/>
      <c r="P21" s="371"/>
      <c r="Q21" s="371"/>
      <c r="R21" s="371">
        <f t="shared" si="8"/>
        <v>0</v>
      </c>
      <c r="S21" s="371"/>
      <c r="T21" s="371"/>
      <c r="U21" s="367"/>
    </row>
    <row r="22" spans="1:21" s="368" customFormat="1">
      <c r="A22" s="369" t="s">
        <v>1018</v>
      </c>
      <c r="B22" s="370">
        <f t="shared" si="6"/>
        <v>0</v>
      </c>
      <c r="C22" s="371"/>
      <c r="D22" s="371"/>
      <c r="E22" s="371">
        <f t="shared" si="7"/>
        <v>0</v>
      </c>
      <c r="F22" s="371"/>
      <c r="G22" s="371"/>
      <c r="H22" s="371"/>
      <c r="I22" s="371"/>
      <c r="J22" s="371"/>
      <c r="K22" s="371"/>
      <c r="L22" s="371"/>
      <c r="M22" s="371"/>
      <c r="N22" s="371"/>
      <c r="O22" s="371"/>
      <c r="P22" s="371"/>
      <c r="Q22" s="371"/>
      <c r="R22" s="371">
        <f t="shared" si="8"/>
        <v>0</v>
      </c>
      <c r="S22" s="371"/>
      <c r="T22" s="371"/>
      <c r="U22" s="367"/>
    </row>
    <row r="23" spans="1:21" s="368" customFormat="1">
      <c r="A23" s="369" t="s">
        <v>1019</v>
      </c>
      <c r="B23" s="370">
        <f t="shared" si="6"/>
        <v>0</v>
      </c>
      <c r="C23" s="371"/>
      <c r="D23" s="371"/>
      <c r="E23" s="371">
        <f t="shared" si="7"/>
        <v>0</v>
      </c>
      <c r="F23" s="371"/>
      <c r="G23" s="371"/>
      <c r="H23" s="371"/>
      <c r="I23" s="371"/>
      <c r="J23" s="371"/>
      <c r="K23" s="371"/>
      <c r="L23" s="371"/>
      <c r="M23" s="371"/>
      <c r="N23" s="371"/>
      <c r="O23" s="371"/>
      <c r="P23" s="371"/>
      <c r="Q23" s="371"/>
      <c r="R23" s="371">
        <f t="shared" si="8"/>
        <v>0</v>
      </c>
      <c r="S23" s="371"/>
      <c r="T23" s="371"/>
      <c r="U23" s="367"/>
    </row>
    <row r="24" spans="1:21" s="368" customFormat="1">
      <c r="A24" s="380" t="s">
        <v>2238</v>
      </c>
      <c r="B24" s="370">
        <f t="shared" si="6"/>
        <v>0</v>
      </c>
      <c r="C24" s="371"/>
      <c r="D24" s="371"/>
      <c r="E24" s="371">
        <f t="shared" si="7"/>
        <v>0</v>
      </c>
      <c r="F24" s="371"/>
      <c r="G24" s="371"/>
      <c r="H24" s="371"/>
      <c r="I24" s="371"/>
      <c r="J24" s="371"/>
      <c r="K24" s="371"/>
      <c r="L24" s="371"/>
      <c r="M24" s="371"/>
      <c r="N24" s="371"/>
      <c r="O24" s="371"/>
      <c r="P24" s="371"/>
      <c r="Q24" s="371"/>
      <c r="R24" s="371">
        <f t="shared" si="8"/>
        <v>0</v>
      </c>
      <c r="S24" s="371"/>
      <c r="T24" s="371"/>
      <c r="U24" s="367"/>
    </row>
    <row r="25" spans="1:21" s="368" customFormat="1">
      <c r="A25" s="376" t="s">
        <v>591</v>
      </c>
      <c r="B25" s="370">
        <f t="shared" si="6"/>
        <v>0</v>
      </c>
      <c r="C25" s="371"/>
      <c r="D25" s="371"/>
      <c r="E25" s="371">
        <f t="shared" si="7"/>
        <v>0</v>
      </c>
      <c r="F25" s="371"/>
      <c r="G25" s="371"/>
      <c r="H25" s="371"/>
      <c r="I25" s="371"/>
      <c r="J25" s="371"/>
      <c r="K25" s="371"/>
      <c r="L25" s="371"/>
      <c r="M25" s="371"/>
      <c r="N25" s="371"/>
      <c r="O25" s="371"/>
      <c r="P25" s="371"/>
      <c r="Q25" s="371"/>
      <c r="R25" s="371">
        <f t="shared" si="8"/>
        <v>0</v>
      </c>
      <c r="S25" s="371"/>
      <c r="T25" s="371"/>
      <c r="U25" s="367"/>
    </row>
    <row r="26" spans="1:21" s="368" customFormat="1">
      <c r="A26" s="373" t="s">
        <v>247</v>
      </c>
      <c r="B26" s="370">
        <f t="shared" si="6"/>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1020</v>
      </c>
      <c r="B27" s="370">
        <f t="shared" si="6"/>
        <v>0</v>
      </c>
      <c r="C27" s="371"/>
      <c r="D27" s="371"/>
      <c r="E27" s="371">
        <f>B27-SUM(F27:Q27)</f>
        <v>0</v>
      </c>
      <c r="F27" s="371"/>
      <c r="G27" s="371"/>
      <c r="H27" s="371"/>
      <c r="I27" s="371"/>
      <c r="J27" s="371"/>
      <c r="K27" s="371"/>
      <c r="L27" s="371"/>
      <c r="M27" s="371"/>
      <c r="N27" s="371"/>
      <c r="O27" s="371"/>
      <c r="P27" s="371"/>
      <c r="Q27" s="371"/>
      <c r="R27" s="371">
        <f t="shared" si="8"/>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10">SUM(C29+D29)</f>
        <v>2002902</v>
      </c>
      <c r="C29" s="371">
        <v>2002902</v>
      </c>
      <c r="D29" s="371"/>
      <c r="E29" s="371">
        <f t="shared" ref="E29:E37" si="11">B29-SUM(F29:Q29)</f>
        <v>39835</v>
      </c>
      <c r="F29" s="371">
        <v>1963067</v>
      </c>
      <c r="G29" s="371"/>
      <c r="H29" s="371"/>
      <c r="I29" s="371"/>
      <c r="J29" s="371"/>
      <c r="K29" s="371"/>
      <c r="L29" s="371"/>
      <c r="M29" s="371"/>
      <c r="N29" s="371"/>
      <c r="O29" s="371"/>
      <c r="P29" s="371"/>
      <c r="Q29" s="371"/>
      <c r="R29" s="371">
        <f t="shared" ref="R29:R37" si="12">SUM(E29:Q29)</f>
        <v>2002902</v>
      </c>
      <c r="S29" s="371">
        <f>R29</f>
        <v>2002902</v>
      </c>
      <c r="T29" s="371"/>
      <c r="U29" s="367"/>
    </row>
    <row r="30" spans="1:21" s="368" customFormat="1">
      <c r="A30" s="369" t="s">
        <v>1014</v>
      </c>
      <c r="B30" s="370">
        <f t="shared" si="10"/>
        <v>22412933</v>
      </c>
      <c r="C30" s="371">
        <v>22412933</v>
      </c>
      <c r="D30" s="371"/>
      <c r="E30" s="371">
        <f t="shared" si="11"/>
        <v>0</v>
      </c>
      <c r="F30" s="371">
        <v>8162933</v>
      </c>
      <c r="G30" s="371">
        <v>14250000</v>
      </c>
      <c r="H30" s="371"/>
      <c r="I30" s="371"/>
      <c r="J30" s="371"/>
      <c r="K30" s="371"/>
      <c r="L30" s="371"/>
      <c r="M30" s="371"/>
      <c r="N30" s="371"/>
      <c r="O30" s="371"/>
      <c r="P30" s="371"/>
      <c r="Q30" s="371"/>
      <c r="R30" s="371">
        <f t="shared" si="12"/>
        <v>22412933</v>
      </c>
      <c r="S30" s="371">
        <f>R30</f>
        <v>22412933</v>
      </c>
      <c r="T30" s="371"/>
      <c r="U30" s="367"/>
    </row>
    <row r="31" spans="1:21" s="368" customFormat="1">
      <c r="A31" s="369" t="s">
        <v>1015</v>
      </c>
      <c r="B31" s="370">
        <f t="shared" si="10"/>
        <v>1170000</v>
      </c>
      <c r="C31" s="371">
        <v>1170000</v>
      </c>
      <c r="D31" s="371"/>
      <c r="E31" s="371">
        <f t="shared" si="11"/>
        <v>1170000</v>
      </c>
      <c r="F31" s="371"/>
      <c r="G31" s="371"/>
      <c r="H31" s="371"/>
      <c r="I31" s="371"/>
      <c r="J31" s="371"/>
      <c r="K31" s="371"/>
      <c r="L31" s="371"/>
      <c r="M31" s="371"/>
      <c r="N31" s="371"/>
      <c r="O31" s="371"/>
      <c r="P31" s="371"/>
      <c r="Q31" s="371"/>
      <c r="R31" s="371">
        <f t="shared" si="12"/>
        <v>1170000</v>
      </c>
      <c r="S31" s="371">
        <f>R31</f>
        <v>1170000</v>
      </c>
      <c r="T31" s="371"/>
      <c r="U31" s="367"/>
    </row>
    <row r="32" spans="1:21" s="368" customFormat="1">
      <c r="A32" s="369" t="s">
        <v>1016</v>
      </c>
      <c r="B32" s="370">
        <f t="shared" si="10"/>
        <v>1473662</v>
      </c>
      <c r="C32" s="371">
        <v>1473662</v>
      </c>
      <c r="D32" s="371"/>
      <c r="E32" s="371">
        <f t="shared" si="11"/>
        <v>1473662</v>
      </c>
      <c r="F32" s="371"/>
      <c r="G32" s="371"/>
      <c r="H32" s="371"/>
      <c r="I32" s="371"/>
      <c r="J32" s="371"/>
      <c r="K32" s="371"/>
      <c r="L32" s="371"/>
      <c r="M32" s="371"/>
      <c r="N32" s="371"/>
      <c r="O32" s="371"/>
      <c r="P32" s="371"/>
      <c r="Q32" s="371"/>
      <c r="R32" s="371">
        <f t="shared" si="12"/>
        <v>1473662</v>
      </c>
      <c r="S32" s="371">
        <f>R32</f>
        <v>1473662</v>
      </c>
      <c r="T32" s="371"/>
      <c r="U32" s="367"/>
    </row>
    <row r="33" spans="1:21" s="368" customFormat="1">
      <c r="A33" s="369" t="s">
        <v>1017</v>
      </c>
      <c r="B33" s="370">
        <f t="shared" si="10"/>
        <v>0</v>
      </c>
      <c r="C33" s="371"/>
      <c r="D33" s="371"/>
      <c r="E33" s="371">
        <f t="shared" si="11"/>
        <v>0</v>
      </c>
      <c r="F33" s="371"/>
      <c r="G33" s="371"/>
      <c r="H33" s="371"/>
      <c r="I33" s="371"/>
      <c r="J33" s="371"/>
      <c r="K33" s="371"/>
      <c r="L33" s="371"/>
      <c r="M33" s="371"/>
      <c r="N33" s="371"/>
      <c r="O33" s="371"/>
      <c r="P33" s="371"/>
      <c r="Q33" s="371"/>
      <c r="R33" s="371">
        <f t="shared" si="12"/>
        <v>0</v>
      </c>
      <c r="S33" s="371"/>
      <c r="T33" s="371"/>
      <c r="U33" s="367"/>
    </row>
    <row r="34" spans="1:21" s="368" customFormat="1">
      <c r="A34" s="369" t="s">
        <v>1018</v>
      </c>
      <c r="B34" s="370">
        <f t="shared" si="10"/>
        <v>0</v>
      </c>
      <c r="C34" s="371"/>
      <c r="D34" s="371"/>
      <c r="E34" s="371">
        <f t="shared" si="11"/>
        <v>0</v>
      </c>
      <c r="F34" s="371"/>
      <c r="G34" s="371"/>
      <c r="H34" s="371"/>
      <c r="I34" s="371"/>
      <c r="J34" s="371"/>
      <c r="K34" s="371"/>
      <c r="L34" s="371"/>
      <c r="M34" s="371"/>
      <c r="N34" s="371"/>
      <c r="O34" s="371"/>
      <c r="P34" s="371"/>
      <c r="Q34" s="371"/>
      <c r="R34" s="371">
        <f t="shared" si="12"/>
        <v>0</v>
      </c>
      <c r="S34" s="371"/>
      <c r="T34" s="371"/>
      <c r="U34" s="367"/>
    </row>
    <row r="35" spans="1:21" s="368" customFormat="1">
      <c r="A35" s="369" t="s">
        <v>1019</v>
      </c>
      <c r="B35" s="370">
        <f t="shared" si="10"/>
        <v>586658</v>
      </c>
      <c r="C35" s="371">
        <v>586658</v>
      </c>
      <c r="D35" s="371"/>
      <c r="E35" s="371">
        <f t="shared" si="11"/>
        <v>586658</v>
      </c>
      <c r="F35" s="371"/>
      <c r="G35" s="371"/>
      <c r="H35" s="371"/>
      <c r="I35" s="371"/>
      <c r="J35" s="371"/>
      <c r="K35" s="371"/>
      <c r="L35" s="371"/>
      <c r="M35" s="371"/>
      <c r="N35" s="371"/>
      <c r="O35" s="371"/>
      <c r="P35" s="371"/>
      <c r="Q35" s="371"/>
      <c r="R35" s="371">
        <f t="shared" si="12"/>
        <v>586658</v>
      </c>
      <c r="S35" s="371">
        <f>R35</f>
        <v>586658</v>
      </c>
      <c r="T35" s="371"/>
      <c r="U35" s="367"/>
    </row>
    <row r="36" spans="1:21" s="368" customFormat="1">
      <c r="A36" s="380" t="s">
        <v>2238</v>
      </c>
      <c r="B36" s="370">
        <f t="shared" si="10"/>
        <v>0</v>
      </c>
      <c r="C36" s="371"/>
      <c r="D36" s="371"/>
      <c r="E36" s="371">
        <f t="shared" si="11"/>
        <v>0</v>
      </c>
      <c r="F36" s="371"/>
      <c r="G36" s="371"/>
      <c r="H36" s="371"/>
      <c r="I36" s="371"/>
      <c r="J36" s="371"/>
      <c r="K36" s="371"/>
      <c r="L36" s="371"/>
      <c r="M36" s="371"/>
      <c r="N36" s="371"/>
      <c r="O36" s="371"/>
      <c r="P36" s="371"/>
      <c r="Q36" s="371"/>
      <c r="R36" s="371">
        <f t="shared" si="12"/>
        <v>0</v>
      </c>
      <c r="S36" s="371"/>
      <c r="T36" s="371"/>
      <c r="U36" s="367"/>
    </row>
    <row r="37" spans="1:21" s="368" customFormat="1">
      <c r="A37" s="376" t="s">
        <v>2492</v>
      </c>
      <c r="B37" s="370">
        <f t="shared" si="10"/>
        <v>200000</v>
      </c>
      <c r="C37" s="371"/>
      <c r="D37" s="371">
        <v>200000</v>
      </c>
      <c r="E37" s="371">
        <f t="shared" si="11"/>
        <v>200000</v>
      </c>
      <c r="F37" s="371"/>
      <c r="G37" s="371"/>
      <c r="H37" s="371"/>
      <c r="I37" s="371"/>
      <c r="J37" s="371"/>
      <c r="K37" s="371"/>
      <c r="L37" s="371"/>
      <c r="M37" s="371"/>
      <c r="N37" s="371"/>
      <c r="O37" s="371"/>
      <c r="P37" s="371"/>
      <c r="Q37" s="371"/>
      <c r="R37" s="371">
        <f t="shared" si="12"/>
        <v>200000</v>
      </c>
      <c r="S37" s="371"/>
      <c r="T37" s="371"/>
      <c r="U37" s="367"/>
    </row>
    <row r="38" spans="1:21" s="368" customFormat="1">
      <c r="A38" s="373" t="s">
        <v>1022</v>
      </c>
      <c r="B38" s="370">
        <f t="shared" si="10"/>
        <v>27846155</v>
      </c>
      <c r="C38" s="370">
        <f>SUM(C29:C37)</f>
        <v>27646155</v>
      </c>
      <c r="D38" s="370">
        <f>SUM(D29:D37)</f>
        <v>200000</v>
      </c>
      <c r="E38" s="370">
        <f>SUM(E29:E37)</f>
        <v>3470155</v>
      </c>
      <c r="F38" s="370">
        <f t="shared" ref="F38:T38" si="13">SUM(F29:F37)</f>
        <v>10126000</v>
      </c>
      <c r="G38" s="370">
        <f t="shared" si="13"/>
        <v>14250000</v>
      </c>
      <c r="H38" s="370">
        <f t="shared" si="13"/>
        <v>0</v>
      </c>
      <c r="I38" s="370">
        <f t="shared" si="13"/>
        <v>0</v>
      </c>
      <c r="J38" s="370">
        <f t="shared" si="13"/>
        <v>0</v>
      </c>
      <c r="K38" s="370">
        <f t="shared" si="13"/>
        <v>0</v>
      </c>
      <c r="L38" s="370">
        <f t="shared" si="13"/>
        <v>0</v>
      </c>
      <c r="M38" s="370">
        <f t="shared" si="13"/>
        <v>0</v>
      </c>
      <c r="N38" s="370">
        <f t="shared" si="13"/>
        <v>0</v>
      </c>
      <c r="O38" s="370">
        <f t="shared" si="13"/>
        <v>0</v>
      </c>
      <c r="P38" s="370">
        <f t="shared" si="13"/>
        <v>0</v>
      </c>
      <c r="Q38" s="370">
        <f t="shared" si="13"/>
        <v>0</v>
      </c>
      <c r="R38" s="370">
        <f t="shared" si="13"/>
        <v>27846155</v>
      </c>
      <c r="S38" s="374">
        <f t="shared" si="13"/>
        <v>27646155</v>
      </c>
      <c r="T38" s="374">
        <f t="shared" si="13"/>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890000</v>
      </c>
      <c r="C40" s="371">
        <v>890000</v>
      </c>
      <c r="D40" s="371"/>
      <c r="E40" s="371">
        <f t="shared" ref="E40:E41" si="14">B40-SUM(F40:Q40)</f>
        <v>890000</v>
      </c>
      <c r="F40" s="371"/>
      <c r="G40" s="371"/>
      <c r="H40" s="371"/>
      <c r="I40" s="371"/>
      <c r="J40" s="371"/>
      <c r="K40" s="371"/>
      <c r="L40" s="371"/>
      <c r="M40" s="371"/>
      <c r="N40" s="371"/>
      <c r="O40" s="371"/>
      <c r="P40" s="371"/>
      <c r="Q40" s="371"/>
      <c r="R40" s="371">
        <f>SUM(E40:Q40)</f>
        <v>890000</v>
      </c>
      <c r="S40" s="371">
        <f>R40</f>
        <v>890000</v>
      </c>
      <c r="T40" s="371"/>
      <c r="U40" s="367"/>
    </row>
    <row r="41" spans="1:21" s="368" customFormat="1">
      <c r="A41" s="369" t="s">
        <v>1025</v>
      </c>
      <c r="B41" s="370">
        <f>SUM(C41+D41)</f>
        <v>0</v>
      </c>
      <c r="C41" s="371"/>
      <c r="D41" s="371"/>
      <c r="E41" s="371">
        <f t="shared" si="14"/>
        <v>0</v>
      </c>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890000</v>
      </c>
      <c r="C42" s="370">
        <f>SUM(C39:C41)</f>
        <v>890000</v>
      </c>
      <c r="D42" s="370">
        <f>SUM(D39:D41)</f>
        <v>0</v>
      </c>
      <c r="E42" s="370">
        <f t="shared" ref="E42:T42" si="15">SUM(E40:E41)</f>
        <v>890000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890000</v>
      </c>
      <c r="S42" s="374">
        <f t="shared" si="15"/>
        <v>890000</v>
      </c>
      <c r="T42" s="374">
        <f t="shared" si="15"/>
        <v>0</v>
      </c>
      <c r="U42" s="367"/>
    </row>
    <row r="43" spans="1:21" s="368" customFormat="1">
      <c r="A43" s="373" t="s">
        <v>1027</v>
      </c>
      <c r="B43" s="370">
        <f>SUM(C43:D43)</f>
        <v>500000</v>
      </c>
      <c r="C43" s="371">
        <v>500000</v>
      </c>
      <c r="D43" s="371"/>
      <c r="E43" s="371">
        <f>B43-SUM(F43:Q43)</f>
        <v>500000</v>
      </c>
      <c r="F43" s="371">
        <v>0</v>
      </c>
      <c r="G43" s="371"/>
      <c r="H43" s="371"/>
      <c r="I43" s="371"/>
      <c r="J43" s="371"/>
      <c r="K43" s="371"/>
      <c r="L43" s="371"/>
      <c r="M43" s="371"/>
      <c r="N43" s="371"/>
      <c r="O43" s="371"/>
      <c r="P43" s="371"/>
      <c r="Q43" s="371"/>
      <c r="R43" s="371">
        <f>SUM(E43:Q43)</f>
        <v>500000</v>
      </c>
      <c r="S43" s="371">
        <f>R43</f>
        <v>500000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6">SUM(C45+D45)</f>
        <v>1088821</v>
      </c>
      <c r="C45" s="371">
        <v>1088821</v>
      </c>
      <c r="D45" s="371"/>
      <c r="E45" s="371">
        <f t="shared" ref="E45:E52" si="17">B45-SUM(F45:Q45)</f>
        <v>1088821</v>
      </c>
      <c r="F45" s="371"/>
      <c r="G45" s="371"/>
      <c r="H45" s="371"/>
      <c r="I45" s="371"/>
      <c r="J45" s="371"/>
      <c r="K45" s="371"/>
      <c r="L45" s="371"/>
      <c r="M45" s="371"/>
      <c r="N45" s="371"/>
      <c r="O45" s="371"/>
      <c r="P45" s="371"/>
      <c r="Q45" s="371"/>
      <c r="R45" s="371">
        <f t="shared" ref="R45:R52" si="18">SUM(E45:Q45)</f>
        <v>1088821</v>
      </c>
      <c r="S45" s="371">
        <v>725881</v>
      </c>
      <c r="T45" s="371"/>
      <c r="U45" s="367"/>
    </row>
    <row r="46" spans="1:21" s="368" customFormat="1">
      <c r="A46" s="369" t="s">
        <v>1030</v>
      </c>
      <c r="B46" s="370">
        <f t="shared" si="16"/>
        <v>221305</v>
      </c>
      <c r="C46" s="371">
        <v>221305</v>
      </c>
      <c r="D46" s="371"/>
      <c r="E46" s="371">
        <f t="shared" si="17"/>
        <v>221305</v>
      </c>
      <c r="F46" s="371"/>
      <c r="G46" s="371"/>
      <c r="H46" s="371"/>
      <c r="I46" s="371"/>
      <c r="J46" s="371"/>
      <c r="K46" s="371"/>
      <c r="L46" s="371"/>
      <c r="M46" s="371"/>
      <c r="N46" s="371"/>
      <c r="O46" s="371"/>
      <c r="P46" s="371"/>
      <c r="Q46" s="371"/>
      <c r="R46" s="371">
        <f t="shared" si="18"/>
        <v>221305</v>
      </c>
      <c r="S46" s="371">
        <f>R46</f>
        <v>221305</v>
      </c>
      <c r="T46" s="371"/>
      <c r="U46" s="367"/>
    </row>
    <row r="47" spans="1:21" s="368" customFormat="1" ht="12" customHeight="1">
      <c r="A47" s="369" t="s">
        <v>1031</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c r="T47" s="371"/>
      <c r="U47" s="367"/>
    </row>
    <row r="48" spans="1:21" s="368" customFormat="1">
      <c r="A48" s="369" t="s">
        <v>1032</v>
      </c>
      <c r="B48" s="370">
        <f t="shared" si="16"/>
        <v>50000</v>
      </c>
      <c r="C48" s="371">
        <v>50000</v>
      </c>
      <c r="D48" s="371"/>
      <c r="E48" s="371">
        <f t="shared" si="17"/>
        <v>50000</v>
      </c>
      <c r="F48" s="371"/>
      <c r="G48" s="371"/>
      <c r="H48" s="371"/>
      <c r="I48" s="371"/>
      <c r="J48" s="371"/>
      <c r="K48" s="371"/>
      <c r="L48" s="371"/>
      <c r="M48" s="371"/>
      <c r="N48" s="371"/>
      <c r="O48" s="371"/>
      <c r="P48" s="371"/>
      <c r="Q48" s="371"/>
      <c r="R48" s="371">
        <f t="shared" si="18"/>
        <v>50000</v>
      </c>
      <c r="S48" s="371">
        <f>R48</f>
        <v>50000</v>
      </c>
      <c r="T48" s="371"/>
      <c r="U48" s="367"/>
    </row>
    <row r="49" spans="1:21" s="368" customFormat="1">
      <c r="A49" s="369" t="s">
        <v>1035</v>
      </c>
      <c r="B49" s="370">
        <f t="shared" si="16"/>
        <v>40000</v>
      </c>
      <c r="C49" s="371">
        <f>40000</f>
        <v>40000</v>
      </c>
      <c r="D49" s="371"/>
      <c r="E49" s="371">
        <f t="shared" si="17"/>
        <v>40000</v>
      </c>
      <c r="F49" s="371"/>
      <c r="G49" s="371"/>
      <c r="H49" s="371"/>
      <c r="I49" s="371"/>
      <c r="J49" s="371"/>
      <c r="K49" s="371"/>
      <c r="L49" s="371"/>
      <c r="M49" s="371"/>
      <c r="N49" s="371"/>
      <c r="O49" s="371"/>
      <c r="P49" s="371"/>
      <c r="Q49" s="371"/>
      <c r="R49" s="371">
        <f t="shared" si="18"/>
        <v>40000</v>
      </c>
      <c r="S49" s="371">
        <f t="shared" ref="S49:S50" si="19">R49</f>
        <v>40000</v>
      </c>
      <c r="T49" s="371"/>
      <c r="U49" s="367"/>
    </row>
    <row r="50" spans="1:21" s="368" customFormat="1">
      <c r="A50" s="369" t="s">
        <v>1033</v>
      </c>
      <c r="B50" s="370">
        <f t="shared" si="16"/>
        <v>50000</v>
      </c>
      <c r="C50" s="371">
        <v>50000</v>
      </c>
      <c r="D50" s="371"/>
      <c r="E50" s="371">
        <f t="shared" si="17"/>
        <v>50000</v>
      </c>
      <c r="F50" s="371"/>
      <c r="G50" s="371"/>
      <c r="H50" s="371"/>
      <c r="I50" s="371"/>
      <c r="J50" s="371"/>
      <c r="K50" s="371"/>
      <c r="L50" s="371"/>
      <c r="M50" s="371"/>
      <c r="N50" s="371"/>
      <c r="O50" s="371"/>
      <c r="P50" s="371"/>
      <c r="Q50" s="371"/>
      <c r="R50" s="371">
        <f t="shared" si="18"/>
        <v>50000</v>
      </c>
      <c r="S50" s="371">
        <f t="shared" si="19"/>
        <v>50000</v>
      </c>
      <c r="T50" s="371"/>
      <c r="U50" s="367"/>
    </row>
    <row r="51" spans="1:21" s="368" customFormat="1">
      <c r="A51" s="369" t="s">
        <v>1034</v>
      </c>
      <c r="B51" s="370">
        <f t="shared" si="16"/>
        <v>200000</v>
      </c>
      <c r="C51" s="371">
        <v>200000</v>
      </c>
      <c r="D51" s="371"/>
      <c r="E51" s="371">
        <f t="shared" si="17"/>
        <v>200000</v>
      </c>
      <c r="F51" s="371"/>
      <c r="G51" s="371"/>
      <c r="H51" s="371"/>
      <c r="I51" s="371"/>
      <c r="J51" s="371"/>
      <c r="K51" s="371"/>
      <c r="L51" s="371"/>
      <c r="M51" s="371"/>
      <c r="N51" s="371"/>
      <c r="O51" s="371"/>
      <c r="P51" s="371"/>
      <c r="Q51" s="371"/>
      <c r="R51" s="371">
        <f t="shared" si="18"/>
        <v>200000</v>
      </c>
      <c r="S51" s="371">
        <f>R51</f>
        <v>200000</v>
      </c>
      <c r="T51" s="371"/>
      <c r="U51" s="367"/>
    </row>
    <row r="52" spans="1:21" s="368" customFormat="1" ht="24">
      <c r="A52" s="376" t="s">
        <v>2493</v>
      </c>
      <c r="B52" s="370">
        <f t="shared" si="16"/>
        <v>47200</v>
      </c>
      <c r="C52" s="371">
        <f>47200</f>
        <v>47200</v>
      </c>
      <c r="D52" s="371"/>
      <c r="E52" s="371">
        <f t="shared" si="17"/>
        <v>47200</v>
      </c>
      <c r="F52" s="371"/>
      <c r="G52" s="371"/>
      <c r="H52" s="371"/>
      <c r="I52" s="371"/>
      <c r="J52" s="371"/>
      <c r="K52" s="371"/>
      <c r="L52" s="371"/>
      <c r="M52" s="371"/>
      <c r="N52" s="371"/>
      <c r="O52" s="371"/>
      <c r="P52" s="371"/>
      <c r="Q52" s="371"/>
      <c r="R52" s="371">
        <f t="shared" si="18"/>
        <v>47200</v>
      </c>
      <c r="S52" s="371">
        <f>R52</f>
        <v>47200</v>
      </c>
      <c r="T52" s="371"/>
      <c r="U52" s="367"/>
    </row>
    <row r="53" spans="1:21" s="378" customFormat="1">
      <c r="A53" s="373" t="s">
        <v>1036</v>
      </c>
      <c r="B53" s="374">
        <f>SUM(C53:D53)</f>
        <v>1697326</v>
      </c>
      <c r="C53" s="374">
        <f t="shared" ref="C53:T53" si="20">SUM(C45:C52)</f>
        <v>1697326</v>
      </c>
      <c r="D53" s="374">
        <f t="shared" si="20"/>
        <v>0</v>
      </c>
      <c r="E53" s="374">
        <f t="shared" si="20"/>
        <v>1697326</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1697326</v>
      </c>
      <c r="S53" s="374">
        <f t="shared" si="20"/>
        <v>1334386</v>
      </c>
      <c r="T53" s="374">
        <f t="shared" si="20"/>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1">SUM(C55+D55)</f>
        <v>75945</v>
      </c>
      <c r="C55" s="371">
        <v>75945</v>
      </c>
      <c r="D55" s="371"/>
      <c r="E55" s="371">
        <f t="shared" ref="E55:E60" si="22">B55-SUM(F55:Q55)</f>
        <v>75945</v>
      </c>
      <c r="F55" s="371"/>
      <c r="G55" s="371"/>
      <c r="H55" s="371"/>
      <c r="I55" s="371"/>
      <c r="J55" s="371"/>
      <c r="K55" s="371"/>
      <c r="L55" s="371"/>
      <c r="M55" s="371"/>
      <c r="N55" s="371"/>
      <c r="O55" s="371"/>
      <c r="P55" s="371"/>
      <c r="Q55" s="371"/>
      <c r="R55" s="371">
        <f t="shared" ref="R55:R60" si="23">SUM(E55:Q55)</f>
        <v>75945</v>
      </c>
      <c r="S55" s="372"/>
      <c r="T55" s="372"/>
      <c r="U55" s="367"/>
    </row>
    <row r="56" spans="1:21" s="368" customFormat="1" ht="12" customHeight="1">
      <c r="A56" s="369" t="s">
        <v>1031</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1035</v>
      </c>
      <c r="B57" s="370">
        <f t="shared" si="21"/>
        <v>0</v>
      </c>
      <c r="C57" s="371"/>
      <c r="D57" s="371"/>
      <c r="E57" s="371">
        <f t="shared" si="22"/>
        <v>0</v>
      </c>
      <c r="F57" s="371"/>
      <c r="G57" s="371"/>
      <c r="H57" s="371"/>
      <c r="I57" s="371"/>
      <c r="J57" s="371"/>
      <c r="K57" s="371"/>
      <c r="L57" s="371"/>
      <c r="M57" s="371"/>
      <c r="N57" s="371"/>
      <c r="O57" s="371"/>
      <c r="P57" s="371"/>
      <c r="Q57" s="371"/>
      <c r="R57" s="371">
        <f t="shared" si="23"/>
        <v>0</v>
      </c>
      <c r="S57" s="372"/>
      <c r="T57" s="372"/>
      <c r="U57" s="367"/>
    </row>
    <row r="58" spans="1:21" s="368" customFormat="1">
      <c r="A58" s="369" t="s">
        <v>1033</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1034</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2494</v>
      </c>
      <c r="B60" s="370">
        <f t="shared" si="21"/>
        <v>15000</v>
      </c>
      <c r="C60" s="371">
        <v>15000</v>
      </c>
      <c r="D60" s="371"/>
      <c r="E60" s="371">
        <f t="shared" si="22"/>
        <v>15000</v>
      </c>
      <c r="F60" s="371"/>
      <c r="G60" s="371"/>
      <c r="H60" s="371"/>
      <c r="I60" s="371"/>
      <c r="J60" s="371"/>
      <c r="K60" s="371"/>
      <c r="L60" s="371"/>
      <c r="M60" s="371"/>
      <c r="N60" s="371"/>
      <c r="O60" s="371"/>
      <c r="P60" s="371"/>
      <c r="Q60" s="371"/>
      <c r="R60" s="371">
        <f t="shared" si="23"/>
        <v>15000</v>
      </c>
      <c r="S60" s="372"/>
      <c r="T60" s="372"/>
      <c r="U60" s="367"/>
    </row>
    <row r="61" spans="1:21" s="368" customFormat="1" ht="14.1" customHeight="1">
      <c r="A61" s="373" t="s">
        <v>548</v>
      </c>
      <c r="B61" s="370">
        <f>SUM(C61:D61)</f>
        <v>90945</v>
      </c>
      <c r="C61" s="370">
        <f t="shared" ref="C61:R61" si="24">SUM(C55:C60)</f>
        <v>90945</v>
      </c>
      <c r="D61" s="370">
        <f t="shared" si="24"/>
        <v>0</v>
      </c>
      <c r="E61" s="370">
        <f t="shared" si="24"/>
        <v>90945</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90945</v>
      </c>
      <c r="S61" s="372"/>
      <c r="T61" s="372"/>
      <c r="U61" s="367"/>
    </row>
    <row r="62" spans="1:21" s="368" customFormat="1">
      <c r="A62" s="379" t="s">
        <v>549</v>
      </c>
      <c r="B62" s="370">
        <f>SUM(C62:D62)</f>
        <v>35199077</v>
      </c>
      <c r="C62" s="370">
        <f t="shared" ref="C62:R62" si="25">SUM(C8+C11+C13+C14+C15+C26+C27+C38+C42+C43+C53+C61)</f>
        <v>34999077</v>
      </c>
      <c r="D62" s="370">
        <f t="shared" si="25"/>
        <v>200000</v>
      </c>
      <c r="E62" s="370">
        <f t="shared" si="25"/>
        <v>7073077</v>
      </c>
      <c r="F62" s="370">
        <f t="shared" si="25"/>
        <v>10126000</v>
      </c>
      <c r="G62" s="370">
        <f t="shared" si="25"/>
        <v>14250000</v>
      </c>
      <c r="H62" s="370">
        <f t="shared" si="25"/>
        <v>3750000</v>
      </c>
      <c r="I62" s="370">
        <f t="shared" si="25"/>
        <v>0</v>
      </c>
      <c r="J62" s="370">
        <f t="shared" si="25"/>
        <v>0</v>
      </c>
      <c r="K62" s="370">
        <f t="shared" si="25"/>
        <v>0</v>
      </c>
      <c r="L62" s="370">
        <f t="shared" si="25"/>
        <v>0</v>
      </c>
      <c r="M62" s="370">
        <f t="shared" si="25"/>
        <v>0</v>
      </c>
      <c r="N62" s="370">
        <f t="shared" si="25"/>
        <v>0</v>
      </c>
      <c r="O62" s="370">
        <f t="shared" si="25"/>
        <v>0</v>
      </c>
      <c r="P62" s="370">
        <f t="shared" si="25"/>
        <v>0</v>
      </c>
      <c r="Q62" s="370">
        <f t="shared" si="25"/>
        <v>0</v>
      </c>
      <c r="R62" s="370">
        <f t="shared" si="25"/>
        <v>35199077</v>
      </c>
      <c r="S62" s="370">
        <f>SUM(S10+S13+S14+S15+S26+S27+S38+S42+S43+S53)</f>
        <v>30435541</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v>55000</v>
      </c>
      <c r="D64" s="371"/>
      <c r="E64" s="371">
        <f t="shared" ref="E64:E68" si="26">B64-SUM(F64:Q64)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4">
      <c r="A65" s="369" t="s">
        <v>2240</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c r="A68" s="376" t="s">
        <v>2495</v>
      </c>
      <c r="B68" s="370">
        <f>SUM(C68+D68)</f>
        <v>30000</v>
      </c>
      <c r="C68" s="371">
        <v>30000</v>
      </c>
      <c r="D68" s="371"/>
      <c r="E68" s="371">
        <f t="shared" si="26"/>
        <v>30000</v>
      </c>
      <c r="F68" s="371"/>
      <c r="G68" s="371"/>
      <c r="H68" s="371"/>
      <c r="I68" s="371"/>
      <c r="J68" s="371"/>
      <c r="K68" s="371"/>
      <c r="L68" s="371"/>
      <c r="M68" s="371"/>
      <c r="N68" s="371"/>
      <c r="O68" s="371"/>
      <c r="P68" s="371"/>
      <c r="Q68" s="371"/>
      <c r="R68" s="371">
        <f>SUM(E68:Q68)</f>
        <v>30000</v>
      </c>
      <c r="S68" s="371">
        <f>R68</f>
        <v>30000</v>
      </c>
      <c r="T68" s="371"/>
      <c r="U68" s="367"/>
    </row>
    <row r="69" spans="1:21" s="368" customFormat="1">
      <c r="A69" s="373" t="s">
        <v>2243</v>
      </c>
      <c r="B69" s="370">
        <f>SUM(C69:D69)</f>
        <v>85000</v>
      </c>
      <c r="C69" s="370">
        <f>SUM(C63:C68)</f>
        <v>85000</v>
      </c>
      <c r="D69" s="370">
        <f>SUM(D63:D68)</f>
        <v>0</v>
      </c>
      <c r="E69" s="370">
        <f t="shared" ref="E69:T69" si="27">SUM(E64:E68)</f>
        <v>85000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85000</v>
      </c>
      <c r="S69" s="374">
        <f t="shared" si="27"/>
        <v>85000</v>
      </c>
      <c r="T69" s="374">
        <f t="shared" si="2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8">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262890</v>
      </c>
      <c r="C74" s="371">
        <f>262889+1</f>
        <v>262890</v>
      </c>
      <c r="D74" s="371"/>
      <c r="E74" s="371">
        <f t="shared" si="28"/>
        <v>262890</v>
      </c>
      <c r="F74" s="371"/>
      <c r="G74" s="371"/>
      <c r="H74" s="371"/>
      <c r="I74" s="371"/>
      <c r="J74" s="371"/>
      <c r="K74" s="371"/>
      <c r="L74" s="371"/>
      <c r="M74" s="371"/>
      <c r="N74" s="371"/>
      <c r="O74" s="371"/>
      <c r="P74" s="371"/>
      <c r="Q74" s="371"/>
      <c r="R74" s="371">
        <f>SUM(E74:Q74)</f>
        <v>262890</v>
      </c>
      <c r="S74" s="372"/>
      <c r="T74" s="372"/>
      <c r="U74" s="367"/>
    </row>
    <row r="75" spans="1:21" s="368" customFormat="1">
      <c r="A75" s="376"/>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262890</v>
      </c>
      <c r="C76" s="370">
        <f t="shared" ref="C76:Q76" si="29">SUM(C71:C75)</f>
        <v>262890</v>
      </c>
      <c r="D76" s="370">
        <f t="shared" si="29"/>
        <v>0</v>
      </c>
      <c r="E76" s="370">
        <f>SUM(E71:E75)</f>
        <v>262890</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262890</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1398790</v>
      </c>
      <c r="C78" s="371">
        <v>1398790</v>
      </c>
      <c r="D78" s="371"/>
      <c r="E78" s="371">
        <f t="shared" ref="E78:E79" si="30">B78-SUM(F78:Q78)</f>
        <v>1398790</v>
      </c>
      <c r="F78" s="371"/>
      <c r="G78" s="371"/>
      <c r="H78" s="371"/>
      <c r="I78" s="371"/>
      <c r="J78" s="371"/>
      <c r="K78" s="371"/>
      <c r="L78" s="371"/>
      <c r="M78" s="371"/>
      <c r="N78" s="371"/>
      <c r="O78" s="371"/>
      <c r="P78" s="371"/>
      <c r="Q78" s="371"/>
      <c r="R78" s="371">
        <f>SUM(E78:Q78)</f>
        <v>1398790</v>
      </c>
      <c r="S78" s="371">
        <f>R78</f>
        <v>1398790</v>
      </c>
      <c r="T78" s="371"/>
      <c r="U78" s="367"/>
    </row>
    <row r="79" spans="1:21" s="368" customFormat="1">
      <c r="A79" s="369" t="s">
        <v>596</v>
      </c>
      <c r="B79" s="370">
        <f>SUM(C79+D79)</f>
        <v>160000</v>
      </c>
      <c r="C79" s="371">
        <v>160000</v>
      </c>
      <c r="D79" s="371"/>
      <c r="E79" s="371">
        <f t="shared" si="30"/>
        <v>160000</v>
      </c>
      <c r="F79" s="371"/>
      <c r="G79" s="371"/>
      <c r="H79" s="371"/>
      <c r="I79" s="371"/>
      <c r="J79" s="371"/>
      <c r="K79" s="371"/>
      <c r="L79" s="371"/>
      <c r="M79" s="371"/>
      <c r="N79" s="371"/>
      <c r="O79" s="371"/>
      <c r="P79" s="371"/>
      <c r="Q79" s="371"/>
      <c r="R79" s="371">
        <f>SUM(E79:Q79)</f>
        <v>160000</v>
      </c>
      <c r="S79" s="371">
        <f>R79</f>
        <v>160000</v>
      </c>
      <c r="T79" s="371"/>
      <c r="U79" s="367"/>
    </row>
    <row r="80" spans="1:21" s="368" customFormat="1">
      <c r="A80" s="373" t="s">
        <v>1967</v>
      </c>
      <c r="B80" s="370">
        <f>SUM(C80:D80)</f>
        <v>1558790</v>
      </c>
      <c r="C80" s="1125">
        <f>SUM(C78:C79)</f>
        <v>1558790</v>
      </c>
      <c r="D80" s="1125">
        <f t="shared" ref="D80:R80" si="31">SUM(D78:D79)</f>
        <v>0</v>
      </c>
      <c r="E80" s="1125">
        <f t="shared" si="31"/>
        <v>1558790</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1558790</v>
      </c>
      <c r="S80" s="1125">
        <f>SUM(S78:S79)</f>
        <v>1558790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85879</v>
      </c>
      <c r="C82" s="371">
        <v>85879</v>
      </c>
      <c r="D82" s="371"/>
      <c r="E82" s="371">
        <f t="shared" ref="E82:E94" si="32">B82-SUM(F82:Q82)</f>
        <v>85879</v>
      </c>
      <c r="F82" s="371"/>
      <c r="G82" s="371"/>
      <c r="H82" s="371"/>
      <c r="I82" s="371"/>
      <c r="J82" s="371"/>
      <c r="K82" s="371"/>
      <c r="L82" s="371"/>
      <c r="M82" s="371"/>
      <c r="N82" s="371"/>
      <c r="O82" s="371"/>
      <c r="P82" s="371"/>
      <c r="Q82" s="371"/>
      <c r="R82" s="371">
        <f>SUM(E82:Q82)</f>
        <v>85879</v>
      </c>
      <c r="S82" s="372"/>
      <c r="T82" s="372"/>
      <c r="U82" s="367"/>
    </row>
    <row r="83" spans="1:21" s="368" customFormat="1">
      <c r="A83" s="369" t="s">
        <v>574</v>
      </c>
      <c r="B83" s="370">
        <f t="shared" ref="B83:B93" si="33">SUM(C83+D83)</f>
        <v>150000</v>
      </c>
      <c r="C83" s="371">
        <v>150000</v>
      </c>
      <c r="D83" s="371"/>
      <c r="E83" s="371">
        <f t="shared" si="32"/>
        <v>150000</v>
      </c>
      <c r="F83" s="371"/>
      <c r="G83" s="371"/>
      <c r="H83" s="371"/>
      <c r="I83" s="371"/>
      <c r="J83" s="371"/>
      <c r="K83" s="371"/>
      <c r="L83" s="371"/>
      <c r="M83" s="371"/>
      <c r="N83" s="371"/>
      <c r="O83" s="371"/>
      <c r="P83" s="371"/>
      <c r="Q83" s="371"/>
      <c r="R83" s="371">
        <f t="shared" ref="R83:R93" si="34">SUM(E83:Q83)</f>
        <v>150000</v>
      </c>
      <c r="S83" s="371">
        <f>R83</f>
        <v>150000</v>
      </c>
      <c r="T83" s="371"/>
      <c r="U83" s="367"/>
    </row>
    <row r="84" spans="1:21" s="368" customFormat="1">
      <c r="A84" s="369" t="s">
        <v>575</v>
      </c>
      <c r="B84" s="370">
        <f t="shared" si="33"/>
        <v>1560000</v>
      </c>
      <c r="C84" s="371">
        <v>1560000</v>
      </c>
      <c r="D84" s="371"/>
      <c r="E84" s="371">
        <f t="shared" si="32"/>
        <v>1381808</v>
      </c>
      <c r="F84" s="371"/>
      <c r="G84" s="371"/>
      <c r="H84" s="371"/>
      <c r="I84" s="371">
        <v>178192</v>
      </c>
      <c r="J84" s="371"/>
      <c r="K84" s="371"/>
      <c r="L84" s="371"/>
      <c r="M84" s="371"/>
      <c r="N84" s="371"/>
      <c r="O84" s="371"/>
      <c r="P84" s="371"/>
      <c r="Q84" s="371"/>
      <c r="R84" s="371">
        <f t="shared" si="34"/>
        <v>1560000</v>
      </c>
      <c r="S84" s="371">
        <v>1381808</v>
      </c>
      <c r="T84" s="371"/>
      <c r="U84" s="367"/>
    </row>
    <row r="85" spans="1:21" s="368" customFormat="1">
      <c r="A85" s="369" t="s">
        <v>576</v>
      </c>
      <c r="B85" s="370">
        <f t="shared" si="33"/>
        <v>760000</v>
      </c>
      <c r="C85" s="371">
        <v>760000</v>
      </c>
      <c r="D85" s="371"/>
      <c r="E85" s="371">
        <f t="shared" si="32"/>
        <v>760000</v>
      </c>
      <c r="F85" s="371"/>
      <c r="G85" s="371"/>
      <c r="H85" s="371"/>
      <c r="I85" s="371"/>
      <c r="J85" s="371"/>
      <c r="K85" s="371"/>
      <c r="L85" s="371"/>
      <c r="M85" s="371"/>
      <c r="N85" s="371"/>
      <c r="O85" s="371"/>
      <c r="P85" s="371"/>
      <c r="Q85" s="371"/>
      <c r="R85" s="371">
        <f t="shared" si="34"/>
        <v>760000</v>
      </c>
      <c r="S85" s="371">
        <f>R85</f>
        <v>760000</v>
      </c>
      <c r="T85" s="371"/>
      <c r="U85" s="367"/>
    </row>
    <row r="86" spans="1:21" s="368" customFormat="1">
      <c r="A86" s="369" t="s">
        <v>577</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578</v>
      </c>
      <c r="B87" s="370">
        <f t="shared" si="33"/>
        <v>75000</v>
      </c>
      <c r="C87" s="371">
        <v>75000</v>
      </c>
      <c r="D87" s="371"/>
      <c r="E87" s="371">
        <f t="shared" si="32"/>
        <v>75000</v>
      </c>
      <c r="F87" s="371"/>
      <c r="G87" s="371"/>
      <c r="H87" s="371"/>
      <c r="I87" s="371"/>
      <c r="J87" s="371"/>
      <c r="K87" s="371"/>
      <c r="L87" s="371"/>
      <c r="M87" s="371"/>
      <c r="N87" s="371"/>
      <c r="O87" s="371"/>
      <c r="P87" s="371"/>
      <c r="Q87" s="371"/>
      <c r="R87" s="371">
        <f t="shared" si="34"/>
        <v>75000</v>
      </c>
      <c r="S87" s="372"/>
      <c r="T87" s="372"/>
      <c r="U87" s="367"/>
    </row>
    <row r="88" spans="1:21" s="368" customFormat="1">
      <c r="A88" s="369" t="s">
        <v>579</v>
      </c>
      <c r="B88" s="370">
        <f t="shared" si="33"/>
        <v>50000</v>
      </c>
      <c r="C88" s="371">
        <v>50000</v>
      </c>
      <c r="D88" s="371"/>
      <c r="E88" s="371">
        <f t="shared" si="32"/>
        <v>50000</v>
      </c>
      <c r="F88" s="371"/>
      <c r="G88" s="371"/>
      <c r="H88" s="371"/>
      <c r="I88" s="371"/>
      <c r="J88" s="371"/>
      <c r="K88" s="371"/>
      <c r="L88" s="371"/>
      <c r="M88" s="371"/>
      <c r="N88" s="371"/>
      <c r="O88" s="371"/>
      <c r="P88" s="371"/>
      <c r="Q88" s="371"/>
      <c r="R88" s="371">
        <f t="shared" si="34"/>
        <v>50000</v>
      </c>
      <c r="S88" s="371">
        <f>R88</f>
        <v>50000</v>
      </c>
      <c r="T88" s="371"/>
      <c r="U88" s="367"/>
    </row>
    <row r="89" spans="1:21" s="368" customFormat="1">
      <c r="A89" s="369" t="s">
        <v>580</v>
      </c>
      <c r="B89" s="370">
        <f t="shared" si="33"/>
        <v>8000</v>
      </c>
      <c r="C89" s="371">
        <v>8000</v>
      </c>
      <c r="D89" s="371"/>
      <c r="E89" s="371">
        <f t="shared" si="32"/>
        <v>8000</v>
      </c>
      <c r="F89" s="371"/>
      <c r="G89" s="371"/>
      <c r="H89" s="371"/>
      <c r="I89" s="371"/>
      <c r="J89" s="371"/>
      <c r="K89" s="371"/>
      <c r="L89" s="371"/>
      <c r="M89" s="371"/>
      <c r="N89" s="371"/>
      <c r="O89" s="371"/>
      <c r="P89" s="371"/>
      <c r="Q89" s="371"/>
      <c r="R89" s="371">
        <f t="shared" si="34"/>
        <v>8000</v>
      </c>
      <c r="S89" s="371"/>
      <c r="T89" s="371"/>
      <c r="U89" s="367"/>
    </row>
    <row r="90" spans="1:21" s="368" customFormat="1">
      <c r="A90" s="380" t="s">
        <v>1453</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c r="A91" s="380" t="s">
        <v>1965</v>
      </c>
      <c r="B91" s="370">
        <f t="shared" si="33"/>
        <v>0</v>
      </c>
      <c r="C91" s="371"/>
      <c r="D91" s="371"/>
      <c r="E91" s="371">
        <f t="shared" si="32"/>
        <v>0</v>
      </c>
      <c r="F91" s="371"/>
      <c r="G91" s="371"/>
      <c r="H91" s="371"/>
      <c r="I91" s="371"/>
      <c r="J91" s="371"/>
      <c r="K91" s="371"/>
      <c r="L91" s="371"/>
      <c r="M91" s="371"/>
      <c r="N91" s="371"/>
      <c r="O91" s="371"/>
      <c r="P91" s="371"/>
      <c r="Q91" s="371"/>
      <c r="R91" s="371">
        <f t="shared" si="34"/>
        <v>0</v>
      </c>
      <c r="S91" s="371"/>
      <c r="T91" s="371"/>
      <c r="U91" s="367"/>
    </row>
    <row r="92" spans="1:21" s="368" customFormat="1" ht="24">
      <c r="A92" s="376" t="s">
        <v>2496</v>
      </c>
      <c r="B92" s="370">
        <f t="shared" si="33"/>
        <v>160000</v>
      </c>
      <c r="C92" s="371">
        <f>150000+10000</f>
        <v>160000</v>
      </c>
      <c r="D92" s="371"/>
      <c r="E92" s="371">
        <f t="shared" si="32"/>
        <v>160000</v>
      </c>
      <c r="F92" s="371"/>
      <c r="G92" s="371"/>
      <c r="H92" s="371"/>
      <c r="I92" s="371"/>
      <c r="J92" s="371"/>
      <c r="K92" s="371"/>
      <c r="L92" s="371"/>
      <c r="M92" s="371"/>
      <c r="N92" s="371"/>
      <c r="O92" s="371"/>
      <c r="P92" s="371"/>
      <c r="Q92" s="371"/>
      <c r="R92" s="371">
        <f t="shared" si="34"/>
        <v>160000</v>
      </c>
      <c r="S92" s="371">
        <f>R92</f>
        <v>160000</v>
      </c>
      <c r="T92" s="371"/>
      <c r="U92" s="367"/>
    </row>
    <row r="93" spans="1:21" s="368" customFormat="1">
      <c r="A93" s="376"/>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c r="T93" s="371"/>
      <c r="U93" s="367"/>
    </row>
    <row r="94" spans="1:21" s="368" customFormat="1">
      <c r="A94" s="376"/>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2848879</v>
      </c>
      <c r="C95" s="370">
        <f t="shared" ref="C95:R95" si="35">SUM(C82:C94)</f>
        <v>2848879</v>
      </c>
      <c r="D95" s="370">
        <f t="shared" si="35"/>
        <v>0</v>
      </c>
      <c r="E95" s="370">
        <f t="shared" si="35"/>
        <v>2670687</v>
      </c>
      <c r="F95" s="370">
        <f t="shared" si="35"/>
        <v>0</v>
      </c>
      <c r="G95" s="370">
        <f t="shared" si="35"/>
        <v>0</v>
      </c>
      <c r="H95" s="370">
        <f t="shared" si="35"/>
        <v>0</v>
      </c>
      <c r="I95" s="370">
        <f t="shared" si="35"/>
        <v>178192</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2848879</v>
      </c>
      <c r="S95" s="374">
        <f>SUM(S83:S86,S88:S94)</f>
        <v>2501808</v>
      </c>
      <c r="T95" s="370">
        <f>SUM(T83:T86,T88:T94)</f>
        <v>0</v>
      </c>
      <c r="U95" s="367"/>
    </row>
    <row r="96" spans="1:21" s="368" customFormat="1">
      <c r="A96" s="373" t="s">
        <v>582</v>
      </c>
      <c r="B96" s="370">
        <f>SUM(C96:D96)</f>
        <v>39954636</v>
      </c>
      <c r="C96" s="370">
        <f t="shared" ref="C96:R96" si="36">SUM(C62+C69+C76+C80+C95)</f>
        <v>39754636</v>
      </c>
      <c r="D96" s="370">
        <f t="shared" si="36"/>
        <v>200000</v>
      </c>
      <c r="E96" s="370">
        <f t="shared" si="36"/>
        <v>11650444</v>
      </c>
      <c r="F96" s="370">
        <f t="shared" si="36"/>
        <v>10126000</v>
      </c>
      <c r="G96" s="370">
        <f t="shared" si="36"/>
        <v>14250000</v>
      </c>
      <c r="H96" s="370">
        <f t="shared" si="36"/>
        <v>3750000</v>
      </c>
      <c r="I96" s="370">
        <f t="shared" si="36"/>
        <v>178192</v>
      </c>
      <c r="J96" s="370">
        <f t="shared" si="36"/>
        <v>0</v>
      </c>
      <c r="K96" s="370">
        <f t="shared" si="36"/>
        <v>0</v>
      </c>
      <c r="L96" s="370">
        <f t="shared" si="36"/>
        <v>0</v>
      </c>
      <c r="M96" s="370">
        <f t="shared" si="36"/>
        <v>0</v>
      </c>
      <c r="N96" s="370">
        <f t="shared" si="36"/>
        <v>0</v>
      </c>
      <c r="O96" s="370">
        <f t="shared" si="36"/>
        <v>0</v>
      </c>
      <c r="P96" s="370">
        <f t="shared" si="36"/>
        <v>0</v>
      </c>
      <c r="Q96" s="370">
        <f t="shared" si="36"/>
        <v>0</v>
      </c>
      <c r="R96" s="370">
        <f t="shared" si="36"/>
        <v>39954636</v>
      </c>
      <c r="S96" s="374">
        <f>SUM(+S62+S69+S80+S95)</f>
        <v>34581139</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800000</v>
      </c>
      <c r="C98" s="371">
        <v>800000</v>
      </c>
      <c r="D98" s="371"/>
      <c r="E98" s="371">
        <f t="shared" ref="E98:E102" si="37">B98-SUM(F98:Q98)</f>
        <v>800000</v>
      </c>
      <c r="F98" s="371"/>
      <c r="G98" s="371"/>
      <c r="H98" s="371"/>
      <c r="I98" s="371"/>
      <c r="J98" s="371"/>
      <c r="K98" s="371"/>
      <c r="L98" s="371"/>
      <c r="M98" s="371"/>
      <c r="N98" s="371"/>
      <c r="O98" s="371"/>
      <c r="P98" s="371"/>
      <c r="Q98" s="371"/>
      <c r="R98" s="371">
        <f>SUM(E98:Q98)</f>
        <v>800000</v>
      </c>
      <c r="S98" s="371">
        <f>R98</f>
        <v>800000</v>
      </c>
      <c r="T98" s="371"/>
      <c r="U98" s="367"/>
    </row>
    <row r="99" spans="1:21" s="368" customFormat="1">
      <c r="A99" s="369" t="s">
        <v>2244</v>
      </c>
      <c r="B99" s="370">
        <f>SUM(C99+D99)</f>
        <v>0</v>
      </c>
      <c r="C99" s="371"/>
      <c r="D99" s="371"/>
      <c r="E99" s="371">
        <f t="shared" si="37"/>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f t="shared" si="37"/>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f t="shared" si="37"/>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f t="shared" si="37"/>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800000</v>
      </c>
      <c r="C103" s="370">
        <f t="shared" ref="C103:T103" si="38">SUM(C98:C102)</f>
        <v>800000</v>
      </c>
      <c r="D103" s="370">
        <f t="shared" si="38"/>
        <v>0</v>
      </c>
      <c r="E103" s="370">
        <f t="shared" si="38"/>
        <v>800000</v>
      </c>
      <c r="F103" s="370">
        <f t="shared" si="38"/>
        <v>0</v>
      </c>
      <c r="G103" s="370">
        <f t="shared" si="38"/>
        <v>0</v>
      </c>
      <c r="H103" s="370">
        <f t="shared" si="38"/>
        <v>0</v>
      </c>
      <c r="I103" s="370">
        <f t="shared" si="38"/>
        <v>0</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800000</v>
      </c>
      <c r="S103" s="374">
        <f t="shared" si="38"/>
        <v>800000</v>
      </c>
      <c r="T103" s="374">
        <f t="shared" si="38"/>
        <v>0</v>
      </c>
      <c r="U103" s="367"/>
    </row>
    <row r="104" spans="1:21" s="368" customFormat="1">
      <c r="A104" s="373" t="s">
        <v>1281</v>
      </c>
      <c r="B104" s="374">
        <f>SUM(C104:D104)</f>
        <v>40754636</v>
      </c>
      <c r="C104" s="374">
        <f t="shared" ref="C104:R104" si="39">SUM(C96+C103)</f>
        <v>40554636</v>
      </c>
      <c r="D104" s="374">
        <f t="shared" si="39"/>
        <v>200000</v>
      </c>
      <c r="E104" s="374">
        <f t="shared" si="39"/>
        <v>12450444</v>
      </c>
      <c r="F104" s="374">
        <f t="shared" si="39"/>
        <v>10126000</v>
      </c>
      <c r="G104" s="374">
        <f t="shared" si="39"/>
        <v>14250000</v>
      </c>
      <c r="H104" s="374">
        <f t="shared" si="39"/>
        <v>3750000</v>
      </c>
      <c r="I104" s="374">
        <f t="shared" si="39"/>
        <v>178192</v>
      </c>
      <c r="J104" s="374">
        <f t="shared" si="39"/>
        <v>0</v>
      </c>
      <c r="K104" s="374">
        <f t="shared" si="39"/>
        <v>0</v>
      </c>
      <c r="L104" s="374">
        <f t="shared" si="39"/>
        <v>0</v>
      </c>
      <c r="M104" s="374">
        <f t="shared" si="39"/>
        <v>0</v>
      </c>
      <c r="N104" s="374">
        <f t="shared" si="39"/>
        <v>0</v>
      </c>
      <c r="O104" s="374">
        <f t="shared" si="39"/>
        <v>0</v>
      </c>
      <c r="P104" s="374">
        <f t="shared" si="39"/>
        <v>0</v>
      </c>
      <c r="Q104" s="374">
        <f t="shared" si="39"/>
        <v>0</v>
      </c>
      <c r="R104" s="370">
        <f t="shared" si="39"/>
        <v>40754636</v>
      </c>
      <c r="S104" s="374">
        <f>S96+S103</f>
        <v>35381139</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35381139</v>
      </c>
      <c r="T106" s="388">
        <f>T104+T105</f>
        <v>0</v>
      </c>
      <c r="U106" s="386"/>
    </row>
    <row r="107" spans="1:21" s="389" customFormat="1">
      <c r="A107" s="387" t="s">
        <v>1225</v>
      </c>
      <c r="B107" s="382"/>
      <c r="C107" s="382"/>
      <c r="D107" s="382"/>
      <c r="E107" s="654">
        <f>Application!AO645</f>
        <v>12450444</v>
      </c>
      <c r="F107" s="654">
        <f>Application!AO632</f>
        <v>10126000</v>
      </c>
      <c r="G107" s="654">
        <f>Application!AO633</f>
        <v>14250000</v>
      </c>
      <c r="H107" s="654">
        <f>Application!AO634</f>
        <v>3750000</v>
      </c>
      <c r="I107" s="654">
        <f>Application!AO635</f>
        <v>178192</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1441</v>
      </c>
      <c r="U121" s="882"/>
    </row>
    <row r="122" spans="1:21" s="383" customFormat="1">
      <c r="A122" s="384" t="s">
        <v>1425</v>
      </c>
      <c r="D122" s="2237" t="s">
        <v>1426</v>
      </c>
      <c r="E122" s="2237"/>
      <c r="F122" s="2237"/>
      <c r="U122" s="386"/>
    </row>
    <row r="123" spans="1:21" s="383" customFormat="1">
      <c r="A123" s="383" t="s">
        <v>1427</v>
      </c>
      <c r="B123" s="870"/>
      <c r="D123" s="2240" t="s">
        <v>1454</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3" t="s">
        <v>1428</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3" t="s">
        <v>1429</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2.75">
      <c r="A129" s="873" t="s">
        <v>547</v>
      </c>
      <c r="B129" s="870"/>
      <c r="C129" s="873"/>
      <c r="D129" s="2236" t="s">
        <v>1433</v>
      </c>
      <c r="E129" s="2236"/>
      <c r="F129" s="2236"/>
      <c r="G129" s="2236"/>
      <c r="H129" s="2236"/>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1435</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2.75">
      <c r="A132" s="875"/>
      <c r="B132" s="873"/>
      <c r="C132" s="873"/>
      <c r="D132" s="2242" t="s">
        <v>1436</v>
      </c>
      <c r="E132" s="2242"/>
      <c r="F132" s="2242"/>
      <c r="G132" s="2242"/>
      <c r="H132" s="2242"/>
      <c r="I132" s="873"/>
      <c r="J132" s="2242" t="s">
        <v>1437</v>
      </c>
      <c r="K132" s="2242"/>
      <c r="L132" s="2242"/>
      <c r="M132" s="224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1440</v>
      </c>
      <c r="B139" s="2239"/>
      <c r="C139" s="2239"/>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54" stopIfTrue="1">
      <formula>T9&gt;C9</formula>
    </cfRule>
  </conditionalFormatting>
  <conditionalFormatting sqref="T10">
    <cfRule type="expression" dxfId="139" priority="253" stopIfTrue="1">
      <formula>(T10+S10)&gt;C10</formula>
    </cfRule>
  </conditionalFormatting>
  <conditionalFormatting sqref="R8">
    <cfRule type="cellIs" dxfId="138" priority="233" stopIfTrue="1" operator="notEqual">
      <formula>$B8</formula>
    </cfRule>
    <cfRule type="cellIs" priority="236" stopIfTrue="1" operator="notEqual">
      <formula>$B8</formula>
    </cfRule>
  </conditionalFormatting>
  <conditionalFormatting sqref="R4:R7 R45:R52 R56:R60 R82:R94 R98:R102">
    <cfRule type="cellIs" dxfId="137" priority="235" stopIfTrue="1" operator="notEqual">
      <formula>$B4</formula>
    </cfRule>
  </conditionalFormatting>
  <conditionalFormatting sqref="R9:R10">
    <cfRule type="cellIs" dxfId="136" priority="234" stopIfTrue="1" operator="notEqual">
      <formula>$B9</formula>
    </cfRule>
  </conditionalFormatting>
  <conditionalFormatting sqref="R11:R12">
    <cfRule type="cellIs" dxfId="135" priority="231" stopIfTrue="1" operator="notEqual">
      <formula>$B11</formula>
    </cfRule>
    <cfRule type="cellIs" priority="232" stopIfTrue="1" operator="notEqual">
      <formula>$B11</formula>
    </cfRule>
  </conditionalFormatting>
  <conditionalFormatting sqref="R13:R15">
    <cfRule type="cellIs" dxfId="134" priority="230" stopIfTrue="1" operator="notEqual">
      <formula>$B13</formula>
    </cfRule>
  </conditionalFormatting>
  <conditionalFormatting sqref="R26">
    <cfRule type="cellIs" dxfId="133" priority="228" stopIfTrue="1" operator="notEqual">
      <formula>$B26</formula>
    </cfRule>
    <cfRule type="cellIs" priority="229" stopIfTrue="1" operator="notEqual">
      <formula>$B26</formula>
    </cfRule>
  </conditionalFormatting>
  <conditionalFormatting sqref="R17:R25">
    <cfRule type="cellIs" dxfId="132" priority="227" stopIfTrue="1" operator="notEqual">
      <formula>$B17</formula>
    </cfRule>
  </conditionalFormatting>
  <conditionalFormatting sqref="R27">
    <cfRule type="cellIs" dxfId="131" priority="226" stopIfTrue="1" operator="notEqual">
      <formula>$B27</formula>
    </cfRule>
  </conditionalFormatting>
  <conditionalFormatting sqref="R38">
    <cfRule type="cellIs" dxfId="130" priority="224" stopIfTrue="1" operator="notEqual">
      <formula>$B38</formula>
    </cfRule>
    <cfRule type="cellIs" priority="225" stopIfTrue="1" operator="notEqual">
      <formula>$B38</formula>
    </cfRule>
  </conditionalFormatting>
  <conditionalFormatting sqref="R29:R37">
    <cfRule type="cellIs" dxfId="129" priority="223" stopIfTrue="1" operator="notEqual">
      <formula>$B29</formula>
    </cfRule>
  </conditionalFormatting>
  <conditionalFormatting sqref="R42">
    <cfRule type="cellIs" dxfId="128" priority="221" stopIfTrue="1" operator="notEqual">
      <formula>$B42</formula>
    </cfRule>
    <cfRule type="cellIs" priority="222" stopIfTrue="1" operator="notEqual">
      <formula>$B42</formula>
    </cfRule>
  </conditionalFormatting>
  <conditionalFormatting sqref="R40:R41">
    <cfRule type="cellIs" dxfId="127" priority="220" stopIfTrue="1" operator="notEqual">
      <formula>$B40</formula>
    </cfRule>
  </conditionalFormatting>
  <conditionalFormatting sqref="R43">
    <cfRule type="cellIs" dxfId="126" priority="219" stopIfTrue="1" operator="notEqual">
      <formula>$B43</formula>
    </cfRule>
  </conditionalFormatting>
  <conditionalFormatting sqref="R53">
    <cfRule type="cellIs" dxfId="125" priority="216" stopIfTrue="1" operator="notEqual">
      <formula>$B53</formula>
    </cfRule>
    <cfRule type="cellIs" priority="217" stopIfTrue="1" operator="notEqual">
      <formula>$B53</formula>
    </cfRule>
  </conditionalFormatting>
  <conditionalFormatting sqref="R55">
    <cfRule type="cellIs" dxfId="124" priority="214" stopIfTrue="1" operator="notEqual">
      <formula>$B55</formula>
    </cfRule>
  </conditionalFormatting>
  <conditionalFormatting sqref="R61:R62">
    <cfRule type="cellIs" dxfId="123" priority="212" stopIfTrue="1" operator="notEqual">
      <formula>$B61</formula>
    </cfRule>
    <cfRule type="cellIs" priority="213" stopIfTrue="1" operator="notEqual">
      <formula>$B61</formula>
    </cfRule>
  </conditionalFormatting>
  <conditionalFormatting sqref="R64:R68">
    <cfRule type="cellIs" dxfId="122" priority="211" stopIfTrue="1" operator="notEqual">
      <formula>$B64</formula>
    </cfRule>
  </conditionalFormatting>
  <conditionalFormatting sqref="R69">
    <cfRule type="cellIs" dxfId="121" priority="209" stopIfTrue="1" operator="notEqual">
      <formula>$B69</formula>
    </cfRule>
    <cfRule type="cellIs" priority="210" stopIfTrue="1" operator="notEqual">
      <formula>$B69</formula>
    </cfRule>
  </conditionalFormatting>
  <conditionalFormatting sqref="R71:R75">
    <cfRule type="cellIs" dxfId="120" priority="208" stopIfTrue="1" operator="notEqual">
      <formula>$B71</formula>
    </cfRule>
  </conditionalFormatting>
  <conditionalFormatting sqref="R76">
    <cfRule type="cellIs" dxfId="119" priority="206" stopIfTrue="1" operator="notEqual">
      <formula>$B76</formula>
    </cfRule>
    <cfRule type="cellIs" priority="207" stopIfTrue="1" operator="notEqual">
      <formula>$B76</formula>
    </cfRule>
  </conditionalFormatting>
  <conditionalFormatting sqref="R78:R79">
    <cfRule type="cellIs" dxfId="118" priority="205" stopIfTrue="1" operator="notEqual">
      <formula>$B78</formula>
    </cfRule>
  </conditionalFormatting>
  <conditionalFormatting sqref="R95:R96">
    <cfRule type="cellIs" dxfId="117" priority="202" stopIfTrue="1" operator="notEqual">
      <formula>$B95</formula>
    </cfRule>
    <cfRule type="cellIs" priority="203" stopIfTrue="1" operator="notEqual">
      <formula>$B95</formula>
    </cfRule>
  </conditionalFormatting>
  <conditionalFormatting sqref="R103:R104">
    <cfRule type="cellIs" dxfId="116" priority="199" stopIfTrue="1" operator="notEqual">
      <formula>$B103</formula>
    </cfRule>
    <cfRule type="cellIs" priority="200" stopIfTrue="1" operator="notEqual">
      <formula>$B103</formula>
    </cfRule>
  </conditionalFormatting>
  <conditionalFormatting sqref="E104:Q104">
    <cfRule type="cellIs" dxfId="115" priority="198" stopIfTrue="1" operator="notEqual">
      <formula>E$107</formula>
    </cfRule>
  </conditionalFormatting>
  <conditionalFormatting sqref="S10">
    <cfRule type="expression" dxfId="114" priority="134" stopIfTrue="1">
      <formula>(S10+T10)&gt;C10</formula>
    </cfRule>
  </conditionalFormatting>
  <conditionalFormatting sqref="S30">
    <cfRule type="expression" dxfId="113" priority="110" stopIfTrue="1">
      <formula>(S30+T30)&gt;C30</formula>
    </cfRule>
  </conditionalFormatting>
  <conditionalFormatting sqref="S33">
    <cfRule type="expression" dxfId="112" priority="107" stopIfTrue="1">
      <formula>(S33+T33)&gt;C33</formula>
    </cfRule>
  </conditionalFormatting>
  <conditionalFormatting sqref="S23:S24">
    <cfRule type="expression" dxfId="111" priority="115" stopIfTrue="1">
      <formula>(S23+T23)&gt;C23</formula>
    </cfRule>
  </conditionalFormatting>
  <conditionalFormatting sqref="T13">
    <cfRule type="expression" dxfId="110" priority="133" stopIfTrue="1">
      <formula>(T13+S13)&gt;C13</formula>
    </cfRule>
  </conditionalFormatting>
  <conditionalFormatting sqref="T14">
    <cfRule type="expression" dxfId="109" priority="132" stopIfTrue="1">
      <formula>(T14+S14)&gt;C14</formula>
    </cfRule>
  </conditionalFormatting>
  <conditionalFormatting sqref="T17">
    <cfRule type="expression" dxfId="108" priority="131" stopIfTrue="1">
      <formula>(T17+S17)&gt;C17</formula>
    </cfRule>
  </conditionalFormatting>
  <conditionalFormatting sqref="T18">
    <cfRule type="expression" dxfId="107" priority="130" stopIfTrue="1">
      <formula>(T18+S18)&gt;C18</formula>
    </cfRule>
  </conditionalFormatting>
  <conditionalFormatting sqref="T19">
    <cfRule type="expression" dxfId="106" priority="129" stopIfTrue="1">
      <formula>(T19+S19)&gt;C19</formula>
    </cfRule>
  </conditionalFormatting>
  <conditionalFormatting sqref="T20">
    <cfRule type="expression" dxfId="105" priority="128" stopIfTrue="1">
      <formula>(T20+S20)&gt;C20</formula>
    </cfRule>
  </conditionalFormatting>
  <conditionalFormatting sqref="T21">
    <cfRule type="expression" dxfId="104" priority="127" stopIfTrue="1">
      <formula>(T21+S21)&gt;C21</formula>
    </cfRule>
  </conditionalFormatting>
  <conditionalFormatting sqref="T22">
    <cfRule type="expression" dxfId="103" priority="126" stopIfTrue="1">
      <formula>(T22+S22)&gt;C22</formula>
    </cfRule>
  </conditionalFormatting>
  <conditionalFormatting sqref="T23:T24">
    <cfRule type="expression" dxfId="102" priority="125" stopIfTrue="1">
      <formula>(T23+S23)&gt;C23</formula>
    </cfRule>
  </conditionalFormatting>
  <conditionalFormatting sqref="T25">
    <cfRule type="expression" dxfId="101" priority="124" stopIfTrue="1">
      <formula>(T25+S25)&gt;C25</formula>
    </cfRule>
  </conditionalFormatting>
  <conditionalFormatting sqref="S14">
    <cfRule type="expression" dxfId="100" priority="122" stopIfTrue="1">
      <formula>(S14+T14)&gt;C14</formula>
    </cfRule>
  </conditionalFormatting>
  <conditionalFormatting sqref="S17">
    <cfRule type="expression" dxfId="99" priority="121" stopIfTrue="1">
      <formula>(S17+T17)&gt;C17</formula>
    </cfRule>
  </conditionalFormatting>
  <conditionalFormatting sqref="S18">
    <cfRule type="expression" dxfId="98" priority="120" stopIfTrue="1">
      <formula>(S18+T18)&gt;C18</formula>
    </cfRule>
  </conditionalFormatting>
  <conditionalFormatting sqref="S19">
    <cfRule type="expression" dxfId="97" priority="119" stopIfTrue="1">
      <formula>(S19+T19)&gt;C19</formula>
    </cfRule>
  </conditionalFormatting>
  <conditionalFormatting sqref="S20">
    <cfRule type="expression" dxfId="96" priority="118" stopIfTrue="1">
      <formula>(S20+T20)&gt;C20</formula>
    </cfRule>
  </conditionalFormatting>
  <conditionalFormatting sqref="S21">
    <cfRule type="expression" dxfId="95" priority="117" stopIfTrue="1">
      <formula>(S21+T21)&gt;C21</formula>
    </cfRule>
  </conditionalFormatting>
  <conditionalFormatting sqref="S22">
    <cfRule type="expression" dxfId="94" priority="116" stopIfTrue="1">
      <formula>(S22+T22)&gt;C22</formula>
    </cfRule>
  </conditionalFormatting>
  <conditionalFormatting sqref="S25">
    <cfRule type="expression" dxfId="93" priority="114" stopIfTrue="1">
      <formula>(S25+T25)&gt;C25</formula>
    </cfRule>
  </conditionalFormatting>
  <conditionalFormatting sqref="S27">
    <cfRule type="expression" dxfId="92" priority="113" stopIfTrue="1">
      <formula>(S27+T27)&gt;C27</formula>
    </cfRule>
  </conditionalFormatting>
  <conditionalFormatting sqref="T27">
    <cfRule type="expression" dxfId="91" priority="112" stopIfTrue="1">
      <formula>(T27+S27)&gt;C27</formula>
    </cfRule>
  </conditionalFormatting>
  <conditionalFormatting sqref="S34">
    <cfRule type="expression" dxfId="90" priority="106" stopIfTrue="1">
      <formula>(S34+T34)&gt;C34</formula>
    </cfRule>
  </conditionalFormatting>
  <conditionalFormatting sqref="S36">
    <cfRule type="expression" dxfId="89" priority="105" stopIfTrue="1">
      <formula>(S36+T36)&gt;C36</formula>
    </cfRule>
  </conditionalFormatting>
  <conditionalFormatting sqref="S37">
    <cfRule type="expression" dxfId="88" priority="104" stopIfTrue="1">
      <formula>(S37+T37)&gt;C37</formula>
    </cfRule>
  </conditionalFormatting>
  <conditionalFormatting sqref="T29">
    <cfRule type="expression" dxfId="87" priority="103" stopIfTrue="1">
      <formula>(T29+S29)&gt;C29</formula>
    </cfRule>
  </conditionalFormatting>
  <conditionalFormatting sqref="T30">
    <cfRule type="expression" dxfId="86" priority="102" stopIfTrue="1">
      <formula>(T30+S30)&gt;C30</formula>
    </cfRule>
  </conditionalFormatting>
  <conditionalFormatting sqref="T31">
    <cfRule type="expression" dxfId="85" priority="101" stopIfTrue="1">
      <formula>(T31+S31)&gt;C31</formula>
    </cfRule>
  </conditionalFormatting>
  <conditionalFormatting sqref="T32">
    <cfRule type="expression" dxfId="84" priority="100" stopIfTrue="1">
      <formula>(T32+S32)&gt;C32</formula>
    </cfRule>
  </conditionalFormatting>
  <conditionalFormatting sqref="T33">
    <cfRule type="expression" dxfId="83" priority="99" stopIfTrue="1">
      <formula>(T33+S33)&gt;C33</formula>
    </cfRule>
  </conditionalFormatting>
  <conditionalFormatting sqref="T34">
    <cfRule type="expression" dxfId="82" priority="98" stopIfTrue="1">
      <formula>(T34+S34)&gt;C34</formula>
    </cfRule>
  </conditionalFormatting>
  <conditionalFormatting sqref="T35:T36">
    <cfRule type="expression" dxfId="81" priority="97" stopIfTrue="1">
      <formula>(T35+S35)&gt;C35</formula>
    </cfRule>
  </conditionalFormatting>
  <conditionalFormatting sqref="T37">
    <cfRule type="expression" dxfId="80" priority="96" stopIfTrue="1">
      <formula>(T37+S37)&gt;C37</formula>
    </cfRule>
  </conditionalFormatting>
  <conditionalFormatting sqref="T40">
    <cfRule type="expression" dxfId="79" priority="95" stopIfTrue="1">
      <formula>(T40+S40)&gt;C40</formula>
    </cfRule>
  </conditionalFormatting>
  <conditionalFormatting sqref="T41">
    <cfRule type="expression" dxfId="78" priority="94" stopIfTrue="1">
      <formula>(T41+S41)&gt;C41</formula>
    </cfRule>
  </conditionalFormatting>
  <conditionalFormatting sqref="S41">
    <cfRule type="expression" dxfId="77" priority="92" stopIfTrue="1">
      <formula>(S41+T41)&gt;C41</formula>
    </cfRule>
  </conditionalFormatting>
  <conditionalFormatting sqref="T43">
    <cfRule type="expression" dxfId="76" priority="90" stopIfTrue="1">
      <formula>(T43+S43)&gt;C43</formula>
    </cfRule>
  </conditionalFormatting>
  <conditionalFormatting sqref="S45">
    <cfRule type="expression" dxfId="75" priority="89" stopIfTrue="1">
      <formula>(S45+T45)&gt;C45</formula>
    </cfRule>
  </conditionalFormatting>
  <conditionalFormatting sqref="S47">
    <cfRule type="expression" dxfId="74" priority="87" stopIfTrue="1">
      <formula>(S47+T47)&gt;C47</formula>
    </cfRule>
  </conditionalFormatting>
  <conditionalFormatting sqref="T45">
    <cfRule type="expression" dxfId="73" priority="80" stopIfTrue="1">
      <formula>(T45+S45)&gt;C45</formula>
    </cfRule>
  </conditionalFormatting>
  <conditionalFormatting sqref="T46">
    <cfRule type="expression" dxfId="72" priority="79" stopIfTrue="1">
      <formula>(T46+S46)&gt;C46</formula>
    </cfRule>
  </conditionalFormatting>
  <conditionalFormatting sqref="T47">
    <cfRule type="expression" dxfId="71" priority="78" stopIfTrue="1">
      <formula>(T47+S47)&gt;C47</formula>
    </cfRule>
  </conditionalFormatting>
  <conditionalFormatting sqref="T48">
    <cfRule type="expression" dxfId="70" priority="77" stopIfTrue="1">
      <formula>(T48+S48)&gt;C48</formula>
    </cfRule>
  </conditionalFormatting>
  <conditionalFormatting sqref="T49">
    <cfRule type="expression" dxfId="69" priority="76" stopIfTrue="1">
      <formula>(T49+S49)&gt;C49</formula>
    </cfRule>
  </conditionalFormatting>
  <conditionalFormatting sqref="T50">
    <cfRule type="expression" dxfId="68" priority="75" stopIfTrue="1">
      <formula>(T50+S50)&gt;C50</formula>
    </cfRule>
  </conditionalFormatting>
  <conditionalFormatting sqref="T51">
    <cfRule type="expression" dxfId="67" priority="74" stopIfTrue="1">
      <formula>(T51+S51)&gt;C51</formula>
    </cfRule>
  </conditionalFormatting>
  <conditionalFormatting sqref="T52">
    <cfRule type="expression" dxfId="66" priority="72" stopIfTrue="1">
      <formula>(T52+S52)&gt;C52</formula>
    </cfRule>
  </conditionalFormatting>
  <conditionalFormatting sqref="T64:T67">
    <cfRule type="expression" dxfId="65" priority="71" stopIfTrue="1">
      <formula>(T64+S64)&gt;C64</formula>
    </cfRule>
  </conditionalFormatting>
  <conditionalFormatting sqref="T68">
    <cfRule type="expression" dxfId="64" priority="70" stopIfTrue="1">
      <formula>(T68+S68)&gt;C68</formula>
    </cfRule>
  </conditionalFormatting>
  <conditionalFormatting sqref="S65:S67">
    <cfRule type="expression" dxfId="63" priority="69" stopIfTrue="1">
      <formula>(S65+T65)&gt;C65</formula>
    </cfRule>
  </conditionalFormatting>
  <conditionalFormatting sqref="T78">
    <cfRule type="expression" dxfId="62" priority="67" stopIfTrue="1">
      <formula>(T78+S78)&gt;C78</formula>
    </cfRule>
  </conditionalFormatting>
  <conditionalFormatting sqref="T79">
    <cfRule type="expression" dxfId="61" priority="66" stopIfTrue="1">
      <formula>(T79+S79)&gt;C79</formula>
    </cfRule>
  </conditionalFormatting>
  <conditionalFormatting sqref="S84">
    <cfRule type="expression" dxfId="60" priority="62" stopIfTrue="1">
      <formula>(S84+T84)&gt;C84</formula>
    </cfRule>
  </conditionalFormatting>
  <conditionalFormatting sqref="S86">
    <cfRule type="expression" dxfId="59" priority="60" stopIfTrue="1">
      <formula>(S86+T86)&gt;C86</formula>
    </cfRule>
  </conditionalFormatting>
  <conditionalFormatting sqref="T83">
    <cfRule type="expression" dxfId="58" priority="59" stopIfTrue="1">
      <formula>(T83+S83)&gt;C83</formula>
    </cfRule>
  </conditionalFormatting>
  <conditionalFormatting sqref="T84">
    <cfRule type="expression" dxfId="57" priority="58" stopIfTrue="1">
      <formula>(T84+S84)&gt;C84</formula>
    </cfRule>
  </conditionalFormatting>
  <conditionalFormatting sqref="T85">
    <cfRule type="expression" dxfId="56" priority="57" stopIfTrue="1">
      <formula>(T85+S85)&gt;C85</formula>
    </cfRule>
  </conditionalFormatting>
  <conditionalFormatting sqref="T86">
    <cfRule type="expression" dxfId="55" priority="56" stopIfTrue="1">
      <formula>(T86+S86)&gt;C86</formula>
    </cfRule>
  </conditionalFormatting>
  <conditionalFormatting sqref="S89">
    <cfRule type="expression" dxfId="54" priority="54" stopIfTrue="1">
      <formula>(S89+T89)&gt;C89</formula>
    </cfRule>
  </conditionalFormatting>
  <conditionalFormatting sqref="S90">
    <cfRule type="expression" dxfId="53" priority="53" stopIfTrue="1">
      <formula>(S90+T90)&gt;C90</formula>
    </cfRule>
  </conditionalFormatting>
  <conditionalFormatting sqref="S91">
    <cfRule type="expression" dxfId="52" priority="52" stopIfTrue="1">
      <formula>(S91+T91)&gt;C91</formula>
    </cfRule>
  </conditionalFormatting>
  <conditionalFormatting sqref="S93">
    <cfRule type="expression" dxfId="51" priority="50" stopIfTrue="1">
      <formula>(S93+T93)&gt;C93</formula>
    </cfRule>
  </conditionalFormatting>
  <conditionalFormatting sqref="S94">
    <cfRule type="expression" dxfId="50" priority="47" stopIfTrue="1">
      <formula>(S94+T94)&gt;C94</formula>
    </cfRule>
  </conditionalFormatting>
  <conditionalFormatting sqref="T88">
    <cfRule type="expression" dxfId="49" priority="46" stopIfTrue="1">
      <formula>(T88+S88)&gt;C88</formula>
    </cfRule>
  </conditionalFormatting>
  <conditionalFormatting sqref="T89">
    <cfRule type="expression" dxfId="48" priority="45" stopIfTrue="1">
      <formula>(T89+S89)&gt;C89</formula>
    </cfRule>
  </conditionalFormatting>
  <conditionalFormatting sqref="T90">
    <cfRule type="expression" dxfId="47" priority="44" stopIfTrue="1">
      <formula>(T90+S90)&gt;C90</formula>
    </cfRule>
  </conditionalFormatting>
  <conditionalFormatting sqref="T91">
    <cfRule type="expression" dxfId="46" priority="43" stopIfTrue="1">
      <formula>(T91+S91)&gt;C91</formula>
    </cfRule>
  </conditionalFormatting>
  <conditionalFormatting sqref="T92">
    <cfRule type="expression" dxfId="45" priority="42" stopIfTrue="1">
      <formula>(T92+S92)&gt;C92</formula>
    </cfRule>
  </conditionalFormatting>
  <conditionalFormatting sqref="T93">
    <cfRule type="expression" dxfId="44" priority="41" stopIfTrue="1">
      <formula>(T93+S93)&gt;C93</formula>
    </cfRule>
  </conditionalFormatting>
  <conditionalFormatting sqref="T94">
    <cfRule type="expression" dxfId="43" priority="38" stopIfTrue="1">
      <formula>(T94+S94)&gt;C94</formula>
    </cfRule>
  </conditionalFormatting>
  <conditionalFormatting sqref="S99">
    <cfRule type="expression" dxfId="42" priority="32" stopIfTrue="1">
      <formula>(S99+T99)&gt;C99</formula>
    </cfRule>
  </conditionalFormatting>
  <conditionalFormatting sqref="S100">
    <cfRule type="expression" dxfId="41" priority="30" stopIfTrue="1">
      <formula>(S100+T100)&gt;C100</formula>
    </cfRule>
  </conditionalFormatting>
  <conditionalFormatting sqref="S101">
    <cfRule type="expression" dxfId="40" priority="29" stopIfTrue="1">
      <formula>(S101+T101)&gt;C101</formula>
    </cfRule>
  </conditionalFormatting>
  <conditionalFormatting sqref="S102">
    <cfRule type="expression" dxfId="39" priority="28" stopIfTrue="1">
      <formula>(S102+T102)&gt;C102</formula>
    </cfRule>
  </conditionalFormatting>
  <conditionalFormatting sqref="T98">
    <cfRule type="expression" dxfId="38" priority="27" stopIfTrue="1">
      <formula>(T98+S98)&gt;C98</formula>
    </cfRule>
  </conditionalFormatting>
  <conditionalFormatting sqref="T99">
    <cfRule type="expression" dxfId="37" priority="26" stopIfTrue="1">
      <formula>(T99+S99)&gt;C99</formula>
    </cfRule>
  </conditionalFormatting>
  <conditionalFormatting sqref="T100">
    <cfRule type="expression" dxfId="36" priority="24" stopIfTrue="1">
      <formula>(T100+S100)&gt;C100</formula>
    </cfRule>
  </conditionalFormatting>
  <conditionalFormatting sqref="T101">
    <cfRule type="expression" dxfId="35" priority="23" stopIfTrue="1">
      <formula>(T101+S101)&gt;C101</formula>
    </cfRule>
  </conditionalFormatting>
  <conditionalFormatting sqref="T102">
    <cfRule type="expression" dxfId="34" priority="22" stopIfTrue="1">
      <formula>(T102+S102)&gt;C102</formula>
    </cfRule>
  </conditionalFormatting>
  <conditionalFormatting sqref="S29">
    <cfRule type="expression" dxfId="33" priority="21" stopIfTrue="1">
      <formula>(S29+T29)&gt;C29</formula>
    </cfRule>
  </conditionalFormatting>
  <conditionalFormatting sqref="S31">
    <cfRule type="expression" dxfId="32" priority="20" stopIfTrue="1">
      <formula>(S31+T31)&gt;C31</formula>
    </cfRule>
  </conditionalFormatting>
  <conditionalFormatting sqref="S32">
    <cfRule type="expression" dxfId="31" priority="19" stopIfTrue="1">
      <formula>(S32+T32)&gt;C32</formula>
    </cfRule>
  </conditionalFormatting>
  <conditionalFormatting sqref="S35">
    <cfRule type="expression" dxfId="30" priority="18" stopIfTrue="1">
      <formula>(S35+T35)&gt;C35</formula>
    </cfRule>
  </conditionalFormatting>
  <conditionalFormatting sqref="S78">
    <cfRule type="expression" dxfId="29" priority="17" stopIfTrue="1">
      <formula>(S78+T78)&gt;C78</formula>
    </cfRule>
  </conditionalFormatting>
  <conditionalFormatting sqref="S85">
    <cfRule type="expression" dxfId="28" priority="16" stopIfTrue="1">
      <formula>(S85+T85)&gt;C85</formula>
    </cfRule>
  </conditionalFormatting>
  <conditionalFormatting sqref="S92">
    <cfRule type="expression" dxfId="27" priority="15" stopIfTrue="1">
      <formula>(S92+T92)&gt;C92</formula>
    </cfRule>
  </conditionalFormatting>
  <conditionalFormatting sqref="S40">
    <cfRule type="expression" dxfId="26" priority="14" stopIfTrue="1">
      <formula>(S40+T40)&gt;C40</formula>
    </cfRule>
  </conditionalFormatting>
  <conditionalFormatting sqref="S43">
    <cfRule type="expression" dxfId="25" priority="13" stopIfTrue="1">
      <formula>(S43+T43)&gt;C43</formula>
    </cfRule>
  </conditionalFormatting>
  <conditionalFormatting sqref="S13">
    <cfRule type="expression" dxfId="24" priority="12" stopIfTrue="1">
      <formula>(S13+T13)&gt;C13</formula>
    </cfRule>
  </conditionalFormatting>
  <conditionalFormatting sqref="S49:S50">
    <cfRule type="expression" dxfId="23" priority="11" stopIfTrue="1">
      <formula>(S49+T49)&gt;C49</formula>
    </cfRule>
  </conditionalFormatting>
  <conditionalFormatting sqref="S51">
    <cfRule type="expression" dxfId="22" priority="10" stopIfTrue="1">
      <formula>(S51+T51)&gt;C51</formula>
    </cfRule>
  </conditionalFormatting>
  <conditionalFormatting sqref="S79">
    <cfRule type="expression" dxfId="21" priority="9" stopIfTrue="1">
      <formula>(S79+T79)&gt;C79</formula>
    </cfRule>
  </conditionalFormatting>
  <conditionalFormatting sqref="S68">
    <cfRule type="expression" dxfId="20" priority="8" stopIfTrue="1">
      <formula>(S68+T68)&gt;C68</formula>
    </cfRule>
  </conditionalFormatting>
  <conditionalFormatting sqref="S88">
    <cfRule type="expression" dxfId="19" priority="7" stopIfTrue="1">
      <formula>(S88+T88)&gt;C88</formula>
    </cfRule>
  </conditionalFormatting>
  <conditionalFormatting sqref="S48">
    <cfRule type="expression" dxfId="18" priority="6" stopIfTrue="1">
      <formula>(S48+T48)&gt;C48</formula>
    </cfRule>
  </conditionalFormatting>
  <conditionalFormatting sqref="S98">
    <cfRule type="expression" dxfId="17" priority="5" stopIfTrue="1">
      <formula>(S98+T98)&gt;C98</formula>
    </cfRule>
  </conditionalFormatting>
  <conditionalFormatting sqref="S52">
    <cfRule type="expression" dxfId="16" priority="4" stopIfTrue="1">
      <formula>(S52+T52)&gt;C52</formula>
    </cfRule>
  </conditionalFormatting>
  <conditionalFormatting sqref="S64">
    <cfRule type="expression" dxfId="15" priority="3" stopIfTrue="1">
      <formula>(S64+T64)&gt;C64</formula>
    </cfRule>
  </conditionalFormatting>
  <conditionalFormatting sqref="S46">
    <cfRule type="expression" dxfId="14" priority="2" stopIfTrue="1">
      <formula>(S46+T46)&gt;C46</formula>
    </cfRule>
  </conditionalFormatting>
  <conditionalFormatting sqref="S83">
    <cfRule type="expression" dxfId="13" priority="1" stopIfTrue="1">
      <formula>(S83+T83)&gt;C83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3" zoomScaleNormal="100" zoomScaleSheetLayoutView="100" workbookViewId="0">
      <selection activeCell="C6" sqref="C6"/>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5" t="s">
        <v>2058</v>
      </c>
      <c r="B1" s="2246"/>
      <c r="C1" s="2246"/>
      <c r="D1" s="2246"/>
      <c r="E1" s="2246"/>
      <c r="F1" s="2246"/>
      <c r="G1" s="2246"/>
      <c r="H1" s="2246"/>
      <c r="I1" s="2246"/>
      <c r="J1" s="2247"/>
      <c r="K1" s="913"/>
    </row>
    <row r="2" spans="1:11" s="932" customFormat="1" ht="72">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3750000</v>
      </c>
      <c r="C4" s="920"/>
      <c r="D4" s="920"/>
      <c r="E4" s="921"/>
      <c r="F4" s="921"/>
      <c r="G4" s="921"/>
      <c r="H4" s="921"/>
      <c r="I4" s="921"/>
      <c r="J4" s="921"/>
      <c r="K4" s="914"/>
    </row>
    <row r="5" spans="1:11" s="383" customFormat="1" ht="13.5">
      <c r="A5" s="481" t="s">
        <v>74</v>
      </c>
      <c r="B5" s="919">
        <f>'Sources and Uses Budget'!C5</f>
        <v>329651</v>
      </c>
      <c r="C5" s="920"/>
      <c r="D5" s="920"/>
      <c r="E5" s="921"/>
      <c r="F5" s="921"/>
      <c r="G5" s="921"/>
      <c r="H5" s="921"/>
      <c r="I5" s="921"/>
      <c r="J5" s="921"/>
      <c r="K5" s="914"/>
    </row>
    <row r="6" spans="1:11" s="383" customFormat="1">
      <c r="A6" s="369" t="s">
        <v>381</v>
      </c>
      <c r="B6" s="919">
        <f>'Sources and Uses Budget'!C6</f>
        <v>30000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4109651</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4109651</v>
      </c>
      <c r="C12" s="919">
        <f>SUM(C8+C11)</f>
        <v>0</v>
      </c>
      <c r="D12" s="919">
        <f>SUM(D8+D11)</f>
        <v>0</v>
      </c>
      <c r="E12" s="921"/>
      <c r="F12" s="921"/>
      <c r="G12" s="921"/>
      <c r="H12" s="921"/>
      <c r="I12" s="921"/>
      <c r="J12" s="921"/>
      <c r="K12" s="914"/>
    </row>
    <row r="13" spans="1:11" s="383" customFormat="1">
      <c r="A13" s="721" t="s">
        <v>1228</v>
      </c>
      <c r="B13" s="919">
        <f>'Sources and Uses Budget'!C13</f>
        <v>65000</v>
      </c>
      <c r="C13" s="920"/>
      <c r="D13" s="920"/>
      <c r="E13" s="919">
        <f>'Sources and Uses Budget'!S13</f>
        <v>65000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2002902</v>
      </c>
      <c r="C28" s="920"/>
      <c r="D28" s="920"/>
      <c r="E28" s="919">
        <f>'Sources and Uses Budget'!S29</f>
        <v>2002902</v>
      </c>
      <c r="F28" s="920"/>
      <c r="G28" s="920"/>
      <c r="H28" s="919">
        <f>'Sources and Uses Budget'!T29</f>
        <v>0</v>
      </c>
      <c r="I28" s="920"/>
      <c r="J28" s="920"/>
      <c r="K28" s="914"/>
    </row>
    <row r="29" spans="1:11" s="383" customFormat="1">
      <c r="A29" s="369" t="s">
        <v>1014</v>
      </c>
      <c r="B29" s="919">
        <f>'Sources and Uses Budget'!C30</f>
        <v>22412933</v>
      </c>
      <c r="C29" s="920"/>
      <c r="D29" s="920"/>
      <c r="E29" s="919">
        <f>'Sources and Uses Budget'!S30</f>
        <v>22412933</v>
      </c>
      <c r="F29" s="920"/>
      <c r="G29" s="920"/>
      <c r="H29" s="919">
        <f>'Sources and Uses Budget'!T30</f>
        <v>0</v>
      </c>
      <c r="I29" s="920"/>
      <c r="J29" s="920"/>
      <c r="K29" s="914"/>
    </row>
    <row r="30" spans="1:11" s="383" customFormat="1">
      <c r="A30" s="369" t="s">
        <v>1015</v>
      </c>
      <c r="B30" s="919">
        <f>'Sources and Uses Budget'!C31</f>
        <v>1170000</v>
      </c>
      <c r="C30" s="920"/>
      <c r="D30" s="920"/>
      <c r="E30" s="919">
        <f>'Sources and Uses Budget'!S31</f>
        <v>1170000</v>
      </c>
      <c r="F30" s="920"/>
      <c r="G30" s="920"/>
      <c r="H30" s="919">
        <f>'Sources and Uses Budget'!T31</f>
        <v>0</v>
      </c>
      <c r="I30" s="920"/>
      <c r="J30" s="920"/>
      <c r="K30" s="914"/>
    </row>
    <row r="31" spans="1:11" s="383" customFormat="1">
      <c r="A31" s="369" t="s">
        <v>1016</v>
      </c>
      <c r="B31" s="919">
        <f>'Sources and Uses Budget'!C32</f>
        <v>1473662</v>
      </c>
      <c r="C31" s="920"/>
      <c r="D31" s="920"/>
      <c r="E31" s="919">
        <f>'Sources and Uses Budget'!S32</f>
        <v>1473662</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586658</v>
      </c>
      <c r="C34" s="920"/>
      <c r="D34" s="920"/>
      <c r="E34" s="919">
        <f>'Sources and Uses Budget'!S35</f>
        <v>586658</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Commercial TI Allowance</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27646155</v>
      </c>
      <c r="C37" s="919">
        <f>SUM(C28:C36)</f>
        <v>0</v>
      </c>
      <c r="D37" s="919">
        <f>SUM(D28:D36)</f>
        <v>0</v>
      </c>
      <c r="E37" s="919">
        <f>'Sources and Uses Budget'!S38</f>
        <v>27646155</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890000</v>
      </c>
      <c r="C39" s="920"/>
      <c r="D39" s="920"/>
      <c r="E39" s="919">
        <f>'Sources and Uses Budget'!S40</f>
        <v>890000</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890000</v>
      </c>
      <c r="C41" s="919">
        <f>SUM(C38:C40)</f>
        <v>0</v>
      </c>
      <c r="D41" s="919">
        <f>SUM(D38:D40)</f>
        <v>0</v>
      </c>
      <c r="E41" s="919">
        <f>'Sources and Uses Budget'!S42</f>
        <v>890000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500000</v>
      </c>
      <c r="C42" s="920"/>
      <c r="D42" s="920"/>
      <c r="E42" s="919">
        <f>'Sources and Uses Budget'!S43</f>
        <v>500000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1088821</v>
      </c>
      <c r="C44" s="920"/>
      <c r="D44" s="920"/>
      <c r="E44" s="919">
        <f>'Sources and Uses Budget'!S45</f>
        <v>725881</v>
      </c>
      <c r="F44" s="920"/>
      <c r="G44" s="920"/>
      <c r="H44" s="919">
        <f>'Sources and Uses Budget'!T45</f>
        <v>0</v>
      </c>
      <c r="I44" s="920"/>
      <c r="J44" s="920"/>
      <c r="K44" s="914"/>
    </row>
    <row r="45" spans="1:11" s="383" customFormat="1">
      <c r="A45" s="369" t="s">
        <v>1030</v>
      </c>
      <c r="B45" s="919">
        <f>'Sources and Uses Budget'!C46</f>
        <v>221305</v>
      </c>
      <c r="C45" s="920"/>
      <c r="D45" s="920"/>
      <c r="E45" s="919">
        <f>'Sources and Uses Budget'!S46</f>
        <v>221305</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50000</v>
      </c>
      <c r="C47" s="920"/>
      <c r="D47" s="920"/>
      <c r="E47" s="919">
        <f>'Sources and Uses Budget'!S48</f>
        <v>50000</v>
      </c>
      <c r="F47" s="920"/>
      <c r="G47" s="920"/>
      <c r="H47" s="919">
        <f>'Sources and Uses Budget'!T48</f>
        <v>0</v>
      </c>
      <c r="I47" s="920"/>
      <c r="J47" s="920"/>
      <c r="K47" s="914"/>
    </row>
    <row r="48" spans="1:11" s="383" customFormat="1">
      <c r="A48" s="369" t="s">
        <v>1035</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1033</v>
      </c>
      <c r="B49" s="919">
        <f>'Sources and Uses Budget'!C50</f>
        <v>50000</v>
      </c>
      <c r="C49" s="920"/>
      <c r="D49" s="920"/>
      <c r="E49" s="919">
        <f>'Sources and Uses Budget'!S50</f>
        <v>50000</v>
      </c>
      <c r="F49" s="920"/>
      <c r="G49" s="920"/>
      <c r="H49" s="919">
        <f>'Sources and Uses Budget'!T50</f>
        <v>0</v>
      </c>
      <c r="I49" s="920"/>
      <c r="J49" s="920"/>
      <c r="K49" s="914"/>
    </row>
    <row r="50" spans="1:11" s="383" customFormat="1">
      <c r="A50" s="369" t="s">
        <v>1034</v>
      </c>
      <c r="B50" s="919">
        <f>'Sources and Uses Budget'!C51</f>
        <v>200000</v>
      </c>
      <c r="C50" s="920"/>
      <c r="D50" s="920"/>
      <c r="E50" s="919">
        <f>'Sources and Uses Budget'!S51</f>
        <v>200000</v>
      </c>
      <c r="F50" s="920"/>
      <c r="G50" s="920"/>
      <c r="H50" s="919">
        <f>'Sources and Uses Budget'!T51</f>
        <v>0</v>
      </c>
      <c r="I50" s="920"/>
      <c r="J50" s="920"/>
      <c r="K50" s="914"/>
    </row>
    <row r="51" spans="1:11" s="383" customFormat="1" ht="24">
      <c r="A51" s="722" t="str">
        <f>'Sources and Uses Budget'!$A52</f>
        <v>Construction Lender Expenses/Inspections</v>
      </c>
      <c r="B51" s="919">
        <f>'Sources and Uses Budget'!C52</f>
        <v>47200</v>
      </c>
      <c r="C51" s="920"/>
      <c r="D51" s="920"/>
      <c r="E51" s="919">
        <f>'Sources and Uses Budget'!S52</f>
        <v>47200</v>
      </c>
      <c r="F51" s="920"/>
      <c r="G51" s="920"/>
      <c r="H51" s="919">
        <f>'Sources and Uses Budget'!T52</f>
        <v>0</v>
      </c>
      <c r="I51" s="920"/>
      <c r="J51" s="920"/>
      <c r="K51" s="914"/>
    </row>
    <row r="52" spans="1:11" s="911" customFormat="1">
      <c r="A52" s="373" t="s">
        <v>1036</v>
      </c>
      <c r="B52" s="919">
        <f>'Sources and Uses Budget'!C53</f>
        <v>1697326</v>
      </c>
      <c r="C52" s="922">
        <f>SUM(C44:C51)</f>
        <v>0</v>
      </c>
      <c r="D52" s="922">
        <f>SUM(D44:D51)</f>
        <v>0</v>
      </c>
      <c r="E52" s="919">
        <f>'Sources and Uses Budget'!S53</f>
        <v>1334386</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75945</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Permanent Lender Legal</v>
      </c>
      <c r="B59" s="919">
        <f>'Sources and Uses Budget'!C60</f>
        <v>15000</v>
      </c>
      <c r="C59" s="920"/>
      <c r="D59" s="920"/>
      <c r="E59" s="921"/>
      <c r="F59" s="921"/>
      <c r="G59" s="921"/>
      <c r="H59" s="921"/>
      <c r="I59" s="921"/>
      <c r="J59" s="921"/>
      <c r="K59" s="914"/>
    </row>
    <row r="60" spans="1:11" s="383" customFormat="1" ht="14.1" customHeight="1">
      <c r="A60" s="373" t="s">
        <v>548</v>
      </c>
      <c r="B60" s="919">
        <f>'Sources and Uses Budget'!C61</f>
        <v>90945</v>
      </c>
      <c r="C60" s="919">
        <f>SUM(C54:C59)</f>
        <v>0</v>
      </c>
      <c r="D60" s="919">
        <f>SUM(D54:D59)</f>
        <v>0</v>
      </c>
      <c r="E60" s="921"/>
      <c r="F60" s="921"/>
      <c r="G60" s="921"/>
      <c r="H60" s="921"/>
      <c r="I60" s="921"/>
      <c r="J60" s="921"/>
      <c r="K60" s="914"/>
    </row>
    <row r="61" spans="1:11" s="383" customFormat="1">
      <c r="A61" s="379" t="s">
        <v>549</v>
      </c>
      <c r="B61" s="919">
        <f>'Sources and Uses Budget'!C62</f>
        <v>34999077</v>
      </c>
      <c r="C61" s="919">
        <f>SUM(C8+C11+C13+C14+C15+C25+C26+C37+C41+C42+C52+C60)</f>
        <v>0</v>
      </c>
      <c r="D61" s="919">
        <f>SUM(D8+D11+D13+D14+D15+D25+D26+D37+D41+D42+D52+D60)</f>
        <v>0</v>
      </c>
      <c r="E61" s="919">
        <f>'Sources and Uses Budget'!S62</f>
        <v>30435541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2239</v>
      </c>
      <c r="B62" s="918"/>
      <c r="C62" s="918"/>
      <c r="D62" s="918"/>
      <c r="E62" s="918"/>
      <c r="F62" s="918"/>
      <c r="G62" s="918"/>
      <c r="H62" s="918"/>
      <c r="I62" s="918"/>
      <c r="J62" s="918"/>
      <c r="K62" s="914"/>
    </row>
    <row r="63" spans="1:11" s="383" customFormat="1">
      <c r="A63" s="369" t="s">
        <v>311</v>
      </c>
      <c r="B63" s="919">
        <f>'Sources and Uses Budget'!C64</f>
        <v>55000</v>
      </c>
      <c r="C63" s="920"/>
      <c r="D63" s="920"/>
      <c r="E63" s="919">
        <f>'Sources and Uses Budget'!S64</f>
        <v>55000</v>
      </c>
      <c r="F63" s="920"/>
      <c r="G63" s="920"/>
      <c r="H63" s="919">
        <f>'Sources and Uses Budget'!T64</f>
        <v>0</v>
      </c>
      <c r="I63" s="920"/>
      <c r="J63" s="920"/>
      <c r="K63" s="914"/>
    </row>
    <row r="64" spans="1:11" s="1386" customFormat="1" ht="24">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 Construction Legal</v>
      </c>
      <c r="B67" s="919">
        <f>'Sources and Uses Budget'!C68</f>
        <v>30000</v>
      </c>
      <c r="C67" s="920"/>
      <c r="D67" s="920"/>
      <c r="E67" s="919">
        <f>'Sources and Uses Budget'!S68</f>
        <v>30000</v>
      </c>
      <c r="F67" s="920"/>
      <c r="G67" s="920"/>
      <c r="H67" s="919">
        <f>'Sources and Uses Budget'!T68</f>
        <v>0</v>
      </c>
      <c r="I67" s="920"/>
      <c r="J67" s="920"/>
      <c r="K67" s="914"/>
    </row>
    <row r="68" spans="1:11" s="383" customFormat="1">
      <c r="A68" s="373" t="s">
        <v>2243</v>
      </c>
      <c r="B68" s="919">
        <f>'Sources and Uses Budget'!C69</f>
        <v>85000</v>
      </c>
      <c r="C68" s="919">
        <f>SUM(C62:C67)</f>
        <v>0</v>
      </c>
      <c r="D68" s="919">
        <f>SUM(D62:D67)</f>
        <v>0</v>
      </c>
      <c r="E68" s="919">
        <f>'Sources and Uses Budget'!S69</f>
        <v>85000</v>
      </c>
      <c r="F68" s="922">
        <f>SUM(F63:F67)</f>
        <v>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315</v>
      </c>
      <c r="B73" s="919">
        <f>'Sources and Uses Budget'!C74</f>
        <v>262890</v>
      </c>
      <c r="C73" s="920"/>
      <c r="D73" s="920"/>
      <c r="E73" s="921"/>
      <c r="F73" s="921"/>
      <c r="G73" s="921"/>
      <c r="H73" s="921"/>
      <c r="I73" s="921"/>
      <c r="J73" s="921"/>
      <c r="K73" s="914"/>
    </row>
    <row r="74" spans="1:11" s="383" customFormat="1">
      <c r="A74" s="722">
        <f>'Sources and Uses Budget'!$A75</f>
        <v>0</v>
      </c>
      <c r="B74" s="919">
        <f>'Sources and Uses Budget'!C75</f>
        <v>0</v>
      </c>
      <c r="C74" s="920"/>
      <c r="D74" s="920"/>
      <c r="E74" s="921"/>
      <c r="F74" s="921"/>
      <c r="G74" s="921"/>
      <c r="H74" s="921"/>
      <c r="I74" s="921"/>
      <c r="J74" s="921"/>
      <c r="K74" s="914"/>
    </row>
    <row r="75" spans="1:11" s="383" customFormat="1">
      <c r="A75" s="373" t="s">
        <v>316</v>
      </c>
      <c r="B75" s="919">
        <f>'Sources and Uses Budget'!C76</f>
        <v>262890</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1398790</v>
      </c>
      <c r="C77" s="920"/>
      <c r="D77" s="920"/>
      <c r="E77" s="919">
        <f>'Sources and Uses Budget'!S78</f>
        <v>1398790</v>
      </c>
      <c r="F77" s="920"/>
      <c r="G77" s="920"/>
      <c r="H77" s="919">
        <f>'Sources and Uses Budget'!T78</f>
        <v>0</v>
      </c>
      <c r="I77" s="920"/>
      <c r="J77" s="920"/>
      <c r="K77" s="914"/>
    </row>
    <row r="78" spans="1:11" s="1093" customFormat="1">
      <c r="A78" s="369" t="s">
        <v>596</v>
      </c>
      <c r="B78" s="919">
        <f>'Sources and Uses Budget'!C79</f>
        <v>160000</v>
      </c>
      <c r="C78" s="920"/>
      <c r="D78" s="920"/>
      <c r="E78" s="919">
        <f>'Sources and Uses Budget'!S79</f>
        <v>160000</v>
      </c>
      <c r="F78" s="920"/>
      <c r="G78" s="920"/>
      <c r="H78" s="919">
        <f>'Sources and Uses Budget'!T79</f>
        <v>0</v>
      </c>
      <c r="I78" s="920"/>
      <c r="J78" s="920"/>
      <c r="K78" s="914"/>
    </row>
    <row r="79" spans="1:11" s="383" customFormat="1">
      <c r="A79" s="373" t="s">
        <v>1967</v>
      </c>
      <c r="B79" s="919">
        <f>'Sources and Uses Budget'!C80</f>
        <v>1558790</v>
      </c>
      <c r="C79" s="1126">
        <f>SUM(C77:C78)</f>
        <v>0</v>
      </c>
      <c r="D79" s="1126">
        <f>SUM(D77:D78)</f>
        <v>0</v>
      </c>
      <c r="E79" s="919">
        <f>'Sources and Uses Budget'!S80</f>
        <v>1558790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85879</v>
      </c>
      <c r="C81" s="920"/>
      <c r="D81" s="920"/>
      <c r="E81" s="921"/>
      <c r="F81" s="921"/>
      <c r="G81" s="921"/>
      <c r="H81" s="921"/>
      <c r="I81" s="921"/>
      <c r="J81" s="921"/>
      <c r="K81" s="914"/>
    </row>
    <row r="82" spans="1:11" s="383" customFormat="1">
      <c r="A82" s="369" t="s">
        <v>574</v>
      </c>
      <c r="B82" s="919">
        <f>'Sources and Uses Budget'!C83</f>
        <v>150000</v>
      </c>
      <c r="C82" s="920"/>
      <c r="D82" s="920"/>
      <c r="E82" s="919">
        <f>'Sources and Uses Budget'!S83</f>
        <v>150000</v>
      </c>
      <c r="F82" s="920"/>
      <c r="G82" s="920"/>
      <c r="H82" s="919">
        <f>'Sources and Uses Budget'!T83</f>
        <v>0</v>
      </c>
      <c r="I82" s="920"/>
      <c r="J82" s="920"/>
      <c r="K82" s="914"/>
    </row>
    <row r="83" spans="1:11" s="383" customFormat="1">
      <c r="A83" s="369" t="s">
        <v>575</v>
      </c>
      <c r="B83" s="919">
        <f>'Sources and Uses Budget'!C84</f>
        <v>1560000</v>
      </c>
      <c r="C83" s="920"/>
      <c r="D83" s="920"/>
      <c r="E83" s="919">
        <f>'Sources and Uses Budget'!S84</f>
        <v>1381808</v>
      </c>
      <c r="F83" s="920"/>
      <c r="G83" s="920"/>
      <c r="H83" s="919">
        <f>'Sources and Uses Budget'!T84</f>
        <v>0</v>
      </c>
      <c r="I83" s="920"/>
      <c r="J83" s="920"/>
      <c r="K83" s="914"/>
    </row>
    <row r="84" spans="1:11" s="383" customFormat="1">
      <c r="A84" s="369" t="s">
        <v>576</v>
      </c>
      <c r="B84" s="919">
        <f>'Sources and Uses Budget'!C85</f>
        <v>760000</v>
      </c>
      <c r="C84" s="920"/>
      <c r="D84" s="920"/>
      <c r="E84" s="919">
        <f>'Sources and Uses Budget'!S85</f>
        <v>760000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75000</v>
      </c>
      <c r="C86" s="920"/>
      <c r="D86" s="920"/>
      <c r="E86" s="921"/>
      <c r="F86" s="921"/>
      <c r="G86" s="921"/>
      <c r="H86" s="921"/>
      <c r="I86" s="921"/>
      <c r="J86" s="921"/>
      <c r="K86" s="914"/>
    </row>
    <row r="87" spans="1:11" s="383" customFormat="1">
      <c r="A87" s="369" t="s">
        <v>579</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580</v>
      </c>
      <c r="B88" s="919">
        <f>'Sources and Uses Budget'!C89</f>
        <v>8000</v>
      </c>
      <c r="C88" s="920"/>
      <c r="D88" s="920"/>
      <c r="E88" s="919">
        <f>'Sources and Uses Budget'!S89</f>
        <v>0</v>
      </c>
      <c r="F88" s="920"/>
      <c r="G88" s="920"/>
      <c r="H88" s="919">
        <f>'Sources and Uses Budget'!T89</f>
        <v>0</v>
      </c>
      <c r="I88" s="920"/>
      <c r="J88" s="920"/>
      <c r="K88" s="914"/>
    </row>
    <row r="89" spans="1:11" s="383" customFormat="1">
      <c r="A89" s="722" t="s">
        <v>1453</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1965</v>
      </c>
      <c r="B90" s="919">
        <f>'Sources and Uses Budget'!C91</f>
        <v>0</v>
      </c>
      <c r="C90" s="920"/>
      <c r="D90" s="920"/>
      <c r="E90" s="919">
        <f>'Sources and Uses Budget'!S91</f>
        <v>0</v>
      </c>
      <c r="F90" s="920"/>
      <c r="G90" s="920"/>
      <c r="H90" s="919">
        <f>'Sources and Uses Budget'!T91</f>
        <v>0</v>
      </c>
      <c r="I90" s="920"/>
      <c r="J90" s="920"/>
      <c r="K90" s="914"/>
    </row>
    <row r="91" spans="1:11" s="383" customFormat="1" ht="24">
      <c r="A91" s="722" t="str">
        <f>'Sources and Uses Budget'!$A92</f>
        <v>3rd Party Construction Manager/Security During Construction</v>
      </c>
      <c r="B91" s="919">
        <f>'Sources and Uses Budget'!C92</f>
        <v>160000</v>
      </c>
      <c r="C91" s="920"/>
      <c r="D91" s="920"/>
      <c r="E91" s="919">
        <f>'Sources and Uses Budget'!S92</f>
        <v>160000</v>
      </c>
      <c r="F91" s="920"/>
      <c r="G91" s="920"/>
      <c r="H91" s="919">
        <f>'Sources and Uses Budget'!T92</f>
        <v>0</v>
      </c>
      <c r="I91" s="920"/>
      <c r="J91" s="920"/>
      <c r="K91" s="914"/>
    </row>
    <row r="92" spans="1:11" s="383" customFormat="1">
      <c r="A92" s="722">
        <f>'Sources and Uses Budget'!$A93</f>
        <v>0</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f>'Sources and Uses Budget'!$A94</f>
        <v>0</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2848879</v>
      </c>
      <c r="C94" s="919">
        <f>SUM(C81:C93)</f>
        <v>0</v>
      </c>
      <c r="D94" s="919">
        <f>SUM(D81:D93)</f>
        <v>0</v>
      </c>
      <c r="E94" s="919">
        <f>'Sources and Uses Budget'!S95</f>
        <v>2501808</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39754636</v>
      </c>
      <c r="C95" s="919">
        <f>SUM(C61+C68+C75+C79+C94)</f>
        <v>0</v>
      </c>
      <c r="D95" s="919">
        <f>SUM(D61+D68+D75+D79+D94)</f>
        <v>0</v>
      </c>
      <c r="E95" s="919">
        <f>'Sources and Uses Budget'!S96</f>
        <v>34581139</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800000</v>
      </c>
      <c r="C97" s="920"/>
      <c r="D97" s="920"/>
      <c r="E97" s="919">
        <f>'Sources and Uses Budget'!S98</f>
        <v>800000</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800000</v>
      </c>
      <c r="C102" s="919">
        <f>SUM(C97:C101)</f>
        <v>0</v>
      </c>
      <c r="D102" s="919">
        <f>SUM(D97:D101)</f>
        <v>0</v>
      </c>
      <c r="E102" s="919">
        <f>'Sources and Uses Budget'!S103</f>
        <v>800000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40554636</v>
      </c>
      <c r="C103" s="922">
        <f>SUM(C95+C102)</f>
        <v>0</v>
      </c>
      <c r="D103" s="922">
        <f>SUM(D95+D102)</f>
        <v>0</v>
      </c>
      <c r="E103" s="919">
        <f>'Sources and Uses Budget'!S104</f>
        <v>35381139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35381139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87" t="s">
        <v>1971</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5"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2069</v>
      </c>
      <c r="AA6" s="2"/>
    </row>
    <row r="7" spans="1:40" ht="13.7"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2.75">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5"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2.75">
      <c r="B11" s="2264" t="s">
        <v>565</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35381139</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2.75">
      <c r="B12" s="2297" t="s">
        <v>495</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300" t="s">
        <v>1928</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2.75">
      <c r="B14" s="11"/>
      <c r="C14" s="2301" t="s">
        <v>840</v>
      </c>
      <c r="D14" s="2301"/>
      <c r="E14" s="2301"/>
      <c r="F14" s="2301"/>
      <c r="G14" s="2301"/>
      <c r="H14" s="2301"/>
      <c r="I14" s="2301"/>
      <c r="J14" s="2301"/>
      <c r="K14" s="2301"/>
      <c r="L14" s="2301"/>
      <c r="M14" s="2301"/>
      <c r="N14" s="2301"/>
      <c r="O14" s="2301"/>
      <c r="P14" s="2301"/>
      <c r="Q14" s="2301"/>
      <c r="R14" s="2301"/>
      <c r="S14" s="2302"/>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75">
      <c r="B15" s="11"/>
      <c r="C15" s="2301" t="s">
        <v>841</v>
      </c>
      <c r="D15" s="2301"/>
      <c r="E15" s="2301"/>
      <c r="F15" s="2301"/>
      <c r="G15" s="2301"/>
      <c r="H15" s="2301"/>
      <c r="I15" s="2301"/>
      <c r="J15" s="2301"/>
      <c r="K15" s="2301"/>
      <c r="L15" s="2301"/>
      <c r="M15" s="2301"/>
      <c r="N15" s="2301"/>
      <c r="O15" s="2301"/>
      <c r="P15" s="2301"/>
      <c r="Q15" s="2301"/>
      <c r="R15" s="2301"/>
      <c r="S15" s="2302"/>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75">
      <c r="B16" s="11"/>
      <c r="C16" s="2300" t="s">
        <v>1116</v>
      </c>
      <c r="D16" s="2300"/>
      <c r="E16" s="2300"/>
      <c r="F16" s="2300"/>
      <c r="G16" s="2300"/>
      <c r="H16" s="2300"/>
      <c r="I16" s="2300"/>
      <c r="J16" s="2300"/>
      <c r="K16" s="2300"/>
      <c r="L16" s="2300"/>
      <c r="M16" s="2300"/>
      <c r="N16" s="2300"/>
      <c r="O16" s="2300"/>
      <c r="P16" s="2300"/>
      <c r="Q16" s="2300"/>
      <c r="R16" s="2300"/>
      <c r="S16" s="2303"/>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75">
      <c r="B17" s="11"/>
      <c r="C17" s="2301" t="s">
        <v>842</v>
      </c>
      <c r="D17" s="2301"/>
      <c r="E17" s="2301"/>
      <c r="F17" s="2301"/>
      <c r="G17" s="2301"/>
      <c r="H17" s="2301"/>
      <c r="I17" s="2301"/>
      <c r="J17" s="2301"/>
      <c r="K17" s="2301"/>
      <c r="L17" s="2301"/>
      <c r="M17" s="2301"/>
      <c r="N17" s="2301"/>
      <c r="O17" s="2301"/>
      <c r="P17" s="2301"/>
      <c r="Q17" s="2301"/>
      <c r="R17" s="2301"/>
      <c r="S17" s="2302"/>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75">
      <c r="B18" s="929"/>
      <c r="C18" s="1974" t="s">
        <v>1347</v>
      </c>
      <c r="D18" s="1974"/>
      <c r="E18" s="1974"/>
      <c r="F18" s="1974"/>
      <c r="G18" s="1974"/>
      <c r="H18" s="1974"/>
      <c r="I18" s="1974"/>
      <c r="J18" s="1974"/>
      <c r="K18" s="1974"/>
      <c r="L18" s="1974"/>
      <c r="M18" s="1974"/>
      <c r="N18" s="1974"/>
      <c r="O18" s="1974"/>
      <c r="P18" s="1974"/>
      <c r="Q18" s="1974"/>
      <c r="R18" s="1974"/>
      <c r="S18" s="1975"/>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75">
      <c r="B19" s="768"/>
      <c r="C19" s="1974" t="s">
        <v>1347</v>
      </c>
      <c r="D19" s="1974"/>
      <c r="E19" s="1974"/>
      <c r="F19" s="1974"/>
      <c r="G19" s="1974"/>
      <c r="H19" s="1974"/>
      <c r="I19" s="1974"/>
      <c r="J19" s="1974"/>
      <c r="K19" s="1974"/>
      <c r="L19" s="1974"/>
      <c r="M19" s="1974"/>
      <c r="N19" s="1974"/>
      <c r="O19" s="1974"/>
      <c r="P19" s="1974"/>
      <c r="Q19" s="1974"/>
      <c r="R19" s="1974"/>
      <c r="S19" s="1975"/>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75">
      <c r="B20" s="2264" t="s">
        <v>843</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2.75">
      <c r="B21" s="2264" t="s">
        <v>1927</v>
      </c>
      <c r="C21" s="2265"/>
      <c r="D21" s="2265"/>
      <c r="E21" s="2265"/>
      <c r="F21" s="2265"/>
      <c r="G21" s="2265"/>
      <c r="H21" s="2265"/>
      <c r="I21" s="2265"/>
      <c r="J21" s="2265"/>
      <c r="K21" s="2265"/>
      <c r="L21" s="2265"/>
      <c r="M21" s="2265"/>
      <c r="N21" s="2265"/>
      <c r="O21" s="2265"/>
      <c r="P21" s="2265"/>
      <c r="Q21" s="2265"/>
      <c r="R21" s="2265"/>
      <c r="S21" s="2266"/>
      <c r="T21" s="1774">
        <f>35381139-11439991</f>
        <v>23941148</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75">
      <c r="B22" s="2264" t="s">
        <v>844</v>
      </c>
      <c r="C22" s="2265"/>
      <c r="D22" s="2265"/>
      <c r="E22" s="2265"/>
      <c r="F22" s="2265"/>
      <c r="G22" s="2265"/>
      <c r="H22" s="2265"/>
      <c r="I22" s="2265"/>
      <c r="J22" s="2265"/>
      <c r="K22" s="2265"/>
      <c r="L22" s="2265"/>
      <c r="M22" s="2265"/>
      <c r="N22" s="2265"/>
      <c r="O22" s="2265"/>
      <c r="P22" s="2265"/>
      <c r="Q22" s="2265"/>
      <c r="R22" s="2265"/>
      <c r="S22" s="2266"/>
      <c r="T22" s="2305">
        <f>(T20+T21)*-1</f>
        <v>-23941148</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2.75">
      <c r="A23" s="2"/>
      <c r="B23" s="2322" t="s">
        <v>2172</v>
      </c>
      <c r="C23" s="2323"/>
      <c r="D23" s="2323"/>
      <c r="E23" s="2323"/>
      <c r="F23" s="2323"/>
      <c r="G23" s="2323"/>
      <c r="H23" s="2323"/>
      <c r="I23" s="2323"/>
      <c r="J23" s="2323"/>
      <c r="K23" s="2323"/>
      <c r="L23" s="2323"/>
      <c r="M23" s="2323"/>
      <c r="N23" s="2323"/>
      <c r="O23" s="2323"/>
      <c r="P23" s="2323"/>
      <c r="Q23" s="2323"/>
      <c r="R23" s="2323"/>
      <c r="S23" s="2324"/>
      <c r="T23" s="2259">
        <f>T11+T22</f>
        <v>11439991</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2.75">
      <c r="B24" s="2264" t="s">
        <v>1348</v>
      </c>
      <c r="C24" s="2265"/>
      <c r="D24" s="2265"/>
      <c r="E24" s="2265"/>
      <c r="F24" s="2265"/>
      <c r="G24" s="2265"/>
      <c r="H24" s="2265"/>
      <c r="I24" s="2265"/>
      <c r="J24" s="2265"/>
      <c r="K24" s="2265"/>
      <c r="L24" s="2265"/>
      <c r="M24" s="2265"/>
      <c r="N24" s="2265"/>
      <c r="O24" s="2265"/>
      <c r="P24" s="2265"/>
      <c r="Q24" s="2265"/>
      <c r="R24" s="2265"/>
      <c r="S24" s="2266"/>
      <c r="T24" s="2325">
        <f>Application!AJ1002</f>
        <v>36433136</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2.75">
      <c r="B25" s="2316" t="s">
        <v>2174</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2.75">
      <c r="B26" s="2264" t="s">
        <v>846</v>
      </c>
      <c r="C26" s="2265"/>
      <c r="D26" s="2265"/>
      <c r="E26" s="2265"/>
      <c r="F26" s="2265"/>
      <c r="G26" s="2265"/>
      <c r="H26" s="2265"/>
      <c r="I26" s="2265"/>
      <c r="J26" s="2265"/>
      <c r="K26" s="2265"/>
      <c r="L26" s="2265"/>
      <c r="M26" s="2265"/>
      <c r="N26" s="2265"/>
      <c r="O26" s="2265"/>
      <c r="P26" s="2265"/>
      <c r="Q26" s="2265"/>
      <c r="R26" s="2265"/>
      <c r="S26" s="2266"/>
      <c r="T26" s="2312">
        <f>T23*T25</f>
        <v>14871988.300000001</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2.75">
      <c r="A27" s="7"/>
      <c r="B27" s="2319" t="s">
        <v>977</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924</v>
      </c>
      <c r="C28" s="2265"/>
      <c r="D28" s="2265"/>
      <c r="E28" s="2265"/>
      <c r="F28" s="2265"/>
      <c r="G28" s="2265"/>
      <c r="H28" s="2265"/>
      <c r="I28" s="2265"/>
      <c r="J28" s="2265"/>
      <c r="K28" s="2265"/>
      <c r="L28" s="2265"/>
      <c r="M28" s="2265"/>
      <c r="N28" s="2265"/>
      <c r="O28" s="2265"/>
      <c r="P28" s="2265"/>
      <c r="Q28" s="2265"/>
      <c r="R28" s="2265"/>
      <c r="S28" s="2266"/>
      <c r="T28" s="1784">
        <f>IF(ISERROR((T26*T27)),0,(T26*T27))</f>
        <v>14871988.300000001</v>
      </c>
      <c r="U28" s="2281"/>
      <c r="V28" s="2281"/>
      <c r="W28" s="2281"/>
      <c r="X28" s="2281"/>
      <c r="Y28" s="1784">
        <f>IF(ISERROR((Y26*Y27)),0,(Y26*Y27))</f>
        <v>0</v>
      </c>
      <c r="Z28" s="2281"/>
      <c r="AA28" s="2281"/>
      <c r="AB28" s="2281"/>
      <c r="AC28" s="2281"/>
      <c r="AD28" s="1784">
        <f>IF(ISERROR((AD26*AD27)),0,(AD26*AD27))</f>
        <v>0</v>
      </c>
      <c r="AE28" s="2281"/>
      <c r="AF28" s="2281"/>
      <c r="AG28" s="2281"/>
      <c r="AH28" s="2281"/>
      <c r="AI28" s="1784">
        <f>IF(ISERROR((AI26*AI27)),0,(AI26*AI27))</f>
        <v>0</v>
      </c>
      <c r="AJ28" s="2281"/>
      <c r="AK28" s="2281"/>
      <c r="AL28" s="2281"/>
      <c r="AM28" s="2281"/>
    </row>
    <row r="29" spans="1:39" ht="12.75">
      <c r="B29" s="2264" t="s">
        <v>688</v>
      </c>
      <c r="C29" s="2265"/>
      <c r="D29" s="2265"/>
      <c r="E29" s="2265"/>
      <c r="F29" s="2265"/>
      <c r="G29" s="2265"/>
      <c r="H29" s="2265"/>
      <c r="I29" s="2265"/>
      <c r="J29" s="2265"/>
      <c r="K29" s="2265"/>
      <c r="L29" s="2265"/>
      <c r="M29" s="2265"/>
      <c r="N29" s="2265"/>
      <c r="O29" s="2265"/>
      <c r="P29" s="2265"/>
      <c r="Q29" s="2265"/>
      <c r="R29" s="2265"/>
      <c r="S29" s="2266"/>
      <c r="T29" s="2325">
        <f>T28+Y28+AD28+AI28</f>
        <v>14871988.300000001</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2173</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75">
      <c r="B31" s="2248" t="s">
        <v>2177</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7" t="s">
        <v>1809</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924</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14871988.300000001</v>
      </c>
      <c r="Z38" s="2260"/>
      <c r="AA38" s="2260"/>
      <c r="AB38" s="2260"/>
      <c r="AC38" s="2260"/>
      <c r="AD38" s="2260">
        <f>IF(T24&gt;=(T23+Y23+AD23+AI23),AD28+AI28,0)</f>
        <v>0</v>
      </c>
      <c r="AE38" s="2260"/>
      <c r="AF38" s="2260"/>
      <c r="AG38" s="2260"/>
      <c r="AH38" s="2260"/>
    </row>
    <row r="39" spans="1:44" ht="12.75">
      <c r="B39" s="2264" t="s">
        <v>2050</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1338479</v>
      </c>
      <c r="Z40" s="2260"/>
      <c r="AA40" s="2260"/>
      <c r="AB40" s="2260"/>
      <c r="AC40" s="2260"/>
      <c r="AD40" s="2259">
        <f>ROUND(AD38*AD39,0)</f>
        <v>0</v>
      </c>
      <c r="AE40" s="2260"/>
      <c r="AF40" s="2260"/>
      <c r="AG40" s="2260"/>
      <c r="AH40" s="2260"/>
    </row>
    <row r="41" spans="1:44" ht="12.75">
      <c r="B41" s="2264" t="s">
        <v>682</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1338479</v>
      </c>
      <c r="Z41" s="2262"/>
      <c r="AA41" s="2262"/>
      <c r="AB41" s="2262"/>
      <c r="AC41" s="2262"/>
      <c r="AD41" s="2262"/>
      <c r="AE41" s="2262"/>
      <c r="AF41" s="2262"/>
      <c r="AG41" s="2262"/>
      <c r="AH41" s="2263"/>
    </row>
    <row r="42" spans="1:44" ht="12.75" customHeight="1">
      <c r="A42" s="6"/>
      <c r="B42" s="2280" t="s">
        <v>2051</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1338479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1338479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55">
        <f>'Sources and Uses Budget'!B104-'Sources and Uses Budget'!$B$15</f>
        <v>40754636</v>
      </c>
      <c r="AC46" s="2256"/>
      <c r="AD46" s="2256"/>
      <c r="AE46" s="2256"/>
      <c r="AF46" s="2257"/>
    </row>
    <row r="47" spans="1:44" ht="12.75" customHeight="1">
      <c r="D47" s="6" t="s">
        <v>918</v>
      </c>
      <c r="AB47" s="2255">
        <f>Application!AO644-MIN('Sources and Uses Budget'!B15,Application!AG388)</f>
        <v>28304192</v>
      </c>
      <c r="AC47" s="2256"/>
      <c r="AD47" s="2256"/>
      <c r="AE47" s="2256"/>
      <c r="AF47" s="2257"/>
    </row>
    <row r="48" spans="1:44" ht="12.75">
      <c r="D48" s="6" t="s">
        <v>421</v>
      </c>
      <c r="AB48" s="2255">
        <f>AB46-AB47</f>
        <v>12450444</v>
      </c>
      <c r="AC48" s="2256"/>
      <c r="AD48" s="2256"/>
      <c r="AE48" s="2256"/>
      <c r="AF48" s="2257"/>
    </row>
    <row r="49" spans="1:40" ht="12.75">
      <c r="D49" s="6" t="s">
        <v>957</v>
      </c>
      <c r="X49" s="2"/>
      <c r="Y49" s="2"/>
      <c r="Z49" s="2"/>
      <c r="AA49" s="409"/>
      <c r="AB49" s="2274">
        <v>0.93019348000000002</v>
      </c>
      <c r="AC49" s="2275"/>
      <c r="AD49" s="2275"/>
      <c r="AE49" s="2275"/>
      <c r="AF49" s="2276"/>
    </row>
    <row r="50" spans="1:40" s="515" customFormat="1" ht="15" customHeight="1">
      <c r="A50" s="2"/>
      <c r="B50" s="2"/>
      <c r="C50" s="2"/>
      <c r="D50" s="272"/>
      <c r="E50" s="2285" t="s">
        <v>2237</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13384790</v>
      </c>
      <c r="AC53" s="2256"/>
      <c r="AD53" s="2256"/>
      <c r="AE53" s="2256"/>
      <c r="AF53" s="2257"/>
    </row>
    <row r="54" spans="1:40" ht="12.75" customHeight="1">
      <c r="D54" s="6" t="s">
        <v>620</v>
      </c>
      <c r="AB54" s="2255">
        <f>(AB53/10)</f>
        <v>1338479</v>
      </c>
      <c r="AC54" s="2256"/>
      <c r="AD54" s="2256"/>
      <c r="AE54" s="2256"/>
      <c r="AF54" s="2257"/>
    </row>
    <row r="55" spans="1:40" ht="12.75">
      <c r="D55" s="6" t="s">
        <v>378</v>
      </c>
      <c r="AB55" s="2282">
        <f>(IF((Y41&lt;AB54),Y41,AB54))</f>
        <v>1338479</v>
      </c>
      <c r="AC55" s="2283"/>
      <c r="AD55" s="2283"/>
      <c r="AE55" s="2283"/>
      <c r="AF55" s="2284"/>
    </row>
    <row r="56" spans="1:40" ht="12.75">
      <c r="D56" s="6" t="s">
        <v>117</v>
      </c>
      <c r="AB56" s="2255">
        <f>ROUND((10*AB55*AB49),0)</f>
        <v>12450444</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1975</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7"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4" t="s">
        <v>330</v>
      </c>
      <c r="Z62" s="2254"/>
      <c r="AA62" s="2254"/>
      <c r="AB62" s="2254"/>
      <c r="AC62" s="2254"/>
      <c r="AD62" s="2254" t="s">
        <v>46</v>
      </c>
      <c r="AE62" s="2254"/>
      <c r="AF62" s="2254"/>
      <c r="AG62" s="2254"/>
      <c r="AH62" s="2254"/>
      <c r="AI62" s="1"/>
      <c r="AJ62" s="1"/>
      <c r="AK62" s="1"/>
      <c r="AL62" s="1"/>
      <c r="AM62" s="1"/>
      <c r="AN62" s="1"/>
    </row>
    <row r="63" spans="1:40" ht="12.75">
      <c r="C63" s="330"/>
      <c r="D63" s="801" t="s">
        <v>1373</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89">
        <f>IF(AND(T25=1.3,Application!D214="At-Risk"),AI28,IF(Application!D214&lt;&gt;"At-Risk",0,AD28))</f>
        <v>0</v>
      </c>
      <c r="AE63" s="2277"/>
      <c r="AF63" s="2277"/>
      <c r="AG63" s="2277"/>
      <c r="AH63" s="2277"/>
    </row>
    <row r="64" spans="1:40" ht="15" customHeight="1">
      <c r="C64" s="6"/>
      <c r="E64" s="2251" t="s">
        <v>1424</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75">
      <c r="C67" s="6"/>
      <c r="D67" s="6" t="s">
        <v>1044</v>
      </c>
      <c r="Y67" s="1789">
        <f>ROUND(Y63*Y66,0)</f>
        <v>0</v>
      </c>
      <c r="Z67" s="2277"/>
      <c r="AA67" s="2277"/>
      <c r="AB67" s="2277"/>
      <c r="AC67" s="2277"/>
      <c r="AD67" s="1789" t="str">
        <f>IF(OR(Application!D211="At-Risk",Application!D211="At-Risk/Located in Rural Census Tract",Application!D214="At-Risk"),ROUND(AD63*AD66,0),"$0")</f>
        <v>$0</v>
      </c>
      <c r="AE67" s="2278"/>
      <c r="AF67" s="2278"/>
      <c r="AG67" s="2278"/>
      <c r="AH67" s="2278"/>
    </row>
    <row r="68" spans="1:40" ht="12.75"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1970</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2">
        <f>ROUND(IF(ISERROR((AB58/AB70)),0,(AB58/AB70)),0)</f>
        <v>0</v>
      </c>
      <c r="AC75" s="2272"/>
      <c r="AD75" s="2272"/>
      <c r="AE75" s="2272"/>
      <c r="AF75" s="2272"/>
    </row>
    <row r="76" spans="1:40" ht="12.75" customHeight="1">
      <c r="C76" s="6"/>
      <c r="D76" s="6" t="s">
        <v>115</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116</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89" zoomScale="130" zoomScaleNormal="130" zoomScaleSheetLayoutView="100" workbookViewId="0">
      <selection activeCell="E95" sqref="E9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78" t="s">
        <v>927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1630</v>
      </c>
      <c r="AE4" s="2505" t="s">
        <v>407</v>
      </c>
      <c r="AF4" s="2505"/>
      <c r="AG4" s="2505"/>
      <c r="AH4" s="2505"/>
      <c r="AI4" s="2505"/>
      <c r="AJ4" s="2505"/>
      <c r="AK4" s="250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936</v>
      </c>
      <c r="AG6" s="2355"/>
      <c r="AH6" s="2355"/>
      <c r="AI6" s="2355"/>
      <c r="AJ6" s="2355"/>
      <c r="AK6" s="2355"/>
      <c r="AL6" s="235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2390</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2333" t="s">
        <v>1375</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2508" t="s">
        <v>135</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2333" t="s">
        <v>1239</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1378</v>
      </c>
      <c r="AP16" s="745">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1839</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7"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85</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65</v>
      </c>
      <c r="AG33" s="2355"/>
      <c r="AH33" s="2355"/>
      <c r="AI33" s="2355"/>
      <c r="AJ33" s="2355"/>
      <c r="AK33" s="2355"/>
      <c r="AL33" s="235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1379</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135</v>
      </c>
      <c r="AD37" s="2508"/>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1239</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2497</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5" t="s">
        <v>1644</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623</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680</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6"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1645</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85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1646</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3.1"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07" t="s">
        <v>407</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728</v>
      </c>
      <c r="C71" s="2333"/>
      <c r="D71" s="2333"/>
      <c r="E71" s="2333"/>
      <c r="F71" s="2333"/>
      <c r="G71" s="2333"/>
      <c r="H71" s="2333"/>
      <c r="I71" s="2333"/>
      <c r="J71" s="2333"/>
      <c r="K71" s="2333"/>
      <c r="P71" s="153"/>
      <c r="Q71" s="153"/>
      <c r="R71" s="153"/>
      <c r="S71" s="153"/>
      <c r="T71" s="153"/>
      <c r="U71" s="153"/>
      <c r="V71" s="153"/>
      <c r="W71" s="153"/>
      <c r="X71" s="153"/>
      <c r="AF71" s="2355" t="s">
        <v>1041</v>
      </c>
      <c r="AG71" s="2355"/>
      <c r="AH71" s="2355"/>
      <c r="AI71" s="2355"/>
      <c r="AJ71" s="2355"/>
      <c r="AK71" s="2355"/>
      <c r="AL71" s="2355"/>
      <c r="AN71" s="439"/>
      <c r="AP71" s="46" t="s">
        <v>135</v>
      </c>
    </row>
    <row r="72" spans="1:42" s="46" customFormat="1" ht="12.75" customHeight="1">
      <c r="B72" s="2507" t="s">
        <v>1457</v>
      </c>
      <c r="C72" s="2507"/>
      <c r="D72" s="2507"/>
      <c r="E72" s="2507"/>
      <c r="F72" s="2507"/>
      <c r="G72" s="2507"/>
      <c r="H72" s="2507"/>
      <c r="I72" s="2507"/>
      <c r="J72" s="2507"/>
      <c r="K72" s="2507"/>
      <c r="L72" s="2507"/>
      <c r="M72" s="2507"/>
      <c r="N72" s="2507"/>
      <c r="O72" s="2507"/>
      <c r="P72" s="2507"/>
      <c r="Q72" s="2507"/>
      <c r="R72" s="2507"/>
      <c r="S72" s="2507"/>
      <c r="T72" s="2333" t="s">
        <v>135</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2">
        <f>VLOOKUP($B$71,$AP$45:$AR$50,2,FALSE)</f>
        <v>10</v>
      </c>
      <c r="AL73" s="2353"/>
      <c r="AM73" s="2353"/>
      <c r="AN73" s="1328"/>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2078</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45"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936</v>
      </c>
      <c r="AG95" s="2355"/>
      <c r="AH95" s="2355"/>
      <c r="AI95" s="2355"/>
      <c r="AJ95" s="2355"/>
      <c r="AK95" s="2355"/>
      <c r="AL95" s="2355"/>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62</v>
      </c>
      <c r="AG100" s="2355"/>
      <c r="AH100" s="2355"/>
      <c r="AI100" s="2355"/>
      <c r="AJ100" s="2355"/>
      <c r="AK100" s="2355"/>
      <c r="AL100" s="2355"/>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63</v>
      </c>
      <c r="AG105" s="2355"/>
      <c r="AH105" s="2355"/>
      <c r="AI105" s="2355"/>
      <c r="AJ105" s="2355"/>
      <c r="AK105" s="2355"/>
      <c r="AL105" s="2355"/>
      <c r="AM105" s="153"/>
      <c r="AN105" s="439"/>
      <c r="AO105" s="144" t="s">
        <v>797</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64</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65</v>
      </c>
      <c r="AG114" s="2355"/>
      <c r="AH114" s="2355"/>
      <c r="AI114" s="2355"/>
      <c r="AJ114" s="2355"/>
      <c r="AK114" s="2355"/>
      <c r="AL114" s="2355"/>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4" t="s">
        <v>640</v>
      </c>
      <c r="I117" s="236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11" t="s">
        <v>135</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0" t="s">
        <v>135</v>
      </c>
      <c r="C125" s="1800"/>
      <c r="D125" s="436"/>
      <c r="E125" s="2365" t="s">
        <v>1998</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2">
        <f>VLOOKUP($H$117,$AO$101:$AP$106,2,FALSE)+VLOOKUP($H$123,$AO$121:$AP$123,2,FALSE)</f>
        <v>7</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09" t="s">
        <v>2083</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65</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1"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2" t="s">
        <v>135</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113</v>
      </c>
      <c r="AG140" s="2355"/>
      <c r="AH140" s="2355"/>
      <c r="AI140" s="2355"/>
      <c r="AJ140" s="2355"/>
      <c r="AK140" s="2355"/>
      <c r="AL140" s="235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64" t="s">
        <v>640</v>
      </c>
      <c r="I142" s="236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2">
        <f>VLOOKUP($H$142,$AO$116:$AP$118,2,FALSE)</f>
        <v>3</v>
      </c>
      <c r="AK144" s="235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65</v>
      </c>
      <c r="AG148" s="2355"/>
      <c r="AH148" s="2355"/>
      <c r="AI148" s="2355"/>
      <c r="AJ148" s="2355"/>
      <c r="AK148" s="2355"/>
      <c r="AL148" s="235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113</v>
      </c>
      <c r="AG151" s="2355"/>
      <c r="AH151" s="2355"/>
      <c r="AI151" s="2355"/>
      <c r="AJ151" s="2355"/>
      <c r="AK151" s="2355"/>
      <c r="AL151" s="2355"/>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4" t="s">
        <v>640</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2">
        <f>VLOOKUP(H154,AT116:AU118,2,FALSE)</f>
        <v>3</v>
      </c>
      <c r="AK156" s="2354"/>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5" t="s">
        <v>816</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63</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65" t="s">
        <v>1929</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64</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5" t="s">
        <v>1930</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65</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135</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65" t="s">
        <v>1931</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64</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5" t="s">
        <v>1932</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65</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65" t="s">
        <v>1649</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113</v>
      </c>
      <c r="AG181" s="2355"/>
      <c r="AH181" s="2355"/>
      <c r="AI181" s="2355"/>
      <c r="AJ181" s="2355"/>
      <c r="AK181" s="2355"/>
      <c r="AL181" s="2355"/>
      <c r="AM181" s="203"/>
      <c r="AN181" s="439"/>
    </row>
    <row r="182" spans="1:42" s="46" customFormat="1" ht="23.1"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65" t="s">
        <v>1650</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353</v>
      </c>
      <c r="AG184" s="2355"/>
      <c r="AH184" s="2355"/>
      <c r="AI184" s="2355"/>
      <c r="AJ184" s="2355"/>
      <c r="AK184" s="2355"/>
      <c r="AL184" s="2355"/>
      <c r="AM184" s="203"/>
      <c r="AN184" s="439"/>
      <c r="AO184" s="144" t="s">
        <v>640</v>
      </c>
      <c r="AP184" s="46">
        <v>3</v>
      </c>
    </row>
    <row r="185" spans="1:42" s="46" customFormat="1" ht="23.1"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4" t="s">
        <v>640</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2">
        <f>VLOOKUP($H$187,$AO$137:$AP$144,2,FALSE)</f>
        <v>5</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5" t="s">
        <v>2234</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65</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65" t="s">
        <v>2235</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113</v>
      </c>
      <c r="AG198" s="2355"/>
      <c r="AH198" s="2355"/>
      <c r="AI198" s="2355"/>
      <c r="AJ198" s="2355"/>
      <c r="AK198" s="2355"/>
      <c r="AL198" s="2355"/>
      <c r="AM198" s="153"/>
      <c r="AN198" s="439"/>
      <c r="AO198" s="144" t="s">
        <v>213</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2236</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4" t="s">
        <v>640</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2">
        <f>VLOOKUP($H$206,$AO$156:$AP$158,2,FALSE)</f>
        <v>3</v>
      </c>
      <c r="AK208" s="235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65</v>
      </c>
      <c r="AG212" s="2355"/>
      <c r="AH212" s="2355"/>
      <c r="AI212" s="2355"/>
      <c r="AJ212" s="2355"/>
      <c r="AK212" s="2355"/>
      <c r="AL212" s="2355"/>
      <c r="AM212" s="153"/>
      <c r="AN212" s="317"/>
      <c r="AP212" s="50" t="s">
        <v>108</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105</v>
      </c>
    </row>
    <row r="214" spans="1:52" s="16" customFormat="1" ht="14.1"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106</v>
      </c>
    </row>
    <row r="215" spans="1:52" s="16" customFormat="1" ht="14.1" customHeight="1">
      <c r="A215" s="28"/>
      <c r="B215" s="74"/>
      <c r="C215" s="77"/>
      <c r="D215" s="144" t="s">
        <v>213</v>
      </c>
      <c r="E215" s="2372" t="s">
        <v>1387</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113</v>
      </c>
      <c r="AG215" s="2355"/>
      <c r="AH215" s="2355"/>
      <c r="AI215" s="2355"/>
      <c r="AJ215" s="2355"/>
      <c r="AK215" s="2355"/>
      <c r="AL215" s="2355"/>
      <c r="AM215" s="153"/>
      <c r="AN215" s="1142"/>
      <c r="AP215" s="499" t="s">
        <v>388</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64" t="s">
        <v>135</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5" t="s">
        <v>1667</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65</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65" t="s">
        <v>980</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113</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4" t="s">
        <v>135</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5" t="s">
        <v>1244</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65</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65" t="s">
        <v>1245</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113</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4" t="s">
        <v>640</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2">
        <f>VLOOKUP($H$244,$AO$183:$AP$185,2,FALSE)</f>
        <v>3</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5" t="s">
        <v>352</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113</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65" t="s">
        <v>1388</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353</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4" t="s">
        <v>640</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2">
        <f>VLOOKUP($H$256,$AO$196:$AP$198,2,FALSE)</f>
        <v>2</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5" t="s">
        <v>2232</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113</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1" t="s">
        <v>2233</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65</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4" t="s">
        <v>135</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5" t="s">
        <v>2231</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1838</v>
      </c>
      <c r="AG277" s="2355"/>
      <c r="AH277" s="2355"/>
      <c r="AI277" s="2355"/>
      <c r="AJ277" s="2355"/>
      <c r="AK277" s="2355"/>
      <c r="AL277" s="2355"/>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64" t="s">
        <v>135</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26</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89" t="s">
        <v>2498</v>
      </c>
      <c r="I289" s="1689"/>
      <c r="J289" s="1689"/>
      <c r="K289" s="1689"/>
      <c r="L289" s="1689"/>
      <c r="M289" s="1689"/>
      <c r="N289" s="1689"/>
      <c r="O289" s="1689"/>
      <c r="P289" s="1689"/>
      <c r="Q289" s="1689"/>
      <c r="R289" s="1689"/>
      <c r="S289" s="16"/>
      <c r="T289" s="72" t="s">
        <v>99</v>
      </c>
      <c r="U289" s="16"/>
      <c r="V289" s="72"/>
      <c r="W289" s="72"/>
      <c r="X289" s="72"/>
      <c r="Y289" s="72"/>
      <c r="Z289" s="16"/>
      <c r="AA289" s="1689" t="s">
        <v>2504</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764</v>
      </c>
      <c r="C290" s="72"/>
      <c r="D290" s="72"/>
      <c r="E290" s="72"/>
      <c r="F290" s="72"/>
      <c r="G290" s="16"/>
      <c r="H290" s="1688" t="s">
        <v>2499</v>
      </c>
      <c r="I290" s="1688"/>
      <c r="J290" s="1688"/>
      <c r="K290" s="1688"/>
      <c r="L290" s="1688"/>
      <c r="M290" s="1688"/>
      <c r="N290" s="1688"/>
      <c r="O290" s="1688"/>
      <c r="P290" s="1688"/>
      <c r="Q290" s="1688"/>
      <c r="R290" s="1688"/>
      <c r="S290" s="16"/>
      <c r="T290" s="72" t="s">
        <v>764</v>
      </c>
      <c r="U290" s="16"/>
      <c r="V290" s="72"/>
      <c r="W290" s="72"/>
      <c r="X290" s="72"/>
      <c r="Y290" s="72"/>
      <c r="Z290" s="16"/>
      <c r="AA290" s="1688" t="s">
        <v>2505</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109</v>
      </c>
      <c r="C291" s="72"/>
      <c r="D291" s="72"/>
      <c r="E291" s="72"/>
      <c r="F291" s="72"/>
      <c r="G291" s="16"/>
      <c r="H291" s="1688" t="s">
        <v>2500</v>
      </c>
      <c r="I291" s="1688"/>
      <c r="J291" s="1688"/>
      <c r="K291" s="1688"/>
      <c r="L291" s="1688"/>
      <c r="M291" s="1688"/>
      <c r="N291" s="1688"/>
      <c r="O291" s="1688"/>
      <c r="P291" s="1688"/>
      <c r="Q291" s="1688"/>
      <c r="R291" s="1688"/>
      <c r="S291" s="16"/>
      <c r="T291" s="72" t="s">
        <v>109</v>
      </c>
      <c r="U291" s="16"/>
      <c r="V291" s="72"/>
      <c r="W291" s="72"/>
      <c r="X291" s="72"/>
      <c r="Y291" s="72"/>
      <c r="Z291" s="16"/>
      <c r="AA291" s="1688" t="s">
        <v>2506</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417</v>
      </c>
      <c r="C292" s="72"/>
      <c r="D292" s="72"/>
      <c r="E292" s="72"/>
      <c r="F292" s="72"/>
      <c r="G292" s="16"/>
      <c r="H292" s="1688" t="s">
        <v>2501</v>
      </c>
      <c r="I292" s="1688"/>
      <c r="J292" s="1688"/>
      <c r="K292" s="1688"/>
      <c r="L292" s="1688"/>
      <c r="M292" s="1688"/>
      <c r="N292" s="1688"/>
      <c r="O292" s="1688"/>
      <c r="P292" s="1688"/>
      <c r="Q292" s="1688"/>
      <c r="R292" s="1688"/>
      <c r="S292" s="16"/>
      <c r="T292" s="72" t="s">
        <v>417</v>
      </c>
      <c r="U292" s="16"/>
      <c r="V292" s="72"/>
      <c r="W292" s="72"/>
      <c r="X292" s="72"/>
      <c r="Y292" s="72"/>
      <c r="Z292" s="16"/>
      <c r="AA292" s="1688" t="s">
        <v>2507</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418</v>
      </c>
      <c r="C293" s="72"/>
      <c r="D293" s="72"/>
      <c r="E293" s="72"/>
      <c r="F293" s="72"/>
      <c r="G293" s="72"/>
      <c r="H293" s="1690" t="s">
        <v>2502</v>
      </c>
      <c r="I293" s="1691"/>
      <c r="J293" s="1691"/>
      <c r="K293" s="1691"/>
      <c r="L293" s="1691"/>
      <c r="M293" s="1691"/>
      <c r="N293" s="8" t="s">
        <v>899</v>
      </c>
      <c r="O293" s="8"/>
      <c r="P293" s="1684"/>
      <c r="Q293" s="1684"/>
      <c r="R293" s="1684"/>
      <c r="S293" s="72"/>
      <c r="T293" s="72" t="s">
        <v>418</v>
      </c>
      <c r="U293" s="16"/>
      <c r="V293" s="72"/>
      <c r="W293" s="72"/>
      <c r="X293" s="72"/>
      <c r="Y293" s="72"/>
      <c r="Z293" s="16"/>
      <c r="AA293" s="1690" t="s">
        <v>2508</v>
      </c>
      <c r="AB293" s="1691"/>
      <c r="AC293" s="1691"/>
      <c r="AD293" s="1691"/>
      <c r="AE293" s="1691"/>
      <c r="AF293" s="1691"/>
      <c r="AG293" s="8" t="s">
        <v>899</v>
      </c>
      <c r="AH293" s="8"/>
      <c r="AI293" s="1684"/>
      <c r="AJ293" s="1684"/>
      <c r="AK293" s="1684"/>
      <c r="AL293" s="25"/>
      <c r="AM293" s="137"/>
      <c r="AN293" s="439"/>
      <c r="AO293" s="331"/>
    </row>
    <row r="294" spans="1:41" s="46" customFormat="1" ht="12.75" customHeight="1">
      <c r="A294" s="153"/>
      <c r="B294" s="72" t="s">
        <v>98</v>
      </c>
      <c r="C294" s="72"/>
      <c r="D294" s="72"/>
      <c r="E294" s="72"/>
      <c r="F294" s="72"/>
      <c r="G294" s="72"/>
      <c r="H294" s="1688" t="s">
        <v>101</v>
      </c>
      <c r="I294" s="1688"/>
      <c r="J294" s="1688"/>
      <c r="K294" s="1688"/>
      <c r="L294" s="1688"/>
      <c r="M294" s="1688"/>
      <c r="N294" s="1688"/>
      <c r="O294" s="1688"/>
      <c r="P294" s="1688"/>
      <c r="Q294" s="1688"/>
      <c r="R294" s="1688"/>
      <c r="S294" s="72"/>
      <c r="T294" s="72" t="s">
        <v>98</v>
      </c>
      <c r="U294" s="16"/>
      <c r="V294" s="72"/>
      <c r="W294" s="72"/>
      <c r="X294" s="72"/>
      <c r="Y294" s="72"/>
      <c r="Z294" s="16"/>
      <c r="AA294" s="1688" t="s">
        <v>102</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100</v>
      </c>
      <c r="C295" s="72"/>
      <c r="D295" s="72"/>
      <c r="E295" s="72"/>
      <c r="F295" s="72"/>
      <c r="G295" s="72"/>
      <c r="H295" s="1688" t="s">
        <v>2503</v>
      </c>
      <c r="I295" s="1688"/>
      <c r="J295" s="1688"/>
      <c r="K295" s="1688"/>
      <c r="L295" s="1688"/>
      <c r="M295" s="1688"/>
      <c r="N295" s="1688"/>
      <c r="O295" s="1688"/>
      <c r="P295" s="1688"/>
      <c r="Q295" s="1688"/>
      <c r="R295" s="1688"/>
      <c r="S295" s="72"/>
      <c r="T295" s="72" t="s">
        <v>100</v>
      </c>
      <c r="U295" s="16"/>
      <c r="V295" s="72"/>
      <c r="W295" s="72"/>
      <c r="X295" s="72"/>
      <c r="Y295" s="72"/>
      <c r="Z295" s="16"/>
      <c r="AA295" s="1688" t="s">
        <v>2509</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111</v>
      </c>
      <c r="C296" s="72"/>
      <c r="D296" s="72"/>
      <c r="E296" s="72"/>
      <c r="F296" s="72"/>
      <c r="G296" s="72"/>
      <c r="H296" s="2406" t="s">
        <v>2540</v>
      </c>
      <c r="I296" s="2406"/>
      <c r="J296" s="2406"/>
      <c r="K296" s="2406"/>
      <c r="L296" s="2406"/>
      <c r="M296" s="2406"/>
      <c r="N296" s="2406"/>
      <c r="O296" s="2406"/>
      <c r="P296" s="2406"/>
      <c r="Q296" s="2406"/>
      <c r="R296" s="2406"/>
      <c r="S296" s="72"/>
      <c r="T296" s="72" t="s">
        <v>111</v>
      </c>
      <c r="U296" s="72"/>
      <c r="V296" s="72"/>
      <c r="W296" s="72"/>
      <c r="X296" s="72"/>
      <c r="Y296" s="72"/>
      <c r="Z296" s="18"/>
      <c r="AA296" s="2406" t="s">
        <v>2541</v>
      </c>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89" t="s">
        <v>2510</v>
      </c>
      <c r="I298" s="1689"/>
      <c r="J298" s="1689"/>
      <c r="K298" s="1689"/>
      <c r="L298" s="1689"/>
      <c r="M298" s="1689"/>
      <c r="N298" s="1689"/>
      <c r="O298" s="1689"/>
      <c r="P298" s="1689"/>
      <c r="Q298" s="1689"/>
      <c r="R298" s="1689"/>
      <c r="S298" s="16"/>
      <c r="T298" s="72" t="s">
        <v>99</v>
      </c>
      <c r="U298" s="16"/>
      <c r="V298" s="72"/>
      <c r="W298" s="72"/>
      <c r="X298" s="72"/>
      <c r="Y298" s="72"/>
      <c r="Z298" s="16"/>
      <c r="AA298" s="1689" t="s">
        <v>2516</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764</v>
      </c>
      <c r="C299" s="72"/>
      <c r="D299" s="72"/>
      <c r="E299" s="72"/>
      <c r="F299" s="72"/>
      <c r="G299" s="16"/>
      <c r="H299" s="1688" t="s">
        <v>2511</v>
      </c>
      <c r="I299" s="1688"/>
      <c r="J299" s="1688"/>
      <c r="K299" s="1688"/>
      <c r="L299" s="1688"/>
      <c r="M299" s="1688"/>
      <c r="N299" s="1688"/>
      <c r="O299" s="1688"/>
      <c r="P299" s="1688"/>
      <c r="Q299" s="1688"/>
      <c r="R299" s="1688"/>
      <c r="S299" s="16"/>
      <c r="T299" s="72" t="s">
        <v>764</v>
      </c>
      <c r="U299" s="16"/>
      <c r="V299" s="72"/>
      <c r="W299" s="72"/>
      <c r="X299" s="72"/>
      <c r="Y299" s="72"/>
      <c r="Z299" s="16"/>
      <c r="AA299" s="1688" t="s">
        <v>2517</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109</v>
      </c>
      <c r="C300" s="72"/>
      <c r="D300" s="72"/>
      <c r="E300" s="72"/>
      <c r="F300" s="72"/>
      <c r="G300" s="16"/>
      <c r="H300" s="1688" t="s">
        <v>2512</v>
      </c>
      <c r="I300" s="1688"/>
      <c r="J300" s="1688"/>
      <c r="K300" s="1688"/>
      <c r="L300" s="1688"/>
      <c r="M300" s="1688"/>
      <c r="N300" s="1688"/>
      <c r="O300" s="1688"/>
      <c r="P300" s="1688"/>
      <c r="Q300" s="1688"/>
      <c r="R300" s="1688"/>
      <c r="S300" s="16"/>
      <c r="T300" s="72" t="s">
        <v>109</v>
      </c>
      <c r="U300" s="16"/>
      <c r="V300" s="72"/>
      <c r="W300" s="72"/>
      <c r="X300" s="72"/>
      <c r="Y300" s="72"/>
      <c r="Z300" s="16"/>
      <c r="AA300" s="1688" t="s">
        <v>2512</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417</v>
      </c>
      <c r="C301" s="72"/>
      <c r="D301" s="72"/>
      <c r="E301" s="72"/>
      <c r="F301" s="72"/>
      <c r="G301" s="16"/>
      <c r="H301" s="1688" t="s">
        <v>2513</v>
      </c>
      <c r="I301" s="1688"/>
      <c r="J301" s="1688"/>
      <c r="K301" s="1688"/>
      <c r="L301" s="1688"/>
      <c r="M301" s="1688"/>
      <c r="N301" s="1688"/>
      <c r="O301" s="1688"/>
      <c r="P301" s="1688"/>
      <c r="Q301" s="1688"/>
      <c r="R301" s="1688"/>
      <c r="S301" s="16"/>
      <c r="T301" s="72" t="s">
        <v>417</v>
      </c>
      <c r="U301" s="16"/>
      <c r="V301" s="72"/>
      <c r="W301" s="72"/>
      <c r="X301" s="72"/>
      <c r="Y301" s="72"/>
      <c r="Z301" s="16"/>
      <c r="AA301" s="1688" t="s">
        <v>2518</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418</v>
      </c>
      <c r="C302" s="72"/>
      <c r="D302" s="72"/>
      <c r="E302" s="72"/>
      <c r="F302" s="72"/>
      <c r="G302" s="72"/>
      <c r="H302" s="1690" t="s">
        <v>2514</v>
      </c>
      <c r="I302" s="1691"/>
      <c r="J302" s="1691"/>
      <c r="K302" s="1691"/>
      <c r="L302" s="1691"/>
      <c r="M302" s="1691"/>
      <c r="N302" s="8" t="s">
        <v>899</v>
      </c>
      <c r="O302" s="8"/>
      <c r="P302" s="1684"/>
      <c r="Q302" s="1684"/>
      <c r="R302" s="1684"/>
      <c r="S302" s="72"/>
      <c r="T302" s="72" t="s">
        <v>418</v>
      </c>
      <c r="U302" s="16"/>
      <c r="V302" s="72"/>
      <c r="W302" s="72"/>
      <c r="X302" s="72"/>
      <c r="Y302" s="72"/>
      <c r="Z302" s="16"/>
      <c r="AA302" s="1690" t="s">
        <v>2519</v>
      </c>
      <c r="AB302" s="1691"/>
      <c r="AC302" s="1691"/>
      <c r="AD302" s="1691"/>
      <c r="AE302" s="1691"/>
      <c r="AF302" s="1691"/>
      <c r="AG302" s="8" t="s">
        <v>899</v>
      </c>
      <c r="AH302" s="8"/>
      <c r="AI302" s="1684"/>
      <c r="AJ302" s="1684"/>
      <c r="AK302" s="1684"/>
      <c r="AL302" s="25"/>
      <c r="AM302" s="137"/>
      <c r="AN302" s="439"/>
    </row>
    <row r="303" spans="1:41" s="46" customFormat="1" ht="12.75" customHeight="1">
      <c r="A303" s="153"/>
      <c r="B303" s="72" t="s">
        <v>98</v>
      </c>
      <c r="C303" s="72"/>
      <c r="D303" s="72"/>
      <c r="E303" s="72"/>
      <c r="F303" s="72"/>
      <c r="G303" s="72"/>
      <c r="H303" s="1688" t="s">
        <v>103</v>
      </c>
      <c r="I303" s="1688"/>
      <c r="J303" s="1688"/>
      <c r="K303" s="1688"/>
      <c r="L303" s="1688"/>
      <c r="M303" s="1688"/>
      <c r="N303" s="1688"/>
      <c r="O303" s="1688"/>
      <c r="P303" s="1688"/>
      <c r="Q303" s="1688"/>
      <c r="R303" s="1688"/>
      <c r="S303" s="72"/>
      <c r="T303" s="72" t="s">
        <v>98</v>
      </c>
      <c r="U303" s="16"/>
      <c r="V303" s="72"/>
      <c r="W303" s="72"/>
      <c r="X303" s="72"/>
      <c r="Y303" s="72"/>
      <c r="Z303" s="16"/>
      <c r="AA303" s="1688" t="s">
        <v>387</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100</v>
      </c>
      <c r="C304" s="72"/>
      <c r="D304" s="72"/>
      <c r="E304" s="72"/>
      <c r="F304" s="72"/>
      <c r="G304" s="72"/>
      <c r="H304" s="1688" t="s">
        <v>2515</v>
      </c>
      <c r="I304" s="1688"/>
      <c r="J304" s="1688"/>
      <c r="K304" s="1688"/>
      <c r="L304" s="1688"/>
      <c r="M304" s="1688"/>
      <c r="N304" s="1688"/>
      <c r="O304" s="1688"/>
      <c r="P304" s="1688"/>
      <c r="Q304" s="1688"/>
      <c r="R304" s="1688"/>
      <c r="S304" s="72"/>
      <c r="T304" s="72" t="s">
        <v>100</v>
      </c>
      <c r="U304" s="16"/>
      <c r="V304" s="72"/>
      <c r="W304" s="72"/>
      <c r="X304" s="72"/>
      <c r="Y304" s="72"/>
      <c r="Z304" s="16"/>
      <c r="AA304" s="1688" t="s">
        <v>2520</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111</v>
      </c>
      <c r="C305" s="72"/>
      <c r="D305" s="72"/>
      <c r="E305" s="72"/>
      <c r="F305" s="72"/>
      <c r="G305" s="72"/>
      <c r="H305" s="2406" t="s">
        <v>2542</v>
      </c>
      <c r="I305" s="2406"/>
      <c r="J305" s="2406"/>
      <c r="K305" s="2406"/>
      <c r="L305" s="2406"/>
      <c r="M305" s="2406"/>
      <c r="N305" s="2406"/>
      <c r="O305" s="2406"/>
      <c r="P305" s="2406"/>
      <c r="Q305" s="2406"/>
      <c r="R305" s="2406"/>
      <c r="S305" s="72"/>
      <c r="T305" s="72" t="s">
        <v>111</v>
      </c>
      <c r="U305" s="72"/>
      <c r="V305" s="72"/>
      <c r="W305" s="72"/>
      <c r="X305" s="72"/>
      <c r="Y305" s="72"/>
      <c r="Z305" s="18"/>
      <c r="AA305" s="2406" t="s">
        <v>2543</v>
      </c>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89" t="s">
        <v>2521</v>
      </c>
      <c r="I307" s="1689"/>
      <c r="J307" s="1689"/>
      <c r="K307" s="1689"/>
      <c r="L307" s="1689"/>
      <c r="M307" s="1689"/>
      <c r="N307" s="1689"/>
      <c r="O307" s="1689"/>
      <c r="P307" s="1689"/>
      <c r="Q307" s="1689"/>
      <c r="R307" s="1689"/>
      <c r="S307" s="16"/>
      <c r="T307" s="72" t="s">
        <v>99</v>
      </c>
      <c r="U307" s="16"/>
      <c r="V307" s="72"/>
      <c r="W307" s="72"/>
      <c r="X307" s="72"/>
      <c r="Y307" s="72"/>
      <c r="Z307" s="16"/>
      <c r="AA307" s="1689" t="s">
        <v>2527</v>
      </c>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764</v>
      </c>
      <c r="C308" s="72"/>
      <c r="D308" s="72"/>
      <c r="E308" s="72"/>
      <c r="F308" s="72"/>
      <c r="G308" s="16"/>
      <c r="H308" s="1688" t="s">
        <v>2522</v>
      </c>
      <c r="I308" s="1688"/>
      <c r="J308" s="1688"/>
      <c r="K308" s="1688"/>
      <c r="L308" s="1688"/>
      <c r="M308" s="1688"/>
      <c r="N308" s="1688"/>
      <c r="O308" s="1688"/>
      <c r="P308" s="1688"/>
      <c r="Q308" s="1688"/>
      <c r="R308" s="1688"/>
      <c r="S308" s="16"/>
      <c r="T308" s="72" t="s">
        <v>764</v>
      </c>
      <c r="U308" s="16"/>
      <c r="V308" s="72"/>
      <c r="W308" s="72"/>
      <c r="X308" s="72"/>
      <c r="Y308" s="72"/>
      <c r="Z308" s="16"/>
      <c r="AA308" s="1688" t="s">
        <v>2528</v>
      </c>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109</v>
      </c>
      <c r="C309" s="72"/>
      <c r="D309" s="72"/>
      <c r="E309" s="72"/>
      <c r="F309" s="72"/>
      <c r="G309" s="16"/>
      <c r="H309" s="1688" t="s">
        <v>2523</v>
      </c>
      <c r="I309" s="1688"/>
      <c r="J309" s="1688"/>
      <c r="K309" s="1688"/>
      <c r="L309" s="1688"/>
      <c r="M309" s="1688"/>
      <c r="N309" s="1688"/>
      <c r="O309" s="1688"/>
      <c r="P309" s="1688"/>
      <c r="Q309" s="1688"/>
      <c r="R309" s="1688"/>
      <c r="S309" s="16"/>
      <c r="T309" s="72" t="s">
        <v>109</v>
      </c>
      <c r="U309" s="16"/>
      <c r="V309" s="72"/>
      <c r="W309" s="72"/>
      <c r="X309" s="72"/>
      <c r="Y309" s="72"/>
      <c r="Z309" s="16"/>
      <c r="AA309" s="1688" t="s">
        <v>2512</v>
      </c>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417</v>
      </c>
      <c r="C310" s="72"/>
      <c r="D310" s="72"/>
      <c r="E310" s="72"/>
      <c r="F310" s="72"/>
      <c r="G310" s="16"/>
      <c r="H310" s="1688" t="s">
        <v>2524</v>
      </c>
      <c r="I310" s="1688"/>
      <c r="J310" s="1688"/>
      <c r="K310" s="1688"/>
      <c r="L310" s="1688"/>
      <c r="M310" s="1688"/>
      <c r="N310" s="1688"/>
      <c r="O310" s="1688"/>
      <c r="P310" s="1688"/>
      <c r="Q310" s="1688"/>
      <c r="R310" s="1688"/>
      <c r="S310" s="16"/>
      <c r="T310" s="72" t="s">
        <v>417</v>
      </c>
      <c r="U310" s="16"/>
      <c r="V310" s="72"/>
      <c r="W310" s="72"/>
      <c r="X310" s="72"/>
      <c r="Y310" s="72"/>
      <c r="Z310" s="16"/>
      <c r="AA310" s="1688" t="s">
        <v>2529</v>
      </c>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418</v>
      </c>
      <c r="C311" s="72"/>
      <c r="D311" s="72"/>
      <c r="E311" s="72"/>
      <c r="F311" s="72"/>
      <c r="G311" s="72"/>
      <c r="H311" s="1690" t="s">
        <v>2525</v>
      </c>
      <c r="I311" s="1691"/>
      <c r="J311" s="1691"/>
      <c r="K311" s="1691"/>
      <c r="L311" s="1691"/>
      <c r="M311" s="1691"/>
      <c r="N311" s="8" t="s">
        <v>899</v>
      </c>
      <c r="O311" s="8"/>
      <c r="P311" s="1684"/>
      <c r="Q311" s="1684"/>
      <c r="R311" s="1684"/>
      <c r="S311" s="72"/>
      <c r="T311" s="72" t="s">
        <v>418</v>
      </c>
      <c r="U311" s="16"/>
      <c r="V311" s="72"/>
      <c r="W311" s="72"/>
      <c r="X311" s="72"/>
      <c r="Y311" s="72"/>
      <c r="Z311" s="16"/>
      <c r="AA311" s="1690" t="s">
        <v>2530</v>
      </c>
      <c r="AB311" s="1691"/>
      <c r="AC311" s="1691"/>
      <c r="AD311" s="1691"/>
      <c r="AE311" s="1691"/>
      <c r="AF311" s="1691"/>
      <c r="AG311" s="8" t="s">
        <v>899</v>
      </c>
      <c r="AH311" s="8"/>
      <c r="AI311" s="1684"/>
      <c r="AJ311" s="1684"/>
      <c r="AK311" s="1684"/>
      <c r="AL311" s="25"/>
      <c r="AM311" s="137"/>
      <c r="AN311" s="439"/>
    </row>
    <row r="312" spans="1:40" s="46" customFormat="1" ht="12.75" customHeight="1">
      <c r="A312" s="153"/>
      <c r="B312" s="72" t="s">
        <v>98</v>
      </c>
      <c r="C312" s="72"/>
      <c r="D312" s="72"/>
      <c r="E312" s="72"/>
      <c r="F312" s="72"/>
      <c r="G312" s="72"/>
      <c r="H312" s="1688" t="s">
        <v>110</v>
      </c>
      <c r="I312" s="1688"/>
      <c r="J312" s="1688"/>
      <c r="K312" s="1688"/>
      <c r="L312" s="1688"/>
      <c r="M312" s="1688"/>
      <c r="N312" s="1688"/>
      <c r="O312" s="1688"/>
      <c r="P312" s="1688"/>
      <c r="Q312" s="1688"/>
      <c r="R312" s="1688"/>
      <c r="S312" s="72"/>
      <c r="T312" s="72" t="s">
        <v>98</v>
      </c>
      <c r="U312" s="16"/>
      <c r="V312" s="72"/>
      <c r="W312" s="72"/>
      <c r="X312" s="72"/>
      <c r="Y312" s="72"/>
      <c r="Z312" s="16"/>
      <c r="AA312" s="1688" t="s">
        <v>105</v>
      </c>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100</v>
      </c>
      <c r="C313" s="72"/>
      <c r="D313" s="72"/>
      <c r="E313" s="72"/>
      <c r="F313" s="72"/>
      <c r="G313" s="72"/>
      <c r="H313" s="1688" t="s">
        <v>2526</v>
      </c>
      <c r="I313" s="1688"/>
      <c r="J313" s="1688"/>
      <c r="K313" s="1688"/>
      <c r="L313" s="1688"/>
      <c r="M313" s="1688"/>
      <c r="N313" s="1688"/>
      <c r="O313" s="1688"/>
      <c r="P313" s="1688"/>
      <c r="Q313" s="1688"/>
      <c r="R313" s="1688"/>
      <c r="S313" s="72"/>
      <c r="T313" s="72" t="s">
        <v>100</v>
      </c>
      <c r="U313" s="16"/>
      <c r="V313" s="72"/>
      <c r="W313" s="72"/>
      <c r="X313" s="72"/>
      <c r="Y313" s="72"/>
      <c r="Z313" s="16"/>
      <c r="AA313" s="1688" t="s">
        <v>2531</v>
      </c>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111</v>
      </c>
      <c r="C314" s="72"/>
      <c r="D314" s="72"/>
      <c r="E314" s="72"/>
      <c r="F314" s="72"/>
      <c r="G314" s="72"/>
      <c r="H314" s="2406" t="s">
        <v>2544</v>
      </c>
      <c r="I314" s="2406"/>
      <c r="J314" s="2406"/>
      <c r="K314" s="2406"/>
      <c r="L314" s="2406"/>
      <c r="M314" s="2406"/>
      <c r="N314" s="2406"/>
      <c r="O314" s="2406"/>
      <c r="P314" s="2406"/>
      <c r="Q314" s="2406"/>
      <c r="R314" s="2406"/>
      <c r="S314" s="72"/>
      <c r="T314" s="72" t="s">
        <v>111</v>
      </c>
      <c r="U314" s="72"/>
      <c r="V314" s="72"/>
      <c r="W314" s="72"/>
      <c r="X314" s="72"/>
      <c r="Y314" s="72"/>
      <c r="Z314" s="18"/>
      <c r="AA314" s="2406" t="s">
        <v>2545</v>
      </c>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89" t="s">
        <v>2532</v>
      </c>
      <c r="I316" s="1689"/>
      <c r="J316" s="1689"/>
      <c r="K316" s="1689"/>
      <c r="L316" s="1689"/>
      <c r="M316" s="1689"/>
      <c r="N316" s="1689"/>
      <c r="O316" s="1689"/>
      <c r="P316" s="1689"/>
      <c r="Q316" s="1689"/>
      <c r="R316" s="1689"/>
      <c r="S316" s="16"/>
      <c r="T316" s="72" t="s">
        <v>99</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764</v>
      </c>
      <c r="C317" s="72"/>
      <c r="D317" s="72"/>
      <c r="E317" s="72"/>
      <c r="F317" s="72"/>
      <c r="G317" s="16"/>
      <c r="H317" s="1688" t="s">
        <v>2533</v>
      </c>
      <c r="I317" s="1688"/>
      <c r="J317" s="1688"/>
      <c r="K317" s="1688"/>
      <c r="L317" s="1688"/>
      <c r="M317" s="1688"/>
      <c r="N317" s="1688"/>
      <c r="O317" s="1688"/>
      <c r="P317" s="1688"/>
      <c r="Q317" s="1688"/>
      <c r="R317" s="1688"/>
      <c r="S317" s="16"/>
      <c r="T317" s="72" t="s">
        <v>764</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109</v>
      </c>
      <c r="C318" s="72"/>
      <c r="D318" s="72"/>
      <c r="E318" s="72"/>
      <c r="F318" s="72"/>
      <c r="G318" s="16"/>
      <c r="H318" s="1688" t="s">
        <v>2512</v>
      </c>
      <c r="I318" s="1688"/>
      <c r="J318" s="1688"/>
      <c r="K318" s="1688"/>
      <c r="L318" s="1688"/>
      <c r="M318" s="1688"/>
      <c r="N318" s="1688"/>
      <c r="O318" s="1688"/>
      <c r="P318" s="1688"/>
      <c r="Q318" s="1688"/>
      <c r="R318" s="1688"/>
      <c r="S318" s="16"/>
      <c r="T318" s="72" t="s">
        <v>109</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417</v>
      </c>
      <c r="C319" s="72"/>
      <c r="D319" s="72"/>
      <c r="E319" s="72"/>
      <c r="F319" s="72"/>
      <c r="G319" s="16"/>
      <c r="H319" s="1688" t="s">
        <v>2501</v>
      </c>
      <c r="I319" s="1688"/>
      <c r="J319" s="1688"/>
      <c r="K319" s="1688"/>
      <c r="L319" s="1688"/>
      <c r="M319" s="1688"/>
      <c r="N319" s="1688"/>
      <c r="O319" s="1688"/>
      <c r="P319" s="1688"/>
      <c r="Q319" s="1688"/>
      <c r="R319" s="1688"/>
      <c r="S319" s="16"/>
      <c r="T319" s="72" t="s">
        <v>417</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418</v>
      </c>
      <c r="C320" s="72"/>
      <c r="D320" s="72"/>
      <c r="E320" s="72"/>
      <c r="F320" s="72"/>
      <c r="G320" s="72"/>
      <c r="H320" s="1690" t="s">
        <v>2534</v>
      </c>
      <c r="I320" s="1691"/>
      <c r="J320" s="1691"/>
      <c r="K320" s="1691"/>
      <c r="L320" s="1691"/>
      <c r="M320" s="1691"/>
      <c r="N320" s="8" t="s">
        <v>899</v>
      </c>
      <c r="O320" s="8"/>
      <c r="P320" s="1684"/>
      <c r="Q320" s="1684"/>
      <c r="R320" s="1684"/>
      <c r="S320" s="72"/>
      <c r="T320" s="72" t="s">
        <v>418</v>
      </c>
      <c r="U320" s="16"/>
      <c r="V320" s="72"/>
      <c r="W320" s="72"/>
      <c r="X320" s="72"/>
      <c r="Y320" s="72"/>
      <c r="Z320" s="16"/>
      <c r="AA320" s="1691"/>
      <c r="AB320" s="1691"/>
      <c r="AC320" s="1691"/>
      <c r="AD320" s="1691"/>
      <c r="AE320" s="1691"/>
      <c r="AF320" s="1691"/>
      <c r="AG320" s="8" t="s">
        <v>899</v>
      </c>
      <c r="AH320" s="8"/>
      <c r="AI320" s="1684"/>
      <c r="AJ320" s="1684"/>
      <c r="AK320" s="1684"/>
      <c r="AL320" s="25"/>
      <c r="AM320" s="137"/>
      <c r="AN320" s="439"/>
    </row>
    <row r="321" spans="1:76" s="46" customFormat="1" ht="12.75" customHeight="1">
      <c r="A321" s="153"/>
      <c r="B321" s="72" t="s">
        <v>98</v>
      </c>
      <c r="C321" s="72"/>
      <c r="D321" s="72"/>
      <c r="E321" s="72"/>
      <c r="F321" s="72"/>
      <c r="G321" s="72"/>
      <c r="H321" s="1688" t="s">
        <v>106</v>
      </c>
      <c r="I321" s="1688"/>
      <c r="J321" s="1688"/>
      <c r="K321" s="1688"/>
      <c r="L321" s="1688"/>
      <c r="M321" s="1688"/>
      <c r="N321" s="1688"/>
      <c r="O321" s="1688"/>
      <c r="P321" s="1688"/>
      <c r="Q321" s="1688"/>
      <c r="R321" s="1688"/>
      <c r="S321" s="72"/>
      <c r="T321" s="72" t="s">
        <v>98</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100</v>
      </c>
      <c r="C322" s="72"/>
      <c r="D322" s="72"/>
      <c r="E322" s="72"/>
      <c r="F322" s="72"/>
      <c r="G322" s="72"/>
      <c r="H322" s="1688" t="s">
        <v>2535</v>
      </c>
      <c r="I322" s="1688"/>
      <c r="J322" s="1688"/>
      <c r="K322" s="1688"/>
      <c r="L322" s="1688"/>
      <c r="M322" s="1688"/>
      <c r="N322" s="1688"/>
      <c r="O322" s="1688"/>
      <c r="P322" s="1688"/>
      <c r="Q322" s="1688"/>
      <c r="R322" s="1688"/>
      <c r="S322" s="72"/>
      <c r="T322" s="72" t="s">
        <v>100</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111</v>
      </c>
      <c r="C323" s="72"/>
      <c r="D323" s="72"/>
      <c r="E323" s="72"/>
      <c r="F323" s="72"/>
      <c r="G323" s="72"/>
      <c r="H323" s="2406" t="s">
        <v>2546</v>
      </c>
      <c r="I323" s="2406"/>
      <c r="J323" s="2406"/>
      <c r="K323" s="2406"/>
      <c r="L323" s="2406"/>
      <c r="M323" s="2406"/>
      <c r="N323" s="2406"/>
      <c r="O323" s="2406"/>
      <c r="P323" s="2406"/>
      <c r="Q323" s="2406"/>
      <c r="R323" s="2406"/>
      <c r="S323" s="72"/>
      <c r="T323" s="72" t="s">
        <v>111</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89"/>
      <c r="I325" s="1689"/>
      <c r="J325" s="1689"/>
      <c r="K325" s="1689"/>
      <c r="L325" s="1689"/>
      <c r="M325" s="1689"/>
      <c r="N325" s="1689"/>
      <c r="O325" s="1689"/>
      <c r="P325" s="1689"/>
      <c r="Q325" s="1689"/>
      <c r="R325" s="1689"/>
      <c r="S325" s="16"/>
      <c r="T325" s="72" t="s">
        <v>99</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764</v>
      </c>
      <c r="C326" s="72"/>
      <c r="D326" s="72"/>
      <c r="E326" s="72"/>
      <c r="F326" s="72"/>
      <c r="G326" s="16"/>
      <c r="H326" s="1688"/>
      <c r="I326" s="1688"/>
      <c r="J326" s="1688"/>
      <c r="K326" s="1688"/>
      <c r="L326" s="1688"/>
      <c r="M326" s="1688"/>
      <c r="N326" s="1688"/>
      <c r="O326" s="1688"/>
      <c r="P326" s="1688"/>
      <c r="Q326" s="1688"/>
      <c r="R326" s="1688"/>
      <c r="S326" s="16"/>
      <c r="T326" s="72" t="s">
        <v>764</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109</v>
      </c>
      <c r="C327" s="72"/>
      <c r="D327" s="72"/>
      <c r="E327" s="72"/>
      <c r="F327" s="72"/>
      <c r="G327" s="16"/>
      <c r="H327" s="1688"/>
      <c r="I327" s="1688"/>
      <c r="J327" s="1688"/>
      <c r="K327" s="1688"/>
      <c r="L327" s="1688"/>
      <c r="M327" s="1688"/>
      <c r="N327" s="1688"/>
      <c r="O327" s="1688"/>
      <c r="P327" s="1688"/>
      <c r="Q327" s="1688"/>
      <c r="R327" s="1688"/>
      <c r="S327" s="16"/>
      <c r="T327" s="72" t="s">
        <v>109</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417</v>
      </c>
      <c r="C328" s="72"/>
      <c r="D328" s="72"/>
      <c r="E328" s="72"/>
      <c r="F328" s="72"/>
      <c r="G328" s="16"/>
      <c r="H328" s="1688"/>
      <c r="I328" s="1688"/>
      <c r="J328" s="1688"/>
      <c r="K328" s="1688"/>
      <c r="L328" s="1688"/>
      <c r="M328" s="1688"/>
      <c r="N328" s="1688"/>
      <c r="O328" s="1688"/>
      <c r="P328" s="1688"/>
      <c r="Q328" s="1688"/>
      <c r="R328" s="1688"/>
      <c r="S328" s="16"/>
      <c r="T328" s="72" t="s">
        <v>417</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418</v>
      </c>
      <c r="C329" s="72"/>
      <c r="D329" s="72"/>
      <c r="E329" s="72"/>
      <c r="F329" s="72"/>
      <c r="G329" s="72"/>
      <c r="H329" s="1691"/>
      <c r="I329" s="1691"/>
      <c r="J329" s="1691"/>
      <c r="K329" s="1691"/>
      <c r="L329" s="1691"/>
      <c r="M329" s="1691"/>
      <c r="N329" s="8" t="s">
        <v>899</v>
      </c>
      <c r="O329" s="8"/>
      <c r="P329" s="1684"/>
      <c r="Q329" s="1684"/>
      <c r="R329" s="1684"/>
      <c r="S329" s="72"/>
      <c r="T329" s="72" t="s">
        <v>418</v>
      </c>
      <c r="U329" s="16"/>
      <c r="V329" s="72"/>
      <c r="W329" s="72"/>
      <c r="X329" s="72"/>
      <c r="Y329" s="72"/>
      <c r="Z329" s="16"/>
      <c r="AA329" s="1691"/>
      <c r="AB329" s="1691"/>
      <c r="AC329" s="1691"/>
      <c r="AD329" s="1691"/>
      <c r="AE329" s="1691"/>
      <c r="AF329" s="1691"/>
      <c r="AG329" s="8" t="s">
        <v>899</v>
      </c>
      <c r="AH329" s="8"/>
      <c r="AI329" s="1684"/>
      <c r="AJ329" s="1684"/>
      <c r="AK329" s="1684"/>
      <c r="AL329" s="327"/>
      <c r="AM329" s="137"/>
      <c r="AN329" s="439"/>
    </row>
    <row r="330" spans="1:76" s="137" customFormat="1" ht="12.75" customHeight="1">
      <c r="A330" s="153"/>
      <c r="B330" s="72" t="s">
        <v>98</v>
      </c>
      <c r="C330" s="72"/>
      <c r="D330" s="72"/>
      <c r="E330" s="72"/>
      <c r="F330" s="72"/>
      <c r="G330" s="72"/>
      <c r="H330" s="1688"/>
      <c r="I330" s="1688"/>
      <c r="J330" s="1688"/>
      <c r="K330" s="1688"/>
      <c r="L330" s="1688"/>
      <c r="M330" s="1688"/>
      <c r="N330" s="1688"/>
      <c r="O330" s="1688"/>
      <c r="P330" s="1688"/>
      <c r="Q330" s="1688"/>
      <c r="R330" s="1688"/>
      <c r="S330" s="72"/>
      <c r="T330" s="72" t="s">
        <v>98</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100</v>
      </c>
      <c r="C331" s="72"/>
      <c r="D331" s="72"/>
      <c r="E331" s="72"/>
      <c r="F331" s="72"/>
      <c r="G331" s="72"/>
      <c r="H331" s="1688"/>
      <c r="I331" s="1688"/>
      <c r="J331" s="1688"/>
      <c r="K331" s="1688"/>
      <c r="L331" s="1688"/>
      <c r="M331" s="1688"/>
      <c r="N331" s="1688"/>
      <c r="O331" s="1688"/>
      <c r="P331" s="1688"/>
      <c r="Q331" s="1688"/>
      <c r="R331" s="1688"/>
      <c r="S331" s="72"/>
      <c r="T331" s="72" t="s">
        <v>100</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111</v>
      </c>
      <c r="C332" s="72"/>
      <c r="D332" s="72"/>
      <c r="E332" s="72"/>
      <c r="F332" s="72"/>
      <c r="G332" s="72"/>
      <c r="H332" s="2406"/>
      <c r="I332" s="2406"/>
      <c r="J332" s="2406"/>
      <c r="K332" s="2406"/>
      <c r="L332" s="2406"/>
      <c r="M332" s="2406"/>
      <c r="N332" s="2406"/>
      <c r="O332" s="2406"/>
      <c r="P332" s="2406"/>
      <c r="Q332" s="2406"/>
      <c r="R332" s="2406"/>
      <c r="S332" s="72"/>
      <c r="T332" s="72" t="s">
        <v>111</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407</v>
      </c>
      <c r="AF335" s="2407"/>
      <c r="AG335" s="2407"/>
      <c r="AH335" s="2407"/>
      <c r="AI335" s="2407"/>
      <c r="AJ335" s="2407"/>
      <c r="AK335" s="2407"/>
      <c r="AL335" s="152"/>
      <c r="AM335" s="1422"/>
      <c r="AN335" s="152"/>
    </row>
    <row r="336" spans="1:76" s="46" customFormat="1" ht="12.75" customHeight="1">
      <c r="A336" s="152"/>
      <c r="B336" s="161"/>
      <c r="C336" s="2408" t="s">
        <v>2084</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2085</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6"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2086</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2087</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3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5</v>
      </c>
      <c r="AQ356" s="137"/>
      <c r="AR356" s="137"/>
      <c r="AS356" s="63" t="s">
        <v>2006</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2040</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0</v>
      </c>
      <c r="AQ360" s="137"/>
      <c r="AR360" s="137"/>
    </row>
    <row r="361" spans="1:46" s="46" customFormat="1" ht="12.75" customHeight="1">
      <c r="A361" s="163"/>
      <c r="B361" s="144"/>
      <c r="C361" s="2408" t="s">
        <v>2088</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5</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6"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187</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75" customHeight="1">
      <c r="A368" s="163"/>
      <c r="B368" s="144"/>
      <c r="C368" s="2408" t="s">
        <v>2089</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4">
        <f>IF(AP370&gt;0,AP370,0)</f>
        <v>10</v>
      </c>
      <c r="AR370" s="2394"/>
    </row>
    <row r="371" spans="1:153" s="46" customFormat="1" ht="12.6"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168</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79" t="s">
        <v>2015</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118</v>
      </c>
      <c r="D381" s="1686"/>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354</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79" t="s">
        <v>2014</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135</v>
      </c>
      <c r="D391" s="1686"/>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354</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3" t="s">
        <v>2230</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135</v>
      </c>
      <c r="D401" s="1686"/>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1066</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118</v>
      </c>
      <c r="D403" s="1686"/>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354</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79" t="s">
        <v>2013</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135</v>
      </c>
      <c r="D411" s="1686"/>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354</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135</v>
      </c>
      <c r="D413" s="168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1065</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135</v>
      </c>
      <c r="D416" s="1686"/>
      <c r="E416" s="1188" t="s">
        <v>209</v>
      </c>
      <c r="F416" s="2379" t="s">
        <v>2017</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354</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99" t="s">
        <v>2019</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135</v>
      </c>
      <c r="D425" s="1686"/>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354</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135</v>
      </c>
      <c r="D427" s="168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1065</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79" t="s">
        <v>2020</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135</v>
      </c>
      <c r="D434" s="1686"/>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354</v>
      </c>
      <c r="AG434" s="2397"/>
      <c r="AH434" s="2397"/>
      <c r="AI434" s="2397"/>
      <c r="AJ434" s="2397"/>
      <c r="AK434" s="2397"/>
      <c r="AL434" s="239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79" t="s">
        <v>2021</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135</v>
      </c>
      <c r="D446" s="1686"/>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354</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79" t="s">
        <v>2024</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135</v>
      </c>
      <c r="D453" s="1686"/>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354</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135</v>
      </c>
      <c r="D457" s="2391"/>
      <c r="E457" s="1188" t="s">
        <v>1070</v>
      </c>
      <c r="F457" s="2379" t="s">
        <v>1072</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354</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0" t="s">
        <v>135</v>
      </c>
      <c r="D461" s="2391"/>
      <c r="E461" s="1188" t="s">
        <v>1071</v>
      </c>
      <c r="F461" s="2379" t="s">
        <v>2071</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354</v>
      </c>
      <c r="AG461" s="2401"/>
      <c r="AH461" s="2401"/>
      <c r="AI461" s="2401"/>
      <c r="AJ461" s="2401"/>
      <c r="AK461" s="2401"/>
      <c r="AL461" s="2402"/>
      <c r="AM461" s="16"/>
      <c r="AN461" s="1148"/>
      <c r="AO461" s="46" t="s">
        <v>1473</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1"/>
      <c r="D466" s="1256"/>
      <c r="E466" s="1188" t="s">
        <v>1069</v>
      </c>
      <c r="F466" s="2399" t="s">
        <v>2072</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75" customHeight="1">
      <c r="A470" s="8"/>
      <c r="B470" s="65"/>
      <c r="C470" s="2382" t="s">
        <v>135</v>
      </c>
      <c r="D470" s="1686"/>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354</v>
      </c>
      <c r="AG470" s="2395"/>
      <c r="AH470" s="2395"/>
      <c r="AI470" s="2395"/>
      <c r="AJ470" s="2395"/>
      <c r="AK470" s="2395"/>
      <c r="AL470" s="2396"/>
      <c r="AM470" s="16"/>
      <c r="AN470" s="439"/>
      <c r="AO470" s="552">
        <v>0.12</v>
      </c>
      <c r="AP470" s="64">
        <v>5</v>
      </c>
      <c r="AR470" s="46" t="s">
        <v>2182</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328" t="s">
        <v>135</v>
      </c>
      <c r="D485" s="2329"/>
      <c r="E485" s="1254" t="s">
        <v>211</v>
      </c>
      <c r="F485" s="2359" t="s">
        <v>1075</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2183</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2333" t="s">
        <v>135</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0" t="s">
        <v>118</v>
      </c>
      <c r="D489" s="2391"/>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0" t="s">
        <v>135</v>
      </c>
      <c r="W492" s="2330"/>
      <c r="X492" s="233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30" t="s">
        <v>135</v>
      </c>
      <c r="W494" s="2330"/>
      <c r="X494" s="233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30" t="s">
        <v>135</v>
      </c>
      <c r="W499" s="2330"/>
      <c r="X499" s="233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2"/>
      <c r="E502" s="2102"/>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0" t="s">
        <v>135</v>
      </c>
      <c r="W503" s="2330"/>
      <c r="X503" s="233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30" t="s">
        <v>135</v>
      </c>
      <c r="W505" s="2330"/>
      <c r="X505" s="233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135</v>
      </c>
      <c r="D508" s="2329"/>
      <c r="E508" s="1241" t="s">
        <v>211</v>
      </c>
      <c r="F508" s="2359" t="s">
        <v>1075</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1676</v>
      </c>
      <c r="AQ509" s="2565"/>
      <c r="AR509" s="2566"/>
      <c r="AS509" s="977">
        <v>80</v>
      </c>
      <c r="AT509" s="46">
        <v>0</v>
      </c>
      <c r="AU509" s="243">
        <v>10</v>
      </c>
      <c r="AV509" s="243">
        <v>25</v>
      </c>
      <c r="AW509" s="243">
        <v>37.5</v>
      </c>
      <c r="AX509" s="243">
        <v>35</v>
      </c>
      <c r="AY509" s="243">
        <v>37.5</v>
      </c>
      <c r="AZ509" s="243">
        <v>50</v>
      </c>
      <c r="BA509" s="243">
        <v>50</v>
      </c>
      <c r="BB509" s="65"/>
      <c r="BC509" s="65"/>
      <c r="BE509" s="2564" t="s">
        <v>1676</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135</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135</v>
      </c>
      <c r="D512" s="2329"/>
      <c r="E512" s="1241" t="s">
        <v>335</v>
      </c>
      <c r="F512" s="2392" t="s">
        <v>1283</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135</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135</v>
      </c>
      <c r="D517" s="2329"/>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2"/>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135</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135</v>
      </c>
      <c r="D522" s="259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135</v>
      </c>
      <c r="D526" s="2599"/>
      <c r="E526" s="162"/>
      <c r="F526" s="793" t="s">
        <v>963</v>
      </c>
      <c r="G526" s="2365" t="s">
        <v>1086</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2">
        <f>BJ530</f>
        <v>74</v>
      </c>
      <c r="BE526" s="259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2">
        <f>SUM(E583:J591)</f>
        <v>74</v>
      </c>
      <c r="BE527" s="2592"/>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135</v>
      </c>
      <c r="D530" s="1686"/>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4">
        <f>Application!AG433</f>
        <v>74</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3" t="s">
        <v>135</v>
      </c>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0</v>
      </c>
      <c r="BZ531" s="2495"/>
      <c r="CA531" s="2493">
        <f>IF(Y611&gt;=0.1,1,0)</f>
        <v>0</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0</v>
      </c>
      <c r="BZ533" s="2443"/>
      <c r="CA533" s="2442">
        <f>SUM(CA528:CB532)</f>
        <v>0</v>
      </c>
      <c r="CB533" s="2443"/>
      <c r="CC533" s="2442">
        <f>SUM(CC528:CD532)</f>
        <v>0</v>
      </c>
      <c r="CD533" s="2443"/>
      <c r="CE533" s="2442">
        <f>SUM(CE528:CF532)</f>
        <v>0</v>
      </c>
      <c r="CF533" s="2443"/>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0</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2</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1</v>
      </c>
      <c r="AQ537" s="2587"/>
      <c r="AR537" s="2587"/>
      <c r="AS537" s="2587"/>
      <c r="AT537" s="2588"/>
      <c r="AU537" s="2586">
        <f>RANK(Y610,$Y$608:$AC$612,0)+COUNTIF($Y$608:$AC$612,Y610)-1</f>
        <v>1</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5</v>
      </c>
      <c r="AQ538" s="2587"/>
      <c r="AR538" s="2587"/>
      <c r="AS538" s="2587"/>
      <c r="AT538" s="2588"/>
      <c r="AU538" s="2586">
        <f>RANK(Y611,$Y$608:$AC$612,0)+COUNTIF($Y$608:$AC$612,Y611)-1</f>
        <v>5</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2">
        <f>SUM(AG486:AG531)</f>
        <v>0</v>
      </c>
      <c r="AL542" s="2353"/>
      <c r="AM542" s="235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74</v>
      </c>
      <c r="AZ543" s="2443"/>
      <c r="CG543" s="35"/>
      <c r="CH543" s="2492" t="s">
        <v>847</v>
      </c>
      <c r="CI543" s="1956"/>
      <c r="CJ543" s="1956"/>
      <c r="CK543" s="195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8"/>
      <c r="CI544" s="1959"/>
      <c r="CJ544" s="1959"/>
      <c r="CK544" s="1960"/>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408</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8"/>
      <c r="CI545" s="1959"/>
      <c r="CJ545" s="1959"/>
      <c r="CK545" s="1960"/>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198</v>
      </c>
      <c r="AH546" s="2355"/>
      <c r="AI546" s="2355"/>
      <c r="AJ546" s="2355"/>
      <c r="AK546" s="26"/>
      <c r="AL546" s="1301"/>
      <c r="AM546" s="65"/>
      <c r="AN546" s="439"/>
      <c r="BE546" s="2457" t="s">
        <v>248</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249</v>
      </c>
      <c r="BZ546" s="2458"/>
      <c r="CA546" s="2458"/>
      <c r="CB546" s="2459"/>
      <c r="CC546" s="16"/>
      <c r="CG546" s="16"/>
      <c r="CH546" s="1958"/>
      <c r="CI546" s="1959"/>
      <c r="CJ546" s="1959"/>
      <c r="CK546" s="1960"/>
    </row>
    <row r="547" spans="1:89" s="46" customFormat="1" ht="12.75" customHeight="1">
      <c r="A547" s="152"/>
      <c r="B547" s="2567" t="s">
        <v>1935</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1"/>
      <c r="CI547" s="1962"/>
      <c r="CJ547" s="1962"/>
      <c r="CK547" s="1963"/>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8</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8</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6" customHeight="1">
      <c r="A553" s="28"/>
      <c r="B553" s="2460" t="s">
        <v>1677</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0" t="s">
        <v>1990</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failed</v>
      </c>
      <c r="AW556" s="2448"/>
      <c r="AX556" s="2448"/>
      <c r="AY556" s="2443"/>
    </row>
    <row r="557" spans="1:89" s="46" customFormat="1" ht="12.6"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1678</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1989</v>
      </c>
      <c r="R561" s="2371"/>
      <c r="S561" s="2580" t="s">
        <v>226</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1247</v>
      </c>
      <c r="BA567" s="2496" t="s">
        <v>780</v>
      </c>
      <c r="BB567" s="2497"/>
      <c r="BC567" s="2497"/>
      <c r="BD567" s="2497"/>
      <c r="BE567" s="2498"/>
      <c r="BF567" s="2453">
        <f>SUM(O608:S612)</f>
        <v>74</v>
      </c>
      <c r="BG567" s="2454"/>
      <c r="BH567" s="2454"/>
      <c r="BI567" s="2454"/>
      <c r="BJ567" s="2455"/>
      <c r="BK567" s="2334">
        <f>SUM(T608:X612)</f>
        <v>8</v>
      </c>
      <c r="BL567" s="2335"/>
      <c r="BM567" s="2335"/>
      <c r="BN567" s="2335"/>
      <c r="BO567" s="2336"/>
    </row>
    <row r="568" spans="1:96" s="46" customFormat="1" ht="12.75" customHeight="1">
      <c r="A568" s="28"/>
      <c r="B568" s="57"/>
      <c r="C568" s="28"/>
      <c r="I568" s="2383" t="s">
        <v>1676</v>
      </c>
      <c r="J568" s="2384"/>
      <c r="K568" s="2384"/>
      <c r="L568" s="2384"/>
      <c r="M568" s="2384"/>
      <c r="N568" s="2385"/>
      <c r="O568" s="2331">
        <v>0.5</v>
      </c>
      <c r="P568" s="2332"/>
      <c r="Q568" s="2362"/>
      <c r="R568" s="2363"/>
      <c r="S568" s="2345"/>
      <c r="T568" s="2345"/>
      <c r="U568" s="2582" t="s">
        <v>1680</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144</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1679</v>
      </c>
      <c r="T570" s="2351"/>
      <c r="U570" s="2343">
        <v>20</v>
      </c>
      <c r="V570" s="2343"/>
      <c r="W570" s="2343">
        <v>30</v>
      </c>
      <c r="X570" s="2343"/>
      <c r="Y570" s="2343"/>
      <c r="Z570" s="2343"/>
      <c r="AA570" s="2343"/>
      <c r="AB570" s="2343"/>
      <c r="AC570" s="2343"/>
      <c r="AD570" s="2343"/>
      <c r="AE570" s="2346"/>
      <c r="AF570" s="2347"/>
      <c r="AN570" s="439"/>
      <c r="AP570" s="2499" t="s">
        <v>227</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74</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1991</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1992</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6"/>
      <c r="BL572" s="2456"/>
      <c r="BM572" s="2456"/>
      <c r="BN572" s="1878"/>
      <c r="BO572" s="1877">
        <v>4</v>
      </c>
      <c r="BP572" s="2456"/>
      <c r="BQ572" s="2456"/>
      <c r="BR572" s="2456"/>
      <c r="BS572" s="1878"/>
      <c r="BT572" s="1877">
        <v>3</v>
      </c>
      <c r="BU572" s="2456"/>
      <c r="BV572" s="2456"/>
      <c r="BW572" s="2456"/>
      <c r="BX572" s="1878"/>
      <c r="BY572" s="1877">
        <v>2</v>
      </c>
      <c r="BZ572" s="2456"/>
      <c r="CA572" s="2456"/>
      <c r="CB572" s="2456"/>
      <c r="CC572" s="1878"/>
      <c r="CD572" s="1877">
        <v>1</v>
      </c>
      <c r="CE572" s="2456"/>
      <c r="CF572" s="2456"/>
      <c r="CG572" s="2456"/>
      <c r="CH572" s="1878"/>
      <c r="CI572" s="1877">
        <v>0</v>
      </c>
      <c r="CJ572" s="2456"/>
      <c r="CK572" s="2456"/>
      <c r="CL572" s="2456"/>
      <c r="CM572" s="1878"/>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1993</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4">
        <f t="shared" ref="BE573:BE578" si="3">Y607</f>
        <v>0</v>
      </c>
      <c r="BF573" s="1885"/>
      <c r="BG573" s="1885"/>
      <c r="BH573" s="1885"/>
      <c r="BI573" s="1886"/>
      <c r="BJ573" s="1877">
        <f>IF(OR(AP583=0,BE573&gt;=0.1),0,1)</f>
        <v>0</v>
      </c>
      <c r="BK573" s="2456"/>
      <c r="BL573" s="2456"/>
      <c r="BM573" s="2456"/>
      <c r="BN573" s="1878"/>
      <c r="BO573" s="1877"/>
      <c r="BP573" s="2456"/>
      <c r="BQ573" s="2456"/>
      <c r="BR573" s="2456"/>
      <c r="BS573" s="1878"/>
      <c r="BT573" s="1877"/>
      <c r="BU573" s="2456"/>
      <c r="BV573" s="2456"/>
      <c r="BW573" s="2456"/>
      <c r="BX573" s="1878"/>
      <c r="BY573" s="1877"/>
      <c r="BZ573" s="2456"/>
      <c r="CA573" s="2456"/>
      <c r="CB573" s="2456"/>
      <c r="CC573" s="1878"/>
      <c r="CD573" s="1877"/>
      <c r="CE573" s="2456"/>
      <c r="CF573" s="2456"/>
      <c r="CG573" s="2456"/>
      <c r="CH573" s="1878"/>
      <c r="CI573" s="1877"/>
      <c r="CJ573" s="2456"/>
      <c r="CK573" s="2456"/>
      <c r="CL573" s="2456"/>
      <c r="CM573" s="1878"/>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1996</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4">
        <f t="shared" si="3"/>
        <v>0</v>
      </c>
      <c r="BF574" s="1885"/>
      <c r="BG574" s="1885"/>
      <c r="BH574" s="1885"/>
      <c r="BI574" s="1886"/>
      <c r="BJ574" s="1877"/>
      <c r="BK574" s="2456"/>
      <c r="BL574" s="2456"/>
      <c r="BM574" s="2456"/>
      <c r="BN574" s="1878"/>
      <c r="BO574" s="1877">
        <f>IF(AND(AND(AZ573=0,BJ573=0,AP584=1)),1,0)</f>
        <v>0</v>
      </c>
      <c r="BP574" s="2456"/>
      <c r="BQ574" s="2456"/>
      <c r="BR574" s="2456"/>
      <c r="BS574" s="1878"/>
      <c r="BT574" s="1877"/>
      <c r="BU574" s="2456"/>
      <c r="BV574" s="2456"/>
      <c r="BW574" s="2456"/>
      <c r="BX574" s="1878"/>
      <c r="BY574" s="1877"/>
      <c r="BZ574" s="2456"/>
      <c r="CA574" s="2456"/>
      <c r="CB574" s="2456"/>
      <c r="CC574" s="1878"/>
      <c r="CD574" s="1877"/>
      <c r="CE574" s="2456"/>
      <c r="CF574" s="2456"/>
      <c r="CG574" s="2456"/>
      <c r="CH574" s="1878"/>
      <c r="CI574" s="1877"/>
      <c r="CJ574" s="2456"/>
      <c r="CK574" s="2456"/>
      <c r="CL574" s="2456"/>
      <c r="CM574" s="1878"/>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1994</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20</v>
      </c>
      <c r="AV575" s="2446"/>
      <c r="AW575" s="2446"/>
      <c r="AX575" s="2446"/>
      <c r="AY575" s="2447"/>
      <c r="AZ575" s="2445">
        <f t="shared" si="2"/>
        <v>2</v>
      </c>
      <c r="BA575" s="2446"/>
      <c r="BB575" s="2446"/>
      <c r="BC575" s="2446"/>
      <c r="BD575" s="2447"/>
      <c r="BE575" s="1884">
        <f t="shared" si="3"/>
        <v>0.1</v>
      </c>
      <c r="BF575" s="1885"/>
      <c r="BG575" s="1885"/>
      <c r="BH575" s="1885"/>
      <c r="BI575" s="1886"/>
      <c r="BJ575" s="1877"/>
      <c r="BK575" s="2456"/>
      <c r="BL575" s="2456"/>
      <c r="BM575" s="2456"/>
      <c r="BN575" s="1878"/>
      <c r="BO575" s="1877"/>
      <c r="BP575" s="2456"/>
      <c r="BQ575" s="2456"/>
      <c r="BR575" s="2456"/>
      <c r="BS575" s="1878"/>
      <c r="BT575" s="1877">
        <f>IF(AND(AND(AZ573+AZ574=0,BJ573+BO574=0,AP585=1)),1,0)</f>
        <v>0</v>
      </c>
      <c r="BU575" s="2456"/>
      <c r="BV575" s="2456"/>
      <c r="BW575" s="2456"/>
      <c r="BX575" s="1878"/>
      <c r="BY575" s="1877"/>
      <c r="BZ575" s="2456"/>
      <c r="CA575" s="2456"/>
      <c r="CB575" s="2456"/>
      <c r="CC575" s="1878"/>
      <c r="CD575" s="1877"/>
      <c r="CE575" s="2456"/>
      <c r="CF575" s="2456"/>
      <c r="CG575" s="2456"/>
      <c r="CH575" s="1878"/>
      <c r="CI575" s="1877"/>
      <c r="CJ575" s="2456"/>
      <c r="CK575" s="2456"/>
      <c r="CL575" s="2456"/>
      <c r="CM575" s="1878"/>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1995</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54</v>
      </c>
      <c r="AV576" s="2446"/>
      <c r="AW576" s="2446"/>
      <c r="AX576" s="2446"/>
      <c r="AY576" s="2447"/>
      <c r="AZ576" s="2445">
        <f t="shared" si="2"/>
        <v>6</v>
      </c>
      <c r="BA576" s="2446"/>
      <c r="BB576" s="2446"/>
      <c r="BC576" s="2446"/>
      <c r="BD576" s="2447"/>
      <c r="BE576" s="1884">
        <f t="shared" si="3"/>
        <v>0.1111111111111111</v>
      </c>
      <c r="BF576" s="1885"/>
      <c r="BG576" s="1885"/>
      <c r="BH576" s="1885"/>
      <c r="BI576" s="1886"/>
      <c r="BJ576" s="1877"/>
      <c r="BK576" s="2456"/>
      <c r="BL576" s="2456"/>
      <c r="BM576" s="2456"/>
      <c r="BN576" s="1878"/>
      <c r="BO576" s="1877"/>
      <c r="BP576" s="2456"/>
      <c r="BQ576" s="2456"/>
      <c r="BR576" s="2456"/>
      <c r="BS576" s="1878"/>
      <c r="BT576" s="1877"/>
      <c r="BU576" s="2456"/>
      <c r="BV576" s="2456"/>
      <c r="BW576" s="2456"/>
      <c r="BX576" s="1878"/>
      <c r="BY576" s="1877">
        <f>IF(AND(AND(AZ573+AZ574+AZ575=0,BO574+BT575+BJ573=0,AP586=1)),1,0)</f>
        <v>0</v>
      </c>
      <c r="BZ576" s="2456"/>
      <c r="CA576" s="2456"/>
      <c r="CB576" s="2456"/>
      <c r="CC576" s="1878"/>
      <c r="CD576" s="1877"/>
      <c r="CE576" s="2456"/>
      <c r="CF576" s="2456"/>
      <c r="CG576" s="2456"/>
      <c r="CH576" s="1878"/>
      <c r="CI576" s="1877"/>
      <c r="CJ576" s="2456"/>
      <c r="CK576" s="2456"/>
      <c r="CL576" s="2456"/>
      <c r="CM576" s="1878"/>
      <c r="CN576" s="65"/>
      <c r="CO576" s="65"/>
      <c r="CP576" s="65"/>
      <c r="CQ576" s="65"/>
      <c r="CR576" s="65"/>
    </row>
    <row r="577" spans="2:96" s="46" customFormat="1" ht="12.75" customHeight="1">
      <c r="B577" s="8"/>
      <c r="C577" s="8"/>
      <c r="D577" s="8"/>
      <c r="E577" s="1824" t="s">
        <v>1042</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0</v>
      </c>
      <c r="AV577" s="2446"/>
      <c r="AW577" s="2446"/>
      <c r="AX577" s="2446"/>
      <c r="AY577" s="2447"/>
      <c r="AZ577" s="2445">
        <f t="shared" si="2"/>
        <v>0</v>
      </c>
      <c r="BA577" s="2446"/>
      <c r="BB577" s="2446"/>
      <c r="BC577" s="2446"/>
      <c r="BD577" s="2447"/>
      <c r="BE577" s="1884">
        <f t="shared" si="3"/>
        <v>0</v>
      </c>
      <c r="BF577" s="1885"/>
      <c r="BG577" s="1885"/>
      <c r="BH577" s="1885"/>
      <c r="BI577" s="1886"/>
      <c r="BJ577" s="1877"/>
      <c r="BK577" s="2456"/>
      <c r="BL577" s="2456"/>
      <c r="BM577" s="2456"/>
      <c r="BN577" s="1878"/>
      <c r="BO577" s="1877"/>
      <c r="BP577" s="2456"/>
      <c r="BQ577" s="2456"/>
      <c r="BR577" s="2456"/>
      <c r="BS577" s="1878"/>
      <c r="BT577" s="1877"/>
      <c r="BU577" s="2456"/>
      <c r="BV577" s="2456"/>
      <c r="BW577" s="2456"/>
      <c r="BX577" s="1878"/>
      <c r="BY577" s="1877"/>
      <c r="BZ577" s="2456"/>
      <c r="CA577" s="2456"/>
      <c r="CB577" s="2456"/>
      <c r="CC577" s="1878"/>
      <c r="CD577" s="1877">
        <f>IF(AND(AND(BE574+BE575+BE576+BE573=0,BT575+BY576+BO574+BJ573=0,AP587=1)),1,0)</f>
        <v>0</v>
      </c>
      <c r="CE577" s="2456"/>
      <c r="CF577" s="2456"/>
      <c r="CG577" s="2456"/>
      <c r="CH577" s="1878"/>
      <c r="CI577" s="1877"/>
      <c r="CJ577" s="2456"/>
      <c r="CK577" s="2456"/>
      <c r="CL577" s="2456"/>
      <c r="CM577" s="1878"/>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4">
        <f t="shared" si="3"/>
        <v>0</v>
      </c>
      <c r="BF578" s="1885"/>
      <c r="BG578" s="1885"/>
      <c r="BH578" s="1885"/>
      <c r="BI578" s="1886"/>
      <c r="BJ578" s="1877"/>
      <c r="BK578" s="2456"/>
      <c r="BL578" s="2456"/>
      <c r="BM578" s="2456"/>
      <c r="BN578" s="1878"/>
      <c r="BO578" s="1877"/>
      <c r="BP578" s="2456"/>
      <c r="BQ578" s="2456"/>
      <c r="BR578" s="2456"/>
      <c r="BS578" s="1878"/>
      <c r="BT578" s="1877"/>
      <c r="BU578" s="2456"/>
      <c r="BV578" s="2456"/>
      <c r="BW578" s="2456"/>
      <c r="BX578" s="1878"/>
      <c r="BY578" s="1877"/>
      <c r="BZ578" s="2456"/>
      <c r="CA578" s="2456"/>
      <c r="CB578" s="2456"/>
      <c r="CC578" s="1878"/>
      <c r="CD578" s="1877"/>
      <c r="CE578" s="2456"/>
      <c r="CF578" s="2456"/>
      <c r="CG578" s="2456"/>
      <c r="CH578" s="1878"/>
      <c r="CI578" s="1877">
        <f>IF(AND(AND(AZ575+AZ576+AZ577+AZ574+AZ573=0,BY576+CD577+BT575+BO574+BJ573=0,AP588=1)),1,0)</f>
        <v>0</v>
      </c>
      <c r="CJ578" s="2456"/>
      <c r="CK578" s="2456"/>
      <c r="CL578" s="2456"/>
      <c r="CM578" s="1878"/>
      <c r="CN578" s="65"/>
      <c r="CO578" s="65"/>
      <c r="CP578" s="65"/>
      <c r="CQ578" s="65"/>
      <c r="CR578" s="65"/>
    </row>
    <row r="579" spans="2:96" s="46" customFormat="1" ht="12.75" customHeight="1">
      <c r="E579" s="2605" t="s">
        <v>1686</v>
      </c>
      <c r="F579" s="2606"/>
      <c r="G579" s="2606"/>
      <c r="H579" s="2606"/>
      <c r="I579" s="2606"/>
      <c r="J579" s="2607"/>
      <c r="K579" s="2605" t="s">
        <v>1987</v>
      </c>
      <c r="L579" s="2606"/>
      <c r="M579" s="2606"/>
      <c r="N579" s="2606"/>
      <c r="O579" s="2606"/>
      <c r="P579" s="2607"/>
      <c r="Q579" s="2564" t="s">
        <v>1682</v>
      </c>
      <c r="R579" s="2565"/>
      <c r="S579" s="2565"/>
      <c r="T579" s="2565"/>
      <c r="U579" s="2565"/>
      <c r="V579" s="2566"/>
      <c r="W579" s="2564" t="str">
        <f>I568</f>
        <v>Percent of Low-Income Units (exclusive of manager’s units)</v>
      </c>
      <c r="X579" s="2565"/>
      <c r="Y579" s="2565"/>
      <c r="Z579" s="2565"/>
      <c r="AA579" s="2565"/>
      <c r="AB579" s="2566"/>
      <c r="AC579" s="2564" t="s">
        <v>1685</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7">
        <f>SUM(BJ573:BN578)</f>
        <v>0</v>
      </c>
      <c r="BK579" s="2456"/>
      <c r="BL579" s="2456"/>
      <c r="BM579" s="2456"/>
      <c r="BN579" s="1878"/>
      <c r="BO579" s="1877">
        <f>SUM(BO573:BS578)</f>
        <v>0</v>
      </c>
      <c r="BP579" s="2456"/>
      <c r="BQ579" s="2456"/>
      <c r="BR579" s="2456"/>
      <c r="BS579" s="1878"/>
      <c r="BT579" s="1877">
        <f>SUM(BT573:BX578)</f>
        <v>0</v>
      </c>
      <c r="BU579" s="2456"/>
      <c r="BV579" s="2456"/>
      <c r="BW579" s="2456"/>
      <c r="BX579" s="1878"/>
      <c r="BY579" s="1877">
        <f>SUM(BY573:CC578)</f>
        <v>0</v>
      </c>
      <c r="BZ579" s="2456"/>
      <c r="CA579" s="2456"/>
      <c r="CB579" s="2456"/>
      <c r="CC579" s="1878"/>
      <c r="CD579" s="1877">
        <f>SUM(CD573:CH578)</f>
        <v>0</v>
      </c>
      <c r="CE579" s="2456"/>
      <c r="CF579" s="2456"/>
      <c r="CG579" s="2456"/>
      <c r="CH579" s="1878"/>
      <c r="CI579" s="1877">
        <f>SUM(CI573:CM578)</f>
        <v>0</v>
      </c>
      <c r="CJ579" s="2456"/>
      <c r="CK579" s="2456"/>
      <c r="CL579" s="2456"/>
      <c r="CM579" s="1878"/>
      <c r="CN579" s="1877">
        <f>SUM(BJ579:CM579)</f>
        <v>0</v>
      </c>
      <c r="CO579" s="2456"/>
      <c r="CP579" s="2456"/>
      <c r="CQ579" s="2456"/>
      <c r="CR579" s="1878"/>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1248</v>
      </c>
      <c r="BH582" s="63" t="s">
        <v>1249</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8</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10.810810810810811</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69">
        <f t="shared" si="5"/>
        <v>0</v>
      </c>
      <c r="AQ584" s="2470"/>
      <c r="AR584" s="2470"/>
      <c r="AS584" s="2470"/>
      <c r="AT584" s="2471"/>
      <c r="AX584" s="2467" t="s">
        <v>681</v>
      </c>
      <c r="AY584" s="2468"/>
      <c r="AZ584" s="1805" t="s">
        <v>681</v>
      </c>
      <c r="BA584" s="1806"/>
      <c r="BB584" s="2467" t="s">
        <v>292</v>
      </c>
      <c r="BC584" s="2468"/>
      <c r="BD584" s="2457" t="s">
        <v>292</v>
      </c>
      <c r="BE584" s="2459"/>
      <c r="BF584" s="2467" t="s">
        <v>291</v>
      </c>
      <c r="BG584" s="2468"/>
      <c r="BH584" s="2457" t="s">
        <v>291</v>
      </c>
      <c r="BI584" s="2459"/>
      <c r="BJ584" s="2467" t="s">
        <v>290</v>
      </c>
      <c r="BK584" s="2468"/>
      <c r="BL584" s="2457" t="s">
        <v>290</v>
      </c>
      <c r="BM584" s="2459"/>
      <c r="BN584" s="2467" t="s">
        <v>680</v>
      </c>
      <c r="BO584" s="2468"/>
      <c r="BP584" s="2457" t="s">
        <v>680</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c r="F586" s="2338"/>
      <c r="G586" s="2338"/>
      <c r="H586" s="2338"/>
      <c r="I586" s="2338"/>
      <c r="J586" s="2339"/>
      <c r="K586" s="2334">
        <v>40</v>
      </c>
      <c r="L586" s="2335"/>
      <c r="M586" s="2335"/>
      <c r="N586" s="2335"/>
      <c r="O586" s="2335"/>
      <c r="P586" s="2336"/>
      <c r="Q586" s="2348">
        <f t="shared" si="6"/>
        <v>0</v>
      </c>
      <c r="R586" s="2349"/>
      <c r="S586" s="2349"/>
      <c r="T586" s="2349"/>
      <c r="U586" s="2349"/>
      <c r="V586" s="2350"/>
      <c r="W586" s="2340">
        <f t="shared" si="7"/>
        <v>0</v>
      </c>
      <c r="X586" s="2341"/>
      <c r="Y586" s="2341"/>
      <c r="Z586" s="2341"/>
      <c r="AA586" s="2341"/>
      <c r="AB586" s="2342"/>
      <c r="AC586" s="2340">
        <f t="shared" si="4"/>
        <v>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v>15</v>
      </c>
      <c r="F587" s="2338"/>
      <c r="G587" s="2338"/>
      <c r="H587" s="2338"/>
      <c r="I587" s="2338"/>
      <c r="J587" s="2339"/>
      <c r="K587" s="2334">
        <v>45</v>
      </c>
      <c r="L587" s="2335"/>
      <c r="M587" s="2335"/>
      <c r="N587" s="2335"/>
      <c r="O587" s="2335"/>
      <c r="P587" s="2336"/>
      <c r="Q587" s="2348">
        <f t="shared" si="6"/>
        <v>20.27027027027027</v>
      </c>
      <c r="R587" s="2349"/>
      <c r="S587" s="2349"/>
      <c r="T587" s="2349"/>
      <c r="U587" s="2349"/>
      <c r="V587" s="2350"/>
      <c r="W587" s="2340">
        <f>IF(FLOOR(Q587,5)&gt;65,65,FLOOR(Q587,5))</f>
        <v>20</v>
      </c>
      <c r="X587" s="2341"/>
      <c r="Y587" s="2341"/>
      <c r="Z587" s="2341"/>
      <c r="AA587" s="2341"/>
      <c r="AB587" s="2342"/>
      <c r="AC587" s="2340">
        <f t="shared" si="4"/>
        <v>15</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1</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v>30</v>
      </c>
      <c r="F588" s="2338"/>
      <c r="G588" s="2338"/>
      <c r="H588" s="2338"/>
      <c r="I588" s="2338"/>
      <c r="J588" s="2339"/>
      <c r="K588" s="2334">
        <v>50</v>
      </c>
      <c r="L588" s="2335"/>
      <c r="M588" s="2335"/>
      <c r="N588" s="2335"/>
      <c r="O588" s="2335"/>
      <c r="P588" s="2336"/>
      <c r="Q588" s="2348">
        <f t="shared" si="6"/>
        <v>40.54054054054054</v>
      </c>
      <c r="R588" s="2349"/>
      <c r="S588" s="2349"/>
      <c r="T588" s="2349"/>
      <c r="U588" s="2349"/>
      <c r="V588" s="2350"/>
      <c r="W588" s="2340">
        <f>IF(FLOOR(Q588,5)&gt;40,40,FLOOR(Q588,5))</f>
        <v>40</v>
      </c>
      <c r="X588" s="2341"/>
      <c r="Y588" s="2341"/>
      <c r="Z588" s="2341"/>
      <c r="AA588" s="2341"/>
      <c r="AB588" s="2342"/>
      <c r="AC588" s="2340">
        <f t="shared" si="4"/>
        <v>20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0</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2093</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2093</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1</v>
      </c>
      <c r="BG590" s="2468"/>
      <c r="BH590" s="2457">
        <f>SUM(BH585:BI589)</f>
        <v>1</v>
      </c>
      <c r="BI590" s="2459"/>
      <c r="BJ590" s="2467">
        <f>SUM(BJ585:BK589)</f>
        <v>0</v>
      </c>
      <c r="BK590" s="2468"/>
      <c r="BL590" s="2457">
        <f>SUM(BL585:BM589)</f>
        <v>2</v>
      </c>
      <c r="BM590" s="2459"/>
      <c r="BN590" s="2467">
        <f>SUM(BN585:BO589)</f>
        <v>0</v>
      </c>
      <c r="BO590" s="2468"/>
      <c r="BP590" s="2457">
        <f>SUM(BP585:BQ589)</f>
        <v>2</v>
      </c>
      <c r="BQ590" s="2459"/>
    </row>
    <row r="591" spans="2:96" s="46" customFormat="1" ht="12.75" customHeight="1">
      <c r="E591" s="2337">
        <v>21</v>
      </c>
      <c r="F591" s="2338"/>
      <c r="G591" s="2338"/>
      <c r="H591" s="2338"/>
      <c r="I591" s="2338"/>
      <c r="J591" s="2339"/>
      <c r="K591" s="2334" t="s">
        <v>2094</v>
      </c>
      <c r="L591" s="2335"/>
      <c r="M591" s="2335"/>
      <c r="N591" s="2335"/>
      <c r="O591" s="2335"/>
      <c r="P591" s="2336"/>
      <c r="Q591" s="2348">
        <f t="shared" si="6"/>
        <v>28.378378378378379</v>
      </c>
      <c r="R591" s="2349"/>
      <c r="S591" s="2349"/>
      <c r="T591" s="2349"/>
      <c r="U591" s="2349"/>
      <c r="V591" s="2350"/>
      <c r="W591" s="2340">
        <f t="shared" si="7"/>
        <v>25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1</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74</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1</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55" t="s">
        <v>113</v>
      </c>
      <c r="AH595" s="2355"/>
      <c r="AI595" s="2355"/>
      <c r="AJ595" s="2355"/>
      <c r="AK595" s="8"/>
      <c r="AL595" s="8"/>
      <c r="AM595" s="8"/>
      <c r="AN595" s="439"/>
    </row>
    <row r="596" spans="1:69" s="46" customFormat="1" ht="12.75" customHeight="1">
      <c r="B596" s="2567" t="s">
        <v>2070</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870</v>
      </c>
      <c r="K603" s="2519"/>
      <c r="L603" s="2519"/>
      <c r="M603" s="2519"/>
      <c r="N603" s="2520"/>
      <c r="O603" s="2564" t="s">
        <v>1683</v>
      </c>
      <c r="P603" s="2565"/>
      <c r="Q603" s="2565"/>
      <c r="R603" s="2565"/>
      <c r="S603" s="2566"/>
      <c r="T603" s="2564" t="s">
        <v>1997</v>
      </c>
      <c r="U603" s="2565"/>
      <c r="V603" s="2565"/>
      <c r="W603" s="2565"/>
      <c r="X603" s="2566"/>
      <c r="Y603" s="2564" t="s">
        <v>1684</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250</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292</v>
      </c>
      <c r="K609" s="2418"/>
      <c r="L609" s="2418"/>
      <c r="M609" s="2418"/>
      <c r="N609" s="2419"/>
      <c r="O609" s="2334">
        <f>Application!CC627</f>
        <v>20</v>
      </c>
      <c r="P609" s="2335"/>
      <c r="Q609" s="2335"/>
      <c r="R609" s="2335"/>
      <c r="S609" s="2336"/>
      <c r="T609" s="2334">
        <f>Application!DH628</f>
        <v>2</v>
      </c>
      <c r="U609" s="2335"/>
      <c r="V609" s="2335"/>
      <c r="W609" s="2335"/>
      <c r="X609" s="2336"/>
      <c r="Y609" s="2420">
        <f t="shared" si="8"/>
        <v>0.1</v>
      </c>
      <c r="Z609" s="2421"/>
      <c r="AA609" s="2421"/>
      <c r="AB609" s="2421"/>
      <c r="AC609" s="2422"/>
      <c r="AD609" s="16"/>
      <c r="AF609" s="16"/>
      <c r="AG609" s="16"/>
      <c r="AH609" s="16"/>
      <c r="AI609" s="16"/>
      <c r="AJ609" s="16"/>
      <c r="AN609" s="1151"/>
    </row>
    <row r="610" spans="1:60">
      <c r="D610" s="16"/>
      <c r="E610" s="16"/>
      <c r="F610" s="16"/>
      <c r="G610" s="16"/>
      <c r="H610" s="16"/>
      <c r="I610" s="16"/>
      <c r="J610" s="2417" t="s">
        <v>291</v>
      </c>
      <c r="K610" s="2418"/>
      <c r="L610" s="2418"/>
      <c r="M610" s="2418"/>
      <c r="N610" s="2419"/>
      <c r="O610" s="2334">
        <f>Application!BX627</f>
        <v>54</v>
      </c>
      <c r="P610" s="2335"/>
      <c r="Q610" s="2335"/>
      <c r="R610" s="2335"/>
      <c r="S610" s="2336"/>
      <c r="T610" s="2334">
        <f>Application!DC628</f>
        <v>6</v>
      </c>
      <c r="U610" s="2335"/>
      <c r="V610" s="2335"/>
      <c r="W610" s="2335"/>
      <c r="X610" s="2336"/>
      <c r="Y610" s="2420">
        <f t="shared" si="8"/>
        <v>0.1111111111111111</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290</v>
      </c>
      <c r="K611" s="2418"/>
      <c r="L611" s="2418"/>
      <c r="M611" s="2418"/>
      <c r="N611" s="2419"/>
      <c r="O611" s="2334">
        <f>Application!BS627</f>
        <v>0</v>
      </c>
      <c r="P611" s="2335"/>
      <c r="Q611" s="2335"/>
      <c r="R611" s="2335"/>
      <c r="S611" s="2336"/>
      <c r="T611" s="2334">
        <f>Application!CX628</f>
        <v>0</v>
      </c>
      <c r="U611" s="2335"/>
      <c r="V611" s="2335"/>
      <c r="W611" s="2335"/>
      <c r="X611" s="2336"/>
      <c r="Y611" s="2420">
        <f t="shared" si="8"/>
        <v>0</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74</v>
      </c>
      <c r="P613" s="2559"/>
      <c r="Q613" s="2559"/>
      <c r="R613" s="2559"/>
      <c r="S613" s="2560"/>
      <c r="T613" s="2558">
        <f>SUM(T607:X612)</f>
        <v>8</v>
      </c>
      <c r="U613" s="2559"/>
      <c r="V613" s="2559"/>
      <c r="W613" s="2559"/>
      <c r="X613" s="2560"/>
      <c r="Y613" s="2514" t="s">
        <v>258</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1687</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196</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1688</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118</v>
      </c>
      <c r="D626" s="1686"/>
      <c r="E626" s="293"/>
      <c r="F626" s="2524" t="s">
        <v>2318</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2073</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2">
        <f>IF($C$626="yes",10,0)</f>
        <v>10</v>
      </c>
      <c r="AL643" s="2353"/>
      <c r="AM643" s="235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118</v>
      </c>
      <c r="D648" s="1686"/>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135</v>
      </c>
      <c r="D653" s="1686"/>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135</v>
      </c>
      <c r="D657" s="1686"/>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135</v>
      </c>
      <c r="D661" s="168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135</v>
      </c>
      <c r="D663" s="1686"/>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135</v>
      </c>
      <c r="D668" s="1686"/>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2223</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2224</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260</v>
      </c>
      <c r="U679" s="2095"/>
      <c r="V679" s="2095"/>
      <c r="W679" s="2095"/>
      <c r="X679" s="2095"/>
      <c r="Y679" s="2096"/>
      <c r="Z679" s="2414" t="s">
        <v>259</v>
      </c>
      <c r="AA679" s="2095"/>
      <c r="AB679" s="2095"/>
      <c r="AC679" s="2095"/>
      <c r="AD679" s="2095"/>
      <c r="AE679" s="2096"/>
      <c r="AF679" s="2414" t="s">
        <v>261</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718</v>
      </c>
      <c r="B681" s="2410" t="s">
        <v>297</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232</v>
      </c>
      <c r="E682" s="2412" t="s">
        <v>262</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263</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298</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130</v>
      </c>
      <c r="B685" s="2410" t="s">
        <v>299</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1640</v>
      </c>
      <c r="E686" s="2412" t="s">
        <v>323</v>
      </c>
      <c r="F686" s="2412"/>
      <c r="G686" s="2412"/>
      <c r="H686" s="2412"/>
      <c r="I686" s="2412"/>
      <c r="J686" s="2412"/>
      <c r="K686" s="2412"/>
      <c r="L686" s="2412"/>
      <c r="M686" s="2412"/>
      <c r="N686" s="2412"/>
      <c r="O686" s="2412"/>
      <c r="P686" s="2412"/>
      <c r="Q686" s="2412"/>
      <c r="R686" s="2412"/>
      <c r="S686" s="2413"/>
      <c r="T686" s="2416">
        <f>AK285</f>
        <v>26</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1641</v>
      </c>
      <c r="E687" s="2412" t="s">
        <v>324</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133</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1"/>
      <c r="AA688" s="1771"/>
      <c r="AB688" s="1771"/>
      <c r="AC688" s="1771"/>
      <c r="AD688" s="1771"/>
      <c r="AE688" s="1771"/>
      <c r="AF688" s="1771"/>
      <c r="AG688" s="1771"/>
      <c r="AH688" s="1771"/>
      <c r="AI688" s="1771"/>
      <c r="AJ688" s="1771"/>
      <c r="AK688" s="1771"/>
      <c r="AL688" s="1310"/>
      <c r="AM688" s="474"/>
    </row>
    <row r="689" spans="1:39">
      <c r="A689" s="1393" t="s">
        <v>133</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1642</v>
      </c>
      <c r="E690" s="2412" t="s">
        <v>199</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1643</v>
      </c>
      <c r="E691" s="2412" t="s">
        <v>296</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134</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1">
        <v>10</v>
      </c>
      <c r="AA692" s="1771"/>
      <c r="AB692" s="1771"/>
      <c r="AC692" s="1771"/>
      <c r="AD692" s="1771"/>
      <c r="AE692" s="1771"/>
      <c r="AF692" s="2106">
        <f>IF(T692&gt;Z692,Z692,T692)</f>
        <v>10</v>
      </c>
      <c r="AG692" s="2016"/>
      <c r="AH692" s="2016"/>
      <c r="AI692" s="2016"/>
      <c r="AJ692" s="2016"/>
      <c r="AK692" s="2017"/>
      <c r="AL692" s="1310"/>
      <c r="AM692" s="205"/>
    </row>
    <row r="693" spans="1:39">
      <c r="A693" s="971" t="s">
        <v>136</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c r="A694" s="2409" t="s">
        <v>326</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325</v>
      </c>
      <c r="AA694" s="2441"/>
      <c r="AB694" s="2441"/>
      <c r="AC694" s="2441"/>
      <c r="AD694" s="2441"/>
      <c r="AE694" s="2441"/>
      <c r="AF694" s="2106">
        <f>IF(T694&gt;0,T694,0)</f>
        <v>0</v>
      </c>
      <c r="AG694" s="2016"/>
      <c r="AH694" s="2016"/>
      <c r="AI694" s="2016"/>
      <c r="AJ694" s="2016"/>
      <c r="AK694" s="2017"/>
      <c r="AL694" s="1301"/>
      <c r="AM694" s="205"/>
    </row>
    <row r="695" spans="1:39" ht="15.7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7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2"/>
    </row>
    <row r="698" spans="1:39" ht="12.6"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2"/>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2"/>
    </row>
    <row r="700" spans="1:39" ht="12.6"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2"/>
    </row>
    <row r="701" spans="1:39" ht="12.6"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2"/>
    </row>
    <row r="702" spans="1:39" ht="12.6"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5" zoomScaleNormal="100" zoomScaleSheetLayoutView="80" workbookViewId="0">
      <selection activeCell="J19" sqref="J19"/>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1" t="s">
        <v>128</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Wakeland Price Fourth Corner LP</v>
      </c>
      <c r="F7" s="2618"/>
      <c r="G7" s="2618"/>
      <c r="H7" s="462"/>
      <c r="I7" s="463" t="s">
        <v>1946</v>
      </c>
      <c r="J7" s="1095">
        <f>Application!AG433+Application!AG431</f>
        <v>74</v>
      </c>
    </row>
    <row r="8" spans="1:33">
      <c r="C8" s="463" t="s">
        <v>814</v>
      </c>
      <c r="D8" s="462"/>
      <c r="E8" s="2618" t="str">
        <f>Application!H17</f>
        <v>Fourth Corner Apartments</v>
      </c>
      <c r="F8" s="2618"/>
      <c r="G8" s="2618"/>
      <c r="H8" s="462"/>
      <c r="I8" s="463" t="s">
        <v>1947</v>
      </c>
      <c r="J8" s="1098">
        <f>Application!$CQ$650</f>
        <v>168</v>
      </c>
    </row>
    <row r="9" spans="1:33" ht="14.25" customHeight="1">
      <c r="C9" s="463" t="s">
        <v>815</v>
      </c>
      <c r="D9" s="462"/>
      <c r="E9" s="2624" t="str">
        <f>Application!D214</f>
        <v>Large Family</v>
      </c>
      <c r="F9" s="2624"/>
      <c r="G9" s="2624"/>
      <c r="H9" s="462"/>
      <c r="I9" s="463" t="s">
        <v>1948</v>
      </c>
      <c r="J9" s="732"/>
      <c r="N9" s="1094"/>
    </row>
    <row r="10" spans="1:33" ht="26.85" customHeight="1">
      <c r="C10" s="2623" t="s">
        <v>1945</v>
      </c>
      <c r="D10" s="2623"/>
      <c r="E10" s="2625" t="str">
        <f>Application!$E$217</f>
        <v>N/A</v>
      </c>
      <c r="F10" s="2625"/>
      <c r="G10" s="2625"/>
      <c r="H10" s="1092"/>
      <c r="I10" s="1097" t="s">
        <v>1949</v>
      </c>
      <c r="J10" s="1096">
        <f>IF(J9&gt;0,J8-J9,J8)</f>
        <v>168</v>
      </c>
      <c r="N10" s="1094"/>
    </row>
    <row r="11" spans="1:33">
      <c r="C11" s="451"/>
      <c r="N11" s="1094"/>
    </row>
    <row r="12" spans="1:33" ht="15" customHeight="1">
      <c r="C12" s="2612" t="s">
        <v>959</v>
      </c>
      <c r="D12" s="2613"/>
      <c r="E12" s="2614"/>
      <c r="F12" s="2619" t="s">
        <v>1218</v>
      </c>
      <c r="G12" s="2619" t="s">
        <v>960</v>
      </c>
      <c r="H12" s="2621" t="s">
        <v>2066</v>
      </c>
      <c r="I12" s="2619" t="s">
        <v>1219</v>
      </c>
      <c r="J12" s="2619" t="s">
        <v>2065</v>
      </c>
      <c r="N12" s="1094"/>
    </row>
    <row r="13" spans="1:33" ht="68.25" customHeight="1">
      <c r="C13" s="2615"/>
      <c r="D13" s="2616"/>
      <c r="E13" s="2617"/>
      <c r="F13" s="2620"/>
      <c r="G13" s="2620"/>
      <c r="H13" s="2622"/>
      <c r="I13" s="2620"/>
      <c r="J13" s="2620"/>
    </row>
    <row r="14" spans="1:33" ht="15" customHeight="1">
      <c r="C14" s="1110" t="s">
        <v>2207</v>
      </c>
      <c r="D14" s="1111"/>
      <c r="E14" s="1111"/>
      <c r="F14" s="1108"/>
      <c r="G14" s="1108"/>
      <c r="H14" s="1109"/>
      <c r="I14" s="1109"/>
      <c r="J14" s="1109"/>
    </row>
    <row r="15" spans="1:33">
      <c r="C15" s="452" t="s">
        <v>961</v>
      </c>
      <c r="D15" s="449" t="s">
        <v>971</v>
      </c>
      <c r="F15" s="459" t="s">
        <v>2538</v>
      </c>
      <c r="G15" s="460">
        <v>11660</v>
      </c>
      <c r="H15" s="642" t="s">
        <v>2536</v>
      </c>
      <c r="I15" s="642" t="s">
        <v>2393</v>
      </c>
      <c r="J15" s="642" t="s">
        <v>2537</v>
      </c>
    </row>
    <row r="16" spans="1:33">
      <c r="C16" s="452" t="s">
        <v>962</v>
      </c>
      <c r="D16" s="449" t="s">
        <v>972</v>
      </c>
      <c r="F16" s="459"/>
      <c r="G16" s="639"/>
      <c r="H16" s="642"/>
      <c r="I16" s="642"/>
      <c r="J16" s="642"/>
    </row>
    <row r="17" spans="3:10">
      <c r="C17" s="452" t="s">
        <v>963</v>
      </c>
      <c r="D17" s="449" t="s">
        <v>1117</v>
      </c>
      <c r="F17" s="459" t="s">
        <v>2539</v>
      </c>
      <c r="G17" s="639">
        <v>1200</v>
      </c>
      <c r="H17" s="642" t="s">
        <v>2536</v>
      </c>
      <c r="I17" s="642" t="s">
        <v>2393</v>
      </c>
      <c r="J17" s="642" t="s">
        <v>2537</v>
      </c>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12860</v>
      </c>
      <c r="H35" s="641"/>
      <c r="I35" s="641"/>
      <c r="J35" s="641"/>
    </row>
    <row r="36" spans="3:10"/>
    <row r="37" spans="3:10" ht="16.5">
      <c r="C37" s="447" t="s">
        <v>1964</v>
      </c>
    </row>
    <row r="38" spans="3:10" s="461" customFormat="1" ht="17.25" customHeight="1">
      <c r="C38" s="476" t="s">
        <v>2067</v>
      </c>
    </row>
    <row r="39" spans="3:10" s="461" customFormat="1" ht="15">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Kim</cp:lastModifiedBy>
  <cp:lastPrinted>2021-01-13T01:22:16Z</cp:lastPrinted>
  <dcterms:created xsi:type="dcterms:W3CDTF">2007-12-27T18:26:28Z</dcterms:created>
  <dcterms:modified xsi:type="dcterms:W3CDTF">2021-07-01T21:18:17Z</dcterms:modified>
</cp:coreProperties>
</file>